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f871a67762b9846f/Documents/!Semester 4/PPM/"/>
    </mc:Choice>
  </mc:AlternateContent>
  <xr:revisionPtr revIDLastSave="885" documentId="8_{D96C6894-9C8B-40D3-B0BA-77ED2D67C11D}" xr6:coauthVersionLast="47" xr6:coauthVersionMax="47" xr10:uidLastSave="{EA0A7B50-7BEC-4F21-8AAB-74F30C1626E6}"/>
  <bookViews>
    <workbookView xWindow="-108" yWindow="-108" windowWidth="23256" windowHeight="12456" activeTab="1" xr2:uid="{A547381F-E773-4C34-BE7B-09F6A2F3AFDA}"/>
  </bookViews>
  <sheets>
    <sheet name="ID3" sheetId="2" r:id="rId1"/>
    <sheet name="C4.5" sheetId="3" r:id="rId2"/>
    <sheet name="Data" sheetId="1" r:id="rId3"/>
  </sheets>
  <definedNames>
    <definedName name="_xlnm._FilterDatabase" localSheetId="0" hidden="1">'ID3'!#REF!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28" i="3" l="1"/>
  <c r="BA28" i="3"/>
  <c r="AZ28" i="3"/>
  <c r="BC27" i="3"/>
  <c r="BD27" i="3" s="1"/>
  <c r="BA27" i="3"/>
  <c r="AZ27" i="3"/>
  <c r="AW26" i="3"/>
  <c r="AV26" i="3"/>
  <c r="BC20" i="3"/>
  <c r="BA20" i="3"/>
  <c r="AZ20" i="3"/>
  <c r="BC19" i="3"/>
  <c r="BA19" i="3"/>
  <c r="AZ19" i="3"/>
  <c r="BC12" i="3"/>
  <c r="BA12" i="3"/>
  <c r="AZ12" i="3"/>
  <c r="BC11" i="3"/>
  <c r="BA11" i="3"/>
  <c r="AZ11" i="3"/>
  <c r="AW8" i="3"/>
  <c r="AV8" i="3"/>
  <c r="BC4" i="3"/>
  <c r="BA4" i="3"/>
  <c r="AZ4" i="3"/>
  <c r="BC3" i="3"/>
  <c r="BA3" i="3"/>
  <c r="AZ3" i="3"/>
  <c r="AF44" i="3"/>
  <c r="AD44" i="3"/>
  <c r="AC44" i="3"/>
  <c r="AF43" i="3"/>
  <c r="AD43" i="3"/>
  <c r="AC43" i="3"/>
  <c r="AF36" i="3"/>
  <c r="AD36" i="3"/>
  <c r="AC36" i="3"/>
  <c r="AF35" i="3"/>
  <c r="AD35" i="3"/>
  <c r="AC35" i="3"/>
  <c r="Z35" i="3"/>
  <c r="Y35" i="3"/>
  <c r="Y38" i="3" s="1"/>
  <c r="AF28" i="3"/>
  <c r="AD28" i="3"/>
  <c r="AC28" i="3"/>
  <c r="AF27" i="3"/>
  <c r="AD27" i="3"/>
  <c r="AC27" i="3"/>
  <c r="AF20" i="3"/>
  <c r="AD20" i="3"/>
  <c r="AC20" i="3"/>
  <c r="AF19" i="3"/>
  <c r="AD19" i="3"/>
  <c r="AC19" i="3"/>
  <c r="AF12" i="3"/>
  <c r="AD12" i="3"/>
  <c r="AC12" i="3"/>
  <c r="AF11" i="3"/>
  <c r="AD11" i="3"/>
  <c r="AC11" i="3"/>
  <c r="AF4" i="3"/>
  <c r="AD4" i="3"/>
  <c r="AC4" i="3"/>
  <c r="AF3" i="3"/>
  <c r="AD3" i="3"/>
  <c r="AC3" i="3"/>
  <c r="Z11" i="3"/>
  <c r="Y11" i="3"/>
  <c r="K29" i="3"/>
  <c r="I29" i="3"/>
  <c r="H29" i="3"/>
  <c r="K28" i="3"/>
  <c r="I28" i="3"/>
  <c r="H28" i="3"/>
  <c r="K21" i="3"/>
  <c r="I21" i="3"/>
  <c r="H21" i="3"/>
  <c r="K20" i="3"/>
  <c r="I20" i="3"/>
  <c r="H20" i="3"/>
  <c r="K19" i="3"/>
  <c r="I19" i="3"/>
  <c r="H19" i="3"/>
  <c r="E17" i="3"/>
  <c r="D17" i="3"/>
  <c r="K12" i="3"/>
  <c r="I12" i="3"/>
  <c r="H12" i="3"/>
  <c r="K11" i="3"/>
  <c r="I11" i="3"/>
  <c r="H11" i="3"/>
  <c r="K4" i="3"/>
  <c r="I4" i="3"/>
  <c r="H4" i="3"/>
  <c r="K3" i="3"/>
  <c r="I3" i="3"/>
  <c r="H3" i="3"/>
  <c r="AB39" i="2"/>
  <c r="AF36" i="2"/>
  <c r="AF35" i="2"/>
  <c r="AE36" i="2"/>
  <c r="AE35" i="2"/>
  <c r="AC35" i="2"/>
  <c r="K3" i="2"/>
  <c r="H29" i="2"/>
  <c r="I28" i="2"/>
  <c r="H28" i="2"/>
  <c r="K21" i="2"/>
  <c r="I21" i="2"/>
  <c r="H21" i="2"/>
  <c r="J21" i="2" s="1"/>
  <c r="H20" i="2"/>
  <c r="I20" i="2"/>
  <c r="I19" i="2"/>
  <c r="H19" i="2"/>
  <c r="K11" i="2"/>
  <c r="K12" i="2"/>
  <c r="I12" i="2"/>
  <c r="H12" i="2"/>
  <c r="J12" i="2" s="1"/>
  <c r="I11" i="2"/>
  <c r="H11" i="2"/>
  <c r="J11" i="2" s="1"/>
  <c r="I4" i="2"/>
  <c r="H4" i="2"/>
  <c r="I3" i="2"/>
  <c r="H3" i="2"/>
  <c r="J3" i="2" s="1"/>
  <c r="AD44" i="2"/>
  <c r="AE44" i="2" s="1"/>
  <c r="AC44" i="2"/>
  <c r="AF44" i="2"/>
  <c r="AF43" i="2"/>
  <c r="AD43" i="2"/>
  <c r="AC43" i="2"/>
  <c r="AC36" i="2"/>
  <c r="AD36" i="2"/>
  <c r="Y35" i="2"/>
  <c r="Z35" i="2"/>
  <c r="AF28" i="2"/>
  <c r="AF27" i="2"/>
  <c r="AD27" i="2"/>
  <c r="AC27" i="2"/>
  <c r="AC28" i="2"/>
  <c r="AD28" i="2"/>
  <c r="AY31" i="2"/>
  <c r="AZ28" i="2"/>
  <c r="BA28" i="2"/>
  <c r="BC28" i="2"/>
  <c r="BC27" i="2"/>
  <c r="BB27" i="2"/>
  <c r="BA27" i="2"/>
  <c r="AZ27" i="2"/>
  <c r="BC20" i="2"/>
  <c r="BC19" i="2"/>
  <c r="AZ20" i="2"/>
  <c r="AZ19" i="2"/>
  <c r="BA20" i="2"/>
  <c r="BA19" i="2"/>
  <c r="BC12" i="2"/>
  <c r="AZ12" i="2"/>
  <c r="BA12" i="2"/>
  <c r="BC11" i="2"/>
  <c r="BC4" i="2"/>
  <c r="BC3" i="2"/>
  <c r="AZ4" i="2"/>
  <c r="BA4" i="2"/>
  <c r="BA3" i="2"/>
  <c r="AW26" i="2"/>
  <c r="AV26" i="2"/>
  <c r="AZ11" i="2"/>
  <c r="BA11" i="2"/>
  <c r="AZ3" i="2"/>
  <c r="AW8" i="2"/>
  <c r="AV8" i="2"/>
  <c r="AD35" i="2"/>
  <c r="AF20" i="2"/>
  <c r="AF19" i="2"/>
  <c r="AC20" i="2"/>
  <c r="AD20" i="2"/>
  <c r="AD19" i="2"/>
  <c r="AC19" i="2"/>
  <c r="AE19" i="2" s="1"/>
  <c r="AF12" i="2"/>
  <c r="AD12" i="2"/>
  <c r="AC12" i="2"/>
  <c r="AF11" i="2"/>
  <c r="AD11" i="2"/>
  <c r="AC11" i="2"/>
  <c r="AD3" i="2"/>
  <c r="AF4" i="2"/>
  <c r="AF3" i="2"/>
  <c r="AD4" i="2"/>
  <c r="AC4" i="2"/>
  <c r="AC3" i="2"/>
  <c r="Y11" i="2"/>
  <c r="Y14" i="2" s="1"/>
  <c r="Z11" i="2"/>
  <c r="K29" i="2"/>
  <c r="K28" i="2"/>
  <c r="I29" i="2"/>
  <c r="K20" i="2"/>
  <c r="K19" i="2"/>
  <c r="K4" i="2"/>
  <c r="E17" i="2"/>
  <c r="D17" i="2"/>
  <c r="AG35" i="3" l="1"/>
  <c r="BD3" i="3"/>
  <c r="BD11" i="3"/>
  <c r="AV29" i="3"/>
  <c r="AY31" i="3" s="1"/>
  <c r="BB31" i="3" s="1"/>
  <c r="AG19" i="3"/>
  <c r="BD19" i="3"/>
  <c r="BB28" i="3"/>
  <c r="BB27" i="3"/>
  <c r="BB19" i="3"/>
  <c r="BB12" i="3"/>
  <c r="BB20" i="3"/>
  <c r="AE44" i="3"/>
  <c r="AG43" i="3"/>
  <c r="BB3" i="3"/>
  <c r="BB11" i="3"/>
  <c r="BB4" i="3"/>
  <c r="AV11" i="3"/>
  <c r="AE35" i="3"/>
  <c r="AE19" i="3"/>
  <c r="AG27" i="3"/>
  <c r="AE36" i="3"/>
  <c r="AE27" i="3"/>
  <c r="AE43" i="3"/>
  <c r="AE20" i="3"/>
  <c r="AE28" i="3"/>
  <c r="AG11" i="3"/>
  <c r="AE12" i="3"/>
  <c r="L11" i="3"/>
  <c r="AE4" i="3"/>
  <c r="Y14" i="3"/>
  <c r="AE11" i="3"/>
  <c r="L28" i="3"/>
  <c r="AG3" i="3"/>
  <c r="J28" i="3"/>
  <c r="AE3" i="3"/>
  <c r="L3" i="3"/>
  <c r="J4" i="3"/>
  <c r="D20" i="3"/>
  <c r="J11" i="3"/>
  <c r="J19" i="3"/>
  <c r="L19" i="3"/>
  <c r="J3" i="3"/>
  <c r="J29" i="3"/>
  <c r="J21" i="3"/>
  <c r="J20" i="3"/>
  <c r="J12" i="3"/>
  <c r="AE12" i="2"/>
  <c r="AV11" i="2"/>
  <c r="J19" i="2"/>
  <c r="BB3" i="2"/>
  <c r="AY7" i="2" s="1"/>
  <c r="AE4" i="2"/>
  <c r="AB47" i="2"/>
  <c r="AE43" i="2"/>
  <c r="Y38" i="2"/>
  <c r="AB31" i="2" s="1"/>
  <c r="AE27" i="2"/>
  <c r="BB19" i="2"/>
  <c r="BB28" i="2"/>
  <c r="BB20" i="2"/>
  <c r="AV29" i="2"/>
  <c r="BB12" i="2"/>
  <c r="BB11" i="2"/>
  <c r="AY15" i="2" s="1"/>
  <c r="BB4" i="2"/>
  <c r="AE28" i="2"/>
  <c r="AE20" i="2"/>
  <c r="AB23" i="2" s="1"/>
  <c r="AE11" i="2"/>
  <c r="AB15" i="2" s="1"/>
  <c r="AE3" i="2"/>
  <c r="AB7" i="2" s="1"/>
  <c r="D20" i="2"/>
  <c r="J28" i="2"/>
  <c r="J29" i="2"/>
  <c r="J4" i="2"/>
  <c r="L7" i="2" s="1"/>
  <c r="J20" i="2"/>
  <c r="AB47" i="3" l="1"/>
  <c r="AY23" i="3"/>
  <c r="BB23" i="3" s="1"/>
  <c r="AY15" i="3"/>
  <c r="BB15" i="3" s="1"/>
  <c r="AE47" i="3"/>
  <c r="AY7" i="3"/>
  <c r="BB7" i="3" s="1"/>
  <c r="AB39" i="3"/>
  <c r="AE39" i="3" s="1"/>
  <c r="AB31" i="3"/>
  <c r="AE31" i="3" s="1"/>
  <c r="AB23" i="3"/>
  <c r="AE23" i="3" s="1"/>
  <c r="AB7" i="3"/>
  <c r="AE7" i="3" s="1"/>
  <c r="AB15" i="3"/>
  <c r="AE15" i="3" s="1"/>
  <c r="G7" i="3"/>
  <c r="J7" i="3" s="1"/>
  <c r="G32" i="3"/>
  <c r="J32" i="3" s="1"/>
  <c r="G24" i="3"/>
  <c r="J24" i="3" s="1"/>
  <c r="G15" i="3"/>
  <c r="J15" i="3" s="1"/>
  <c r="G24" i="2"/>
  <c r="G32" i="2"/>
  <c r="G7" i="2"/>
  <c r="G15" i="2"/>
  <c r="AY23" i="2"/>
</calcChain>
</file>

<file path=xl/sharedStrings.xml><?xml version="1.0" encoding="utf-8"?>
<sst xmlns="http://schemas.openxmlformats.org/spreadsheetml/2006/main" count="711" uniqueCount="62">
  <si>
    <t>WAKTU</t>
  </si>
  <si>
    <t>PAKET</t>
  </si>
  <si>
    <t>PRIORITAS</t>
  </si>
  <si>
    <t>GANGGUAN</t>
  </si>
  <si>
    <t>PENDEK</t>
  </si>
  <si>
    <t>BESAR</t>
  </si>
  <si>
    <t>SEDANG</t>
  </si>
  <si>
    <t>RENDAH</t>
  </si>
  <si>
    <t>KECIL</t>
  </si>
  <si>
    <t>TINGGI</t>
  </si>
  <si>
    <t>NORMAL</t>
  </si>
  <si>
    <t>PANJANG</t>
  </si>
  <si>
    <t>FREKUENSI</t>
  </si>
  <si>
    <t>Keterangan:</t>
  </si>
  <si>
    <t>Normal</t>
  </si>
  <si>
    <t>Gangguan</t>
  </si>
  <si>
    <t>+</t>
  </si>
  <si>
    <t>-</t>
  </si>
  <si>
    <t>Entropy</t>
  </si>
  <si>
    <t>Total: S = [ +9, -3]</t>
  </si>
  <si>
    <t xml:space="preserve">Peluang + </t>
  </si>
  <si>
    <t>Peluang -</t>
  </si>
  <si>
    <t>Fitur WAKTU</t>
  </si>
  <si>
    <t>Peluang +</t>
  </si>
  <si>
    <t>Peluang Total</t>
  </si>
  <si>
    <t>Fitur PAKET</t>
  </si>
  <si>
    <t>Gain (S,PAKET)</t>
  </si>
  <si>
    <t>Gain (S,WAKTU)</t>
  </si>
  <si>
    <t>Fitur FREKUENSI</t>
  </si>
  <si>
    <t>Gain (S,FREKUENSI)</t>
  </si>
  <si>
    <t>Entropy (S)</t>
  </si>
  <si>
    <t>Fitur PRIORITAS</t>
  </si>
  <si>
    <t>Gain (S,PRIORITAS)</t>
  </si>
  <si>
    <t>TABEL FREKUENSI "TINGGI"</t>
  </si>
  <si>
    <t>Gain (S-Tinggi,WAKTU)</t>
  </si>
  <si>
    <t>Gain (S-Tinggi,PAKET)</t>
  </si>
  <si>
    <t>S-Tinggi = [ +4, -1]</t>
  </si>
  <si>
    <t>Entropy (S-Tinggi)</t>
  </si>
  <si>
    <t>TABEL FREKUENSI "SEDANG"</t>
  </si>
  <si>
    <t>S-Sedang = [ +3, -2]</t>
  </si>
  <si>
    <t>Gain (S-Tinggi,PRIORITAS)</t>
  </si>
  <si>
    <t>TABEL FREKUENSI "TINGGI" DAN WAKTU "PANJANG"</t>
  </si>
  <si>
    <t>S-TinggiPanjang = [ +1, -1]</t>
  </si>
  <si>
    <t>Entropy (S-TinggiPanjang)</t>
  </si>
  <si>
    <t>Gain (S-TinggiPanjang,PAKET)</t>
  </si>
  <si>
    <t>Gain (S-TinggiPanjang,PRIORITAS)</t>
  </si>
  <si>
    <t>TABEL FREKUENSI "SEDANG" DAN WAKTU "PENDEK"</t>
  </si>
  <si>
    <t>S-SedangPendek = [ +2, -2]</t>
  </si>
  <si>
    <t>Entropy (S-SedangPendek)</t>
  </si>
  <si>
    <t>Gain (S-SedangPendek,PAKET)</t>
  </si>
  <si>
    <t>Gain (S-SedangPendek,PRIORITAS)</t>
  </si>
  <si>
    <t>Karena GAIN 0 semua, maka dipilih salah satu dan diputuskan seperti gambar</t>
  </si>
  <si>
    <t>Split</t>
  </si>
  <si>
    <t>Gain Ratio (S, WAKTU)</t>
  </si>
  <si>
    <t>Gain Ratio (S-Tinggi, WAKTU)</t>
  </si>
  <si>
    <t>Gain Ratio (S-TinggiPanjang, PAKET)</t>
  </si>
  <si>
    <t>Gain Ratio (S-Tinggi, PRIORITAS)</t>
  </si>
  <si>
    <t>Gain Ratio (S-SedangPendek,PAKET)</t>
  </si>
  <si>
    <t>Gain Ratio (S-SedangPendek,PRIORITAS)</t>
  </si>
  <si>
    <t>Karena gain rationya 0 semua, maka dipilih salah satu dan diputuskan seperti gambar</t>
  </si>
  <si>
    <t>Pohon yang dihasilkan di atas adalah pohon yang overfitting</t>
  </si>
  <si>
    <t>Pohon yang dihasilkan di atas adalah pohon yang overfitting, jika dilakukan pruning akan menjadi seperti pada gambar di bawah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</si>
</sst>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4" xfId="0" applyBorder="1"/>
    <xf numFmtId="17" fontId="0" fillId="0" borderId="0" xfId="0" applyNumberFormat="1"/>
    <xf numFmtId="0" fontId="0" fillId="6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346422</xdr:colOff>
      <xdr:row>9</xdr:row>
      <xdr:rowOff>30737</xdr:rowOff>
    </xdr:from>
    <xdr:to>
      <xdr:col>20</xdr:col>
      <xdr:colOff>22573</xdr:colOff>
      <xdr:row>23</xdr:row>
      <xdr:rowOff>41623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ADBF86-FE5F-A300-EF07-11BED3800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3622" y="1644384"/>
          <a:ext cx="4552951" cy="2521004"/>
        </a:xfrm>
        <a:prstGeom prst="rect">
          <a:avLst/>
        </a:prstGeom>
      </xdr:spPr>
    </xdr:pic>
    <xdr:clientData/>
  </xdr:twoCellAnchor>
  <xdr:twoCellAnchor editAs="oneCell">
    <xdr:from>
      <xdr:col>33</xdr:col>
      <xdr:colOff>337399</xdr:colOff>
      <xdr:row>13</xdr:row>
      <xdr:rowOff>98612</xdr:rowOff>
    </xdr:from>
    <xdr:to>
      <xdr:col>43</xdr:col>
      <xdr:colOff>62753</xdr:colOff>
      <xdr:row>32</xdr:row>
      <xdr:rowOff>114629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011326-81BD-7527-0594-FA628318A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664434" y="2429436"/>
          <a:ext cx="5821354" cy="3422605"/>
        </a:xfrm>
        <a:prstGeom prst="rect">
          <a:avLst/>
        </a:prstGeom>
      </xdr:spPr>
    </xdr:pic>
    <xdr:clientData/>
  </xdr:twoCellAnchor>
  <xdr:twoCellAnchor editAs="oneCell">
    <xdr:from>
      <xdr:col>57</xdr:col>
      <xdr:colOff>598190</xdr:colOff>
      <xdr:row>6</xdr:row>
      <xdr:rowOff>114912</xdr:rowOff>
    </xdr:from>
    <xdr:to>
      <xdr:col>68</xdr:col>
      <xdr:colOff>284680</xdr:colOff>
      <xdr:row>36</xdr:row>
      <xdr:rowOff>78798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CBF0B52-BBBE-838D-3B8E-883605C8D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57317" y="1195567"/>
          <a:ext cx="6392090" cy="53671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8965</xdr:colOff>
      <xdr:row>6</xdr:row>
      <xdr:rowOff>71717</xdr:rowOff>
    </xdr:from>
    <xdr:to>
      <xdr:col>20</xdr:col>
      <xdr:colOff>294716</xdr:colOff>
      <xdr:row>20</xdr:row>
      <xdr:rowOff>163286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9E87EB-485E-4876-9F80-F9694908E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88071" y="1147482"/>
          <a:ext cx="4552951" cy="2601686"/>
        </a:xfrm>
        <a:prstGeom prst="rect">
          <a:avLst/>
        </a:prstGeom>
      </xdr:spPr>
    </xdr:pic>
    <xdr:clientData/>
  </xdr:twoCellAnchor>
  <xdr:twoCellAnchor editAs="oneCell">
    <xdr:from>
      <xdr:col>34</xdr:col>
      <xdr:colOff>62752</xdr:colOff>
      <xdr:row>14</xdr:row>
      <xdr:rowOff>44823</xdr:rowOff>
    </xdr:from>
    <xdr:to>
      <xdr:col>43</xdr:col>
      <xdr:colOff>397706</xdr:colOff>
      <xdr:row>33</xdr:row>
      <xdr:rowOff>170338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396C9F-4754-4A88-8FB1-64DB32620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379952" y="2554941"/>
          <a:ext cx="5821354" cy="3532103"/>
        </a:xfrm>
        <a:prstGeom prst="rect">
          <a:avLst/>
        </a:prstGeom>
      </xdr:spPr>
    </xdr:pic>
    <xdr:clientData/>
  </xdr:twoCellAnchor>
  <xdr:twoCellAnchor editAs="oneCell">
    <xdr:from>
      <xdr:col>58</xdr:col>
      <xdr:colOff>277905</xdr:colOff>
      <xdr:row>1</xdr:row>
      <xdr:rowOff>1</xdr:rowOff>
    </xdr:from>
    <xdr:to>
      <xdr:col>68</xdr:col>
      <xdr:colOff>573995</xdr:colOff>
      <xdr:row>31</xdr:row>
      <xdr:rowOff>136777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BF1CE6-E67E-4800-922C-7A09A2005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3999" y="179295"/>
          <a:ext cx="6392090" cy="5515600"/>
        </a:xfrm>
        <a:prstGeom prst="rect">
          <a:avLst/>
        </a:prstGeom>
      </xdr:spPr>
    </xdr:pic>
    <xdr:clientData/>
  </xdr:twoCellAnchor>
  <xdr:twoCellAnchor editAs="oneCell">
    <xdr:from>
      <xdr:col>58</xdr:col>
      <xdr:colOff>313765</xdr:colOff>
      <xdr:row>35</xdr:row>
      <xdr:rowOff>107576</xdr:rowOff>
    </xdr:from>
    <xdr:to>
      <xdr:col>68</xdr:col>
      <xdr:colOff>313765</xdr:colOff>
      <xdr:row>59</xdr:row>
      <xdr:rowOff>81548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C423DC1-2053-4788-D51E-C122C0AB4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59859" y="6382870"/>
          <a:ext cx="6096000" cy="427703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0AE603-C7EB-42FA-8459-9424440AF8EA}" name="Table22" displayName="Table22" ref="A1:E13" totalsRowShown="0">
  <autoFilter ref="A1:E13" xr:uid="{640AE603-C7EB-42FA-8459-9424440AF8EA}"/>
  <tableColumns count="5">
    <tableColumn id="1" xr3:uid="{EF19AAB9-7D1A-4F18-A94E-458FA6F344F8}" name="WAKTU"/>
    <tableColumn id="2" xr3:uid="{9BD6D70F-320C-46E1-8E33-4D5D3EE2D2AF}" name="PAKET"/>
    <tableColumn id="3" xr3:uid="{64B04B7B-9573-46EC-8FE4-F5A96F86EC3A}" name="FREKUENSI"/>
    <tableColumn id="4" xr3:uid="{153E598F-7915-48ED-8224-893293EAC273}" name="PRIORITAS"/>
    <tableColumn id="5" xr3:uid="{9276E663-229D-4F6C-B4FC-0C2A33C9E603}" name="GANGGUA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67649D-D9C0-4A33-BD43-8936F853DD0C}" name="Table224" displayName="Table224" ref="A1:E13" totalsRowShown="0">
  <autoFilter ref="A1:E13" xr:uid="{7A67649D-D9C0-4A33-BD43-8936F853DD0C}"/>
  <tableColumns count="5">
    <tableColumn id="1" xr3:uid="{6D9BB1C4-F0FE-4D7B-BD79-1552D5FD1546}" name="WAKTU"/>
    <tableColumn id="2" xr3:uid="{ED81DF29-45DC-4937-8AE2-D65447E8D9C4}" name="PAKET"/>
    <tableColumn id="3" xr3:uid="{CC03E585-E3C5-4CED-AF94-0A551EE6F1CD}" name="FREKUENSI"/>
    <tableColumn id="4" xr3:uid="{B1D01210-4165-45C1-B24D-0FD656A5A938}" name="PRIORITAS"/>
    <tableColumn id="5" xr3:uid="{83F319C3-E0BA-4F9B-A241-FDC84C90D218}" name="GANGGUA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71CEC9-305A-4345-BD64-1B6CE58A7653}" name="Table2" displayName="Table2" ref="A1:E13" totalsRowShown="0">
  <autoFilter ref="A1:E13" xr:uid="{5B71CEC9-305A-4345-BD64-1B6CE58A7653}"/>
  <tableColumns count="5">
    <tableColumn id="1" xr3:uid="{C9D99EA7-864B-439D-9E9F-2B265E769453}" name="WAKTU"/>
    <tableColumn id="2" xr3:uid="{1B3D0A66-5F74-45CE-939C-5759B8BD7855}" name="PAKET"/>
    <tableColumn id="3" xr3:uid="{5B2BC293-3278-4931-A5E3-DAB132E26B29}" name="FREKUENSI"/>
    <tableColumn id="4" xr3:uid="{ABEBE1F8-C7FB-45F2-B4B6-F6C3A00C5C4A}" name="PRIORITAS"/>
    <tableColumn id="5" xr3:uid="{490117E6-E903-4348-A181-64363CC57099}" name="GANGGU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068C-F89F-4F7C-A456-A0D02721611C}">
  <dimension ref="A1:BK47"/>
  <sheetViews>
    <sheetView topLeftCell="AN1" zoomScale="70" zoomScaleNormal="70" workbookViewId="0">
      <selection activeCell="BF39" sqref="BF39:BK39"/>
    </sheetView>
  </sheetViews>
  <sheetFormatPr defaultRowHeight="14.4" x14ac:dyDescent="0.3"/>
  <cols>
    <col min="1" max="1" width="9.21875" bestFit="1" customWidth="1"/>
    <col min="2" max="2" width="8.44140625" bestFit="1" customWidth="1"/>
    <col min="3" max="3" width="12.6640625" bestFit="1" customWidth="1"/>
    <col min="5" max="5" width="13.33203125" bestFit="1" customWidth="1"/>
    <col min="7" max="7" width="9" bestFit="1" customWidth="1"/>
    <col min="11" max="11" width="11.6640625" bestFit="1" customWidth="1"/>
    <col min="23" max="23" width="6.5546875" bestFit="1" customWidth="1"/>
    <col min="24" max="24" width="10.6640625" bestFit="1" customWidth="1"/>
    <col min="25" max="25" width="10.21875" bestFit="1" customWidth="1"/>
    <col min="26" max="26" width="11.109375" bestFit="1" customWidth="1"/>
    <col min="32" max="32" width="12.44140625" bestFit="1" customWidth="1"/>
    <col min="47" max="47" width="10.6640625" bestFit="1" customWidth="1"/>
    <col min="48" max="48" width="10.21875" bestFit="1" customWidth="1"/>
    <col min="49" max="49" width="12.77734375" customWidth="1"/>
    <col min="55" max="55" width="11.6640625" bestFit="1" customWidth="1"/>
  </cols>
  <sheetData>
    <row r="1" spans="1:56" x14ac:dyDescent="0.3">
      <c r="A1" t="s">
        <v>0</v>
      </c>
      <c r="B1" t="s">
        <v>1</v>
      </c>
      <c r="C1" t="s">
        <v>12</v>
      </c>
      <c r="D1" t="s">
        <v>2</v>
      </c>
      <c r="E1" t="s">
        <v>3</v>
      </c>
      <c r="G1" s="18" t="s">
        <v>22</v>
      </c>
      <c r="H1" s="18"/>
      <c r="I1" s="18"/>
      <c r="J1" s="18"/>
      <c r="K1" s="18"/>
      <c r="V1" s="19" t="s">
        <v>33</v>
      </c>
      <c r="W1" s="19"/>
      <c r="X1" s="19"/>
      <c r="Y1" s="19"/>
      <c r="Z1" s="19"/>
      <c r="AB1" s="18" t="s">
        <v>22</v>
      </c>
      <c r="AC1" s="18"/>
      <c r="AD1" s="18"/>
      <c r="AE1" s="18"/>
      <c r="AF1" s="18"/>
      <c r="AS1" s="19" t="s">
        <v>41</v>
      </c>
      <c r="AT1" s="19"/>
      <c r="AU1" s="19"/>
      <c r="AV1" s="19"/>
      <c r="AW1" s="19"/>
      <c r="AY1" s="18" t="s">
        <v>25</v>
      </c>
      <c r="AZ1" s="18"/>
      <c r="BA1" s="18"/>
      <c r="BB1" s="18"/>
      <c r="BC1" s="18"/>
    </row>
    <row r="2" spans="1:56" x14ac:dyDescent="0.3">
      <c r="A2" t="s">
        <v>4</v>
      </c>
      <c r="B2" t="s">
        <v>5</v>
      </c>
      <c r="C2" t="s">
        <v>6</v>
      </c>
      <c r="D2" t="s">
        <v>7</v>
      </c>
      <c r="E2" t="s">
        <v>3</v>
      </c>
      <c r="G2" s="12"/>
      <c r="H2" s="12" t="s">
        <v>23</v>
      </c>
      <c r="I2" s="12" t="s">
        <v>21</v>
      </c>
      <c r="J2" s="12" t="s">
        <v>18</v>
      </c>
      <c r="K2" s="12" t="s">
        <v>24</v>
      </c>
      <c r="V2" s="1" t="s">
        <v>0</v>
      </c>
      <c r="W2" s="2" t="s">
        <v>1</v>
      </c>
      <c r="X2" s="2" t="s">
        <v>12</v>
      </c>
      <c r="Y2" s="2" t="s">
        <v>2</v>
      </c>
      <c r="Z2" s="3" t="s">
        <v>3</v>
      </c>
      <c r="AB2" s="12"/>
      <c r="AC2" s="12" t="s">
        <v>23</v>
      </c>
      <c r="AD2" s="12" t="s">
        <v>21</v>
      </c>
      <c r="AE2" s="12" t="s">
        <v>18</v>
      </c>
      <c r="AF2" s="12" t="s">
        <v>24</v>
      </c>
      <c r="AS2" s="1" t="s">
        <v>0</v>
      </c>
      <c r="AT2" s="2" t="s">
        <v>1</v>
      </c>
      <c r="AU2" s="2" t="s">
        <v>12</v>
      </c>
      <c r="AV2" s="2" t="s">
        <v>2</v>
      </c>
      <c r="AW2" s="3" t="s">
        <v>3</v>
      </c>
      <c r="AY2" s="12"/>
      <c r="AZ2" s="12" t="s">
        <v>23</v>
      </c>
      <c r="BA2" s="12" t="s">
        <v>21</v>
      </c>
      <c r="BB2" s="12" t="s">
        <v>18</v>
      </c>
      <c r="BC2" s="12" t="s">
        <v>24</v>
      </c>
    </row>
    <row r="3" spans="1:56" x14ac:dyDescent="0.3">
      <c r="A3" t="s">
        <v>4</v>
      </c>
      <c r="B3" t="s">
        <v>8</v>
      </c>
      <c r="C3" t="s">
        <v>9</v>
      </c>
      <c r="D3" t="s">
        <v>7</v>
      </c>
      <c r="E3" t="s">
        <v>10</v>
      </c>
      <c r="G3" s="12" t="s">
        <v>11</v>
      </c>
      <c r="H3" s="12">
        <f>COUNTIFS(Table22[WAKTU],"PANJANG",Table22[GANGGUAN],"NORMAL")/COUNTIF(Table22[WAKTU],"PANJANG")</f>
        <v>0.8</v>
      </c>
      <c r="I3" s="12">
        <f>COUNTIFS(Table22[WAKTU],"PANJANG",Table22[GANGGUAN],"GANGGUAN")/COUNTIF(Table22[WAKTU],"PANJANG")</f>
        <v>0.2</v>
      </c>
      <c r="J3" s="12">
        <f>-H3*LOG(H3,2)-I3*LOG(I3,2)</f>
        <v>0.72192809488736231</v>
      </c>
      <c r="K3" s="12">
        <f>COUNTIF(Table22[WAKTU],"PANJANG")/ROWS(Table22[GANGGUAN])</f>
        <v>0.41666666666666669</v>
      </c>
      <c r="V3" s="7" t="s">
        <v>4</v>
      </c>
      <c r="W3" s="8" t="s">
        <v>8</v>
      </c>
      <c r="X3" s="8" t="s">
        <v>9</v>
      </c>
      <c r="Y3" s="8" t="s">
        <v>7</v>
      </c>
      <c r="Z3" s="9" t="s">
        <v>10</v>
      </c>
      <c r="AB3" s="12" t="s">
        <v>11</v>
      </c>
      <c r="AC3" s="12">
        <f>COUNTIFS($V3:$V7,"PANJANG",$Z3:$Z7,"NORMAL")/COUNTIF($V3:$V7,"PANJANG")</f>
        <v>0.5</v>
      </c>
      <c r="AD3" s="12">
        <f>COUNTIFS($V3:$V7,"PANJANG",$Z3:$Z7,"GANGGUAN")/COUNTIF($V3:$V7,"PANJANG")</f>
        <v>0.5</v>
      </c>
      <c r="AE3" s="12">
        <f>IFERROR(-AC3*LOG(AC3,2)-AD3*LOG(AD3,2),0)</f>
        <v>1</v>
      </c>
      <c r="AF3" s="12">
        <f>COUNTIF($V3:$V7,"PANJANG")/ROWS($Z3:$Z7)</f>
        <v>0.4</v>
      </c>
      <c r="AS3" s="4" t="s">
        <v>11</v>
      </c>
      <c r="AT3" s="5" t="s">
        <v>8</v>
      </c>
      <c r="AU3" s="5" t="s">
        <v>9</v>
      </c>
      <c r="AV3" s="5" t="s">
        <v>9</v>
      </c>
      <c r="AW3" s="6" t="s">
        <v>3</v>
      </c>
      <c r="AY3" s="12" t="s">
        <v>5</v>
      </c>
      <c r="AZ3" s="12">
        <f>COUNTIFS(AT3:AT4,"BESAR",AW3:AW4,"NORMAL")/COUNTIF(AT3:AT4,"BESAR")</f>
        <v>1</v>
      </c>
      <c r="BA3" s="12">
        <f>COUNTIFS(AT3:AT4,"BESAR",AW3:AW4,"GANGGUAN")/COUNTIF(AT3:AT4,"BESAR")</f>
        <v>0</v>
      </c>
      <c r="BB3" s="12">
        <f>IFERROR(-AZ3*LOG(AZ3,2)-BA3*LOG(BA3,2),0)</f>
        <v>0</v>
      </c>
      <c r="BC3" s="12">
        <f>COUNTIF(AT3:AT4,"KECIL")/ROWS(AW3:AW4)</f>
        <v>0.5</v>
      </c>
    </row>
    <row r="4" spans="1:56" x14ac:dyDescent="0.3">
      <c r="A4" t="s">
        <v>4</v>
      </c>
      <c r="B4" t="s">
        <v>8</v>
      </c>
      <c r="C4" t="s">
        <v>6</v>
      </c>
      <c r="D4" t="s">
        <v>9</v>
      </c>
      <c r="E4" t="s">
        <v>3</v>
      </c>
      <c r="G4" s="12" t="s">
        <v>4</v>
      </c>
      <c r="H4" s="12">
        <f>COUNTIFS(Table22[WAKTU],"PENDEK",Table22[GANGGUAN],"NORMAL")/COUNTIF(Table22[WAKTU],"PENDEK")</f>
        <v>0.7142857142857143</v>
      </c>
      <c r="I4" s="12">
        <f>COUNTIFS(Table22[WAKTU],"PENDEK",Table22[GANGGUAN],"GANGGUAN")/COUNTIF(Table22[WAKTU],"PENDEK")</f>
        <v>0.2857142857142857</v>
      </c>
      <c r="J4" s="12">
        <f>-H4*LOG(H4,2)-I4*LOG(I4,2)</f>
        <v>0.863120568566631</v>
      </c>
      <c r="K4" s="12">
        <f>COUNTIF(Table22[WAKTU],"PENDEK")/ROWS(Table22[GANGGUAN])</f>
        <v>0.58333333333333337</v>
      </c>
      <c r="V4" s="7" t="s">
        <v>4</v>
      </c>
      <c r="W4" s="8" t="s">
        <v>8</v>
      </c>
      <c r="X4" s="8" t="s">
        <v>9</v>
      </c>
      <c r="Y4" s="8" t="s">
        <v>7</v>
      </c>
      <c r="Z4" s="9" t="s">
        <v>10</v>
      </c>
      <c r="AB4" s="12" t="s">
        <v>4</v>
      </c>
      <c r="AC4" s="12">
        <f>COUNTIFS($V3:$V7,"PENDEK",$Z3:$Z7,"NORMAL")/COUNTIF($V3:$V7,"PENDEK")</f>
        <v>1</v>
      </c>
      <c r="AD4" s="12">
        <f>COUNTIFS($V3:$V7,"PENDEK",$Z3:$Z7,"GANGGUAN")/COUNTIF($V3:$V7,"PENDEK")</f>
        <v>0</v>
      </c>
      <c r="AE4" s="12">
        <f>IFERROR(-AC4*LOG(AC4,2)-AD4*LOG(AD4,2),0)</f>
        <v>0</v>
      </c>
      <c r="AF4" s="12">
        <f>COUNTIF($V3:$V7,"PENDEK")/ROWS($Z3:$Z7)</f>
        <v>0.6</v>
      </c>
      <c r="AS4" s="4" t="s">
        <v>11</v>
      </c>
      <c r="AT4" s="5" t="s">
        <v>5</v>
      </c>
      <c r="AU4" s="5" t="s">
        <v>9</v>
      </c>
      <c r="AV4" s="5" t="s">
        <v>9</v>
      </c>
      <c r="AW4" s="6" t="s">
        <v>10</v>
      </c>
      <c r="AY4" s="12" t="s">
        <v>8</v>
      </c>
      <c r="AZ4" s="12">
        <f>COUNTIFS(AT3:AT4,"KECIL",AW3:AW4,"NORMAL")/COUNTIF(AT3:AT4,"KECIL")</f>
        <v>0</v>
      </c>
      <c r="BA4" s="12">
        <f>COUNTIFS(AT3:AT4,"KECIL",AW3:AW4,"GANGGUAN")/COUNTIF(AT3:AT4,"KECIL")</f>
        <v>1</v>
      </c>
      <c r="BB4" s="12">
        <f>IFERROR(-AZ4*LOG(AZ4,2)-BA4*LOG(BA4,2),0)</f>
        <v>0</v>
      </c>
      <c r="BC4" s="12">
        <f>COUNTIF(AT3:AT4,"BESAR")/ROWS(AW3:AW4)</f>
        <v>0.5</v>
      </c>
    </row>
    <row r="5" spans="1:56" x14ac:dyDescent="0.3">
      <c r="A5" t="s">
        <v>4</v>
      </c>
      <c r="B5" t="s">
        <v>8</v>
      </c>
      <c r="C5" t="s">
        <v>9</v>
      </c>
      <c r="D5" t="s">
        <v>7</v>
      </c>
      <c r="E5" t="s">
        <v>10</v>
      </c>
      <c r="V5" s="4" t="s">
        <v>11</v>
      </c>
      <c r="W5" s="5" t="s">
        <v>8</v>
      </c>
      <c r="X5" s="5" t="s">
        <v>9</v>
      </c>
      <c r="Y5" s="5" t="s">
        <v>9</v>
      </c>
      <c r="Z5" s="6" t="s">
        <v>3</v>
      </c>
    </row>
    <row r="6" spans="1:56" x14ac:dyDescent="0.3">
      <c r="A6" t="s">
        <v>4</v>
      </c>
      <c r="B6" t="s">
        <v>8</v>
      </c>
      <c r="C6" t="s">
        <v>6</v>
      </c>
      <c r="D6" t="s">
        <v>9</v>
      </c>
      <c r="E6" t="s">
        <v>10</v>
      </c>
      <c r="G6" s="18" t="s">
        <v>27</v>
      </c>
      <c r="H6" s="18"/>
      <c r="I6" s="18"/>
      <c r="J6" s="18"/>
      <c r="K6" s="18"/>
      <c r="V6" s="7" t="s">
        <v>4</v>
      </c>
      <c r="W6" s="8" t="s">
        <v>8</v>
      </c>
      <c r="X6" s="8" t="s">
        <v>9</v>
      </c>
      <c r="Y6" s="8" t="s">
        <v>9</v>
      </c>
      <c r="Z6" s="9" t="s">
        <v>10</v>
      </c>
      <c r="AB6" s="18" t="s">
        <v>34</v>
      </c>
      <c r="AC6" s="18"/>
      <c r="AD6" s="18"/>
      <c r="AE6" s="18"/>
      <c r="AF6" s="18"/>
      <c r="AV6" s="18" t="s">
        <v>42</v>
      </c>
      <c r="AW6" s="18"/>
      <c r="AY6" s="18" t="s">
        <v>44</v>
      </c>
      <c r="AZ6" s="18"/>
      <c r="BA6" s="18"/>
      <c r="BB6" s="18"/>
      <c r="BC6" s="18"/>
    </row>
    <row r="7" spans="1:56" x14ac:dyDescent="0.3">
      <c r="A7" t="s">
        <v>11</v>
      </c>
      <c r="B7" t="s">
        <v>5</v>
      </c>
      <c r="C7" t="s">
        <v>6</v>
      </c>
      <c r="D7" t="s">
        <v>7</v>
      </c>
      <c r="E7" t="s">
        <v>10</v>
      </c>
      <c r="G7" s="18">
        <f>D20-(K3*J3)-(K4*J4)</f>
        <v>6.9877532588638047E-3</v>
      </c>
      <c r="H7" s="18"/>
      <c r="I7" s="18"/>
      <c r="J7" s="18"/>
      <c r="K7" s="18"/>
      <c r="L7">
        <f>(K3*J3)+(K4*J4)</f>
        <v>0.80429037120026914</v>
      </c>
      <c r="V7" s="4" t="s">
        <v>11</v>
      </c>
      <c r="W7" s="5" t="s">
        <v>5</v>
      </c>
      <c r="X7" s="5" t="s">
        <v>9</v>
      </c>
      <c r="Y7" s="5" t="s">
        <v>9</v>
      </c>
      <c r="Z7" s="6" t="s">
        <v>10</v>
      </c>
      <c r="AB7" s="20">
        <f>Y14-(AF3*AE3)-(AF4*AE4)</f>
        <v>0.32192809488736229</v>
      </c>
      <c r="AC7" s="20"/>
      <c r="AD7" s="20"/>
      <c r="AE7" s="20"/>
      <c r="AF7" s="20"/>
      <c r="AV7" s="12" t="s">
        <v>20</v>
      </c>
      <c r="AW7" s="12" t="s">
        <v>21</v>
      </c>
      <c r="AY7" s="20">
        <f>AV11-(BC3*BB3)-(BC4*BB4)</f>
        <v>1</v>
      </c>
      <c r="AZ7" s="20"/>
      <c r="BA7" s="20"/>
      <c r="BB7" s="20"/>
      <c r="BC7" s="20"/>
    </row>
    <row r="8" spans="1:56" x14ac:dyDescent="0.3">
      <c r="A8" t="s">
        <v>11</v>
      </c>
      <c r="B8" t="s">
        <v>8</v>
      </c>
      <c r="C8" t="s">
        <v>9</v>
      </c>
      <c r="D8" t="s">
        <v>9</v>
      </c>
      <c r="E8" t="s">
        <v>3</v>
      </c>
      <c r="AV8" s="12">
        <f>COUNTIF(AW3:AW4,"NORMAL")/ROWS(AW3:AW4)</f>
        <v>0.5</v>
      </c>
      <c r="AW8" s="12">
        <f>COUNTIF(AW3:AW4,"NORMAL")/ROWS(AW3:AW4)</f>
        <v>0.5</v>
      </c>
    </row>
    <row r="9" spans="1:56" x14ac:dyDescent="0.3">
      <c r="A9" t="s">
        <v>4</v>
      </c>
      <c r="B9" t="s">
        <v>5</v>
      </c>
      <c r="C9" t="s">
        <v>6</v>
      </c>
      <c r="D9" t="s">
        <v>7</v>
      </c>
      <c r="E9" t="s">
        <v>10</v>
      </c>
      <c r="G9" s="18" t="s">
        <v>25</v>
      </c>
      <c r="H9" s="18"/>
      <c r="I9" s="18"/>
      <c r="J9" s="18"/>
      <c r="K9" s="18"/>
      <c r="Y9" s="18" t="s">
        <v>36</v>
      </c>
      <c r="Z9" s="18"/>
      <c r="AB9" s="18" t="s">
        <v>25</v>
      </c>
      <c r="AC9" s="18"/>
      <c r="AD9" s="18"/>
      <c r="AE9" s="18"/>
      <c r="AF9" s="18"/>
      <c r="AY9" s="18" t="s">
        <v>31</v>
      </c>
      <c r="AZ9" s="18"/>
      <c r="BA9" s="18"/>
      <c r="BB9" s="18"/>
      <c r="BC9" s="18"/>
    </row>
    <row r="10" spans="1:56" x14ac:dyDescent="0.3">
      <c r="A10" t="s">
        <v>11</v>
      </c>
      <c r="B10" t="s">
        <v>8</v>
      </c>
      <c r="C10" t="s">
        <v>7</v>
      </c>
      <c r="D10" t="s">
        <v>9</v>
      </c>
      <c r="E10" t="s">
        <v>10</v>
      </c>
      <c r="G10" s="12"/>
      <c r="H10" s="12" t="s">
        <v>23</v>
      </c>
      <c r="I10" s="12" t="s">
        <v>21</v>
      </c>
      <c r="J10" s="12" t="s">
        <v>18</v>
      </c>
      <c r="K10" s="12" t="s">
        <v>24</v>
      </c>
      <c r="Y10" s="12" t="s">
        <v>20</v>
      </c>
      <c r="Z10" s="12" t="s">
        <v>21</v>
      </c>
      <c r="AB10" s="12"/>
      <c r="AC10" s="12" t="s">
        <v>23</v>
      </c>
      <c r="AD10" s="12" t="s">
        <v>21</v>
      </c>
      <c r="AE10" s="12" t="s">
        <v>18</v>
      </c>
      <c r="AF10" s="12" t="s">
        <v>24</v>
      </c>
      <c r="AV10" s="18" t="s">
        <v>43</v>
      </c>
      <c r="AW10" s="18"/>
      <c r="AY10" s="12"/>
      <c r="AZ10" s="12" t="s">
        <v>23</v>
      </c>
      <c r="BA10" s="12" t="s">
        <v>21</v>
      </c>
      <c r="BB10" s="12" t="s">
        <v>18</v>
      </c>
      <c r="BC10" s="12" t="s">
        <v>24</v>
      </c>
    </row>
    <row r="11" spans="1:56" x14ac:dyDescent="0.3">
      <c r="A11" t="s">
        <v>4</v>
      </c>
      <c r="B11" t="s">
        <v>8</v>
      </c>
      <c r="C11" t="s">
        <v>9</v>
      </c>
      <c r="D11" t="s">
        <v>9</v>
      </c>
      <c r="E11" t="s">
        <v>10</v>
      </c>
      <c r="G11" s="12" t="s">
        <v>5</v>
      </c>
      <c r="H11" s="12">
        <f>COUNTIFS(Table22[PAKET],"BESAR",Table22[GANGGUAN],"NORMAL")/COUNTIF(Table22[PAKET],"BESAR")</f>
        <v>0.75</v>
      </c>
      <c r="I11" s="12">
        <f>COUNTIFS(Table22[PAKET],"BESAR",Table22[GANGGUAN],"GANGGUAN")/COUNTIF(Table22[PAKET],"BESAR")</f>
        <v>0.25</v>
      </c>
      <c r="J11" s="12">
        <f>-H11*LOG(H11,2)+(-I11*LOG(I11,2))</f>
        <v>0.81127812445913283</v>
      </c>
      <c r="K11" s="12">
        <f>COUNTIF(Table22[PAKET],"BESAR")/ROWS(Table22[GANGGUAN])</f>
        <v>0.33333333333333331</v>
      </c>
      <c r="Y11" s="12">
        <f>COUNTIF(Z3:Z7,"NORMAL")/ROWS(Z3:Z7)</f>
        <v>0.8</v>
      </c>
      <c r="Z11" s="12">
        <f>COUNTIF(Z3:Z7,"GANGGUAN")/ROWS(Z3:Z7)</f>
        <v>0.2</v>
      </c>
      <c r="AB11" s="12" t="s">
        <v>5</v>
      </c>
      <c r="AC11" s="12">
        <f>COUNTIFS($W3:$W7,"BESAR",$Z3:$Z7,"NORMAL")/COUNTIF($W3:$W7,"BESAR")</f>
        <v>1</v>
      </c>
      <c r="AD11" s="12">
        <f>COUNTIFS($W3:$W7,"BESAR",$Z3:$Z7,"GANGGUAN")/COUNTIF($W3:$W7,"BESAR")</f>
        <v>0</v>
      </c>
      <c r="AE11" s="12">
        <f>IFERROR(-AC11*LOG(AC11,2)-AD11*LOG(AD11,2),0)</f>
        <v>0</v>
      </c>
      <c r="AF11" s="12">
        <f>COUNTIF($W3:$W7,"BESAR")/ROWS($Z3:$Z7)</f>
        <v>0.2</v>
      </c>
      <c r="AV11" s="18">
        <f>-AV8*LOG(AV8,2)-AW8*LOG(AW8,2)</f>
        <v>1</v>
      </c>
      <c r="AW11" s="18"/>
      <c r="AY11" s="12" t="s">
        <v>9</v>
      </c>
      <c r="AZ11" s="12">
        <f>COUNTIFS(AV3:AV4,"TINGGI",AW3:AW4,"NORMAL")/COUNTIF(AV3:AV4,"TINGGI")</f>
        <v>0.5</v>
      </c>
      <c r="BA11" s="12">
        <f>COUNTIFS(AV3:AV4,"TINGGI",AW3:AW4,"GANGGUAN")/COUNTIF(AV3:AV4,"TINGGI")</f>
        <v>0.5</v>
      </c>
      <c r="BB11" s="12">
        <f>IFERROR(-AZ11*LOG(AZ11,2)-BA11*LOG(BA11,2),0)</f>
        <v>1</v>
      </c>
      <c r="BC11" s="12">
        <f>COUNTIF(AV3:AV4,"TINGGI")/ROWS(AW3:AW4)</f>
        <v>1</v>
      </c>
    </row>
    <row r="12" spans="1:56" x14ac:dyDescent="0.3">
      <c r="A12" t="s">
        <v>11</v>
      </c>
      <c r="B12" t="s">
        <v>5</v>
      </c>
      <c r="C12" t="s">
        <v>9</v>
      </c>
      <c r="D12" t="s">
        <v>9</v>
      </c>
      <c r="E12" t="s">
        <v>10</v>
      </c>
      <c r="G12" s="12" t="s">
        <v>8</v>
      </c>
      <c r="H12" s="12">
        <f>COUNTIFS(Table22[PAKET],"KECIL",Table22[GANGGUAN],"NORMAL")/COUNTIF(Table22[PAKET],"KECIL")</f>
        <v>0.75</v>
      </c>
      <c r="I12" s="12">
        <f>COUNTIFS(Table22[PAKET],"KECIL",Table22[GANGGUAN],"GANGGUAN")/COUNTIF(Table22[PAKET],"KECIL")</f>
        <v>0.25</v>
      </c>
      <c r="J12" s="12">
        <f>-H12*LOG(H12,2)-I12*LOG(I12,2)</f>
        <v>0.81127812445913283</v>
      </c>
      <c r="K12" s="12">
        <f>COUNTIF(Table22[PAKET],"KECIL")/ROWS(Table22[GANGGUAN])</f>
        <v>0.66666666666666663</v>
      </c>
      <c r="AB12" s="12" t="s">
        <v>8</v>
      </c>
      <c r="AC12" s="12">
        <f>COUNTIFS($W3:$W7,"KECIL",$Z3:$Z7,"NORMAL")/COUNTIF($W3:$W7,"KECIL")</f>
        <v>0.75</v>
      </c>
      <c r="AD12" s="12">
        <f>COUNTIFS($W3:$W7,"KECIL",$Z3:$Z7,"GANGGUAN")/COUNTIF($W3:$W7,"KECIL")</f>
        <v>0.25</v>
      </c>
      <c r="AE12" s="12">
        <f>IFERROR(-AC12*LOG(AC12,2)-AD12*LOG(AD12,2),0)</f>
        <v>0.81127812445913283</v>
      </c>
      <c r="AF12" s="12">
        <f>COUNTIF($W3:$W7,"KECIL")/ROWS($Z3:$Z7)</f>
        <v>0.8</v>
      </c>
      <c r="AY12" s="12" t="s">
        <v>7</v>
      </c>
      <c r="AZ12" s="12">
        <f>IFERROR(COUNTIFS(AV3:AV4,"RENDAH",AW3:AW4,"NORMAL")/COUNTIF(AV3:AV4,"RENDAH"),0)</f>
        <v>0</v>
      </c>
      <c r="BA12" s="12">
        <f>IFERROR(COUNTIFS(AV3:AV4,"RENDAH",AW3:AW4,"GANGGUAN")/COUNTIF(AV3:AV4,"RENDAH"),0)</f>
        <v>0</v>
      </c>
      <c r="BB12" s="12">
        <f>IFERROR(-AZ12*LOG(AZ12,2)-BA12*LOG(BA12,2),0)</f>
        <v>0</v>
      </c>
      <c r="BC12" s="12">
        <f>IFERROR(COUNTIF(AV3:AV4,"RENDAH")/ROWS(AW3:AW4),0)</f>
        <v>0</v>
      </c>
    </row>
    <row r="13" spans="1:56" x14ac:dyDescent="0.3">
      <c r="A13" t="s">
        <v>11</v>
      </c>
      <c r="B13" t="s">
        <v>8</v>
      </c>
      <c r="C13" t="s">
        <v>7</v>
      </c>
      <c r="D13" t="s">
        <v>9</v>
      </c>
      <c r="E13" t="s">
        <v>10</v>
      </c>
      <c r="Y13" s="18" t="s">
        <v>37</v>
      </c>
      <c r="Z13" s="18"/>
    </row>
    <row r="14" spans="1:56" x14ac:dyDescent="0.3">
      <c r="G14" s="18" t="s">
        <v>26</v>
      </c>
      <c r="H14" s="18"/>
      <c r="I14" s="18"/>
      <c r="J14" s="18"/>
      <c r="K14" s="18"/>
      <c r="Y14" s="18">
        <f>-Y11*LOG(Y11,2)-Z11*LOG(Z11,2)</f>
        <v>0.72192809488736231</v>
      </c>
      <c r="Z14" s="18"/>
      <c r="AB14" s="18" t="s">
        <v>35</v>
      </c>
      <c r="AC14" s="18"/>
      <c r="AD14" s="18"/>
      <c r="AE14" s="18"/>
      <c r="AF14" s="18"/>
      <c r="AY14" s="18" t="s">
        <v>45</v>
      </c>
      <c r="AZ14" s="18"/>
      <c r="BA14" s="18"/>
      <c r="BB14" s="18"/>
      <c r="BC14" s="18"/>
    </row>
    <row r="15" spans="1:56" x14ac:dyDescent="0.3">
      <c r="A15" s="17" t="s">
        <v>13</v>
      </c>
      <c r="B15" s="17"/>
      <c r="D15" s="18" t="s">
        <v>19</v>
      </c>
      <c r="E15" s="18"/>
      <c r="G15" s="18">
        <f>D20-(K11*J11)-(K12*J12)</f>
        <v>0</v>
      </c>
      <c r="H15" s="18"/>
      <c r="I15" s="18"/>
      <c r="J15" s="18"/>
      <c r="K15" s="18"/>
      <c r="AB15" s="18">
        <f>Y14-(AF11*AE11)-(AF12*AE12)</f>
        <v>7.2905595320056027E-2</v>
      </c>
      <c r="AC15" s="18"/>
      <c r="AD15" s="18"/>
      <c r="AE15" s="18"/>
      <c r="AF15" s="18"/>
      <c r="AY15" s="18">
        <f>AV11-(BC11*BB11)-(BC12*BB12)</f>
        <v>0</v>
      </c>
      <c r="AZ15" s="18"/>
      <c r="BA15" s="18"/>
      <c r="BB15" s="18"/>
      <c r="BC15" s="18"/>
    </row>
    <row r="16" spans="1:56" x14ac:dyDescent="0.3">
      <c r="A16" s="11" t="s">
        <v>14</v>
      </c>
      <c r="B16" s="10" t="s">
        <v>16</v>
      </c>
      <c r="D16" s="12" t="s">
        <v>20</v>
      </c>
      <c r="E16" s="12" t="s">
        <v>21</v>
      </c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</row>
    <row r="17" spans="1:55" x14ac:dyDescent="0.3">
      <c r="A17" s="11" t="s">
        <v>15</v>
      </c>
      <c r="B17" s="10" t="s">
        <v>17</v>
      </c>
      <c r="D17" s="12">
        <f>COUNTIF(Table22[GANGGUAN],"NORMAL")/ROWS(Table22[GANGGUAN])</f>
        <v>0.75</v>
      </c>
      <c r="E17" s="12">
        <f>COUNTIF(Table22[GANGGUAN],"GANGGUAN")/ROWS(Table22[GANGGUAN])</f>
        <v>0.25</v>
      </c>
      <c r="G17" s="18" t="s">
        <v>28</v>
      </c>
      <c r="H17" s="18"/>
      <c r="I17" s="18"/>
      <c r="J17" s="18"/>
      <c r="K17" s="18"/>
      <c r="AB17" s="18" t="s">
        <v>31</v>
      </c>
      <c r="AC17" s="18"/>
      <c r="AD17" s="18"/>
      <c r="AE17" s="18"/>
      <c r="AF17" s="18"/>
      <c r="AS17" s="19" t="s">
        <v>46</v>
      </c>
      <c r="AT17" s="19"/>
      <c r="AU17" s="19"/>
      <c r="AV17" s="19"/>
      <c r="AW17" s="19"/>
      <c r="AY17" s="18" t="s">
        <v>25</v>
      </c>
      <c r="AZ17" s="18"/>
      <c r="BA17" s="18"/>
      <c r="BB17" s="18"/>
      <c r="BC17" s="18"/>
    </row>
    <row r="18" spans="1:55" x14ac:dyDescent="0.3">
      <c r="G18" s="12"/>
      <c r="H18" s="12" t="s">
        <v>23</v>
      </c>
      <c r="I18" s="12" t="s">
        <v>21</v>
      </c>
      <c r="J18" s="12" t="s">
        <v>18</v>
      </c>
      <c r="K18" s="12" t="s">
        <v>24</v>
      </c>
      <c r="AB18" s="12"/>
      <c r="AC18" s="12" t="s">
        <v>23</v>
      </c>
      <c r="AD18" s="12" t="s">
        <v>21</v>
      </c>
      <c r="AE18" s="12" t="s">
        <v>18</v>
      </c>
      <c r="AF18" s="12" t="s">
        <v>24</v>
      </c>
      <c r="AS18" s="1" t="s">
        <v>0</v>
      </c>
      <c r="AT18" s="2" t="s">
        <v>1</v>
      </c>
      <c r="AU18" s="2" t="s">
        <v>12</v>
      </c>
      <c r="AV18" s="2" t="s">
        <v>2</v>
      </c>
      <c r="AW18" s="3" t="s">
        <v>3</v>
      </c>
      <c r="AY18" s="12"/>
      <c r="AZ18" s="12" t="s">
        <v>23</v>
      </c>
      <c r="BA18" s="12" t="s">
        <v>21</v>
      </c>
      <c r="BB18" s="12" t="s">
        <v>18</v>
      </c>
      <c r="BC18" s="12" t="s">
        <v>24</v>
      </c>
    </row>
    <row r="19" spans="1:55" x14ac:dyDescent="0.3">
      <c r="D19" s="18" t="s">
        <v>30</v>
      </c>
      <c r="E19" s="18"/>
      <c r="G19" s="12" t="s">
        <v>9</v>
      </c>
      <c r="H19" s="12">
        <f>COUNTIFS(Table22[FREKUENSI],"TINGGI",Table22[GANGGUAN],"NORMAL")/COUNTIF(Table22[FREKUENSI],"TINGGI")</f>
        <v>0.8</v>
      </c>
      <c r="I19" s="12">
        <f>COUNTIFS(Table22[FREKUENSI],"TINGGI",Table22[GANGGUAN],"GANGGUAN")/COUNTIF(Table22[FREKUENSI],"TINGGI")</f>
        <v>0.2</v>
      </c>
      <c r="J19" s="12">
        <f>IFERROR(-H19*LOG(H19,2)-I19*LOG(I19,2),0)</f>
        <v>0.72192809488736231</v>
      </c>
      <c r="K19" s="12">
        <f>COUNTIF(Table22[FREKUENSI],"SEDANG")/ROWS(Table22[GANGGUAN])</f>
        <v>0.41666666666666669</v>
      </c>
      <c r="AB19" s="12" t="s">
        <v>9</v>
      </c>
      <c r="AC19" s="12">
        <f>COUNTIFS($Y3:$Y7,"TINGGI",$Z3:$Z7,"NORMAL")/COUNTIF($Y3:$Y7,"TINGGI")</f>
        <v>0.66666666666666663</v>
      </c>
      <c r="AD19" s="12">
        <f>COUNTIFS($Y3:$Y7,"TINGGI",$Z3:$Z7,"GANGGUAN")/COUNTIF($Y3:$Y7,"TINGGI")</f>
        <v>0.33333333333333331</v>
      </c>
      <c r="AE19" s="12">
        <f>IFERROR(-AC19*LOG(AC19,2)-AD19*LOG(AD19,2),0)</f>
        <v>0.91829583405448956</v>
      </c>
      <c r="AF19" s="12">
        <f>COUNTIF($Y3:$Y7,"TINGGI")/ROWS($Z3:$Z7)</f>
        <v>0.6</v>
      </c>
      <c r="AS19" s="4" t="s">
        <v>4</v>
      </c>
      <c r="AT19" s="5" t="s">
        <v>5</v>
      </c>
      <c r="AU19" s="5" t="s">
        <v>6</v>
      </c>
      <c r="AV19" s="5" t="s">
        <v>7</v>
      </c>
      <c r="AW19" s="6" t="s">
        <v>3</v>
      </c>
      <c r="AY19" s="12" t="s">
        <v>5</v>
      </c>
      <c r="AZ19" s="12">
        <f>COUNTIFS(AT19:AT22,"BESAR",AW19:AW22,"NORMAL")/COUNTIF(AT19:AT22,"BESAR")</f>
        <v>0.5</v>
      </c>
      <c r="BA19" s="12">
        <f>COUNTIFS(AT19:AT22,"BESAR",AW19:AW22,"GANGGUAN")/COUNTIF(AT19:AT22,"BESAR")</f>
        <v>0.5</v>
      </c>
      <c r="BB19" s="12">
        <f>IFERROR(-AZ19*LOG(AZ19,2)-BA19*LOG(BA19,2),0)</f>
        <v>1</v>
      </c>
      <c r="BC19" s="12">
        <f>COUNTIF(AT19:AT22,"KECIL")/ROWS(AW19:AW22)</f>
        <v>0.5</v>
      </c>
    </row>
    <row r="20" spans="1:55" x14ac:dyDescent="0.3">
      <c r="D20" s="18">
        <f>-D17*LOG(D17,2)-E17*LOG(E17,2)</f>
        <v>0.81127812445913283</v>
      </c>
      <c r="E20" s="18"/>
      <c r="G20" s="12" t="s">
        <v>6</v>
      </c>
      <c r="H20" s="12">
        <f>COUNTIFS(Table22[FREKUENSI],"SEDANG",Table22[GANGGUAN],"NORMAL")/COUNTIF(Table22[FREKUENSI],"SEDANG")</f>
        <v>0.6</v>
      </c>
      <c r="I20" s="12">
        <f>COUNTIFS(Table22[FREKUENSI],"SEDANG",Table22[GANGGUAN],"GANGGUAN")/COUNTIF(Table22[FREKUENSI],"SEDANG")</f>
        <v>0.4</v>
      </c>
      <c r="J20" s="12">
        <f t="shared" ref="J20" si="0">IFERROR(-H20*LOG(H20,2)-I20*LOG(I20,2),0)</f>
        <v>0.97095059445466858</v>
      </c>
      <c r="K20" s="12">
        <f>COUNTIF(Table22[FREKUENSI],"SEDANG")/ROWS(Table22[GANGGUAN])</f>
        <v>0.41666666666666669</v>
      </c>
      <c r="AB20" s="12" t="s">
        <v>7</v>
      </c>
      <c r="AC20" s="12">
        <f>COUNTIFS($Y3:$Y7,"RENDAH",$Z3:$Z7,"GANGGUAN")/COUNTIF($Y3:$Y7,"RENDAH")</f>
        <v>0</v>
      </c>
      <c r="AD20" s="12">
        <f>COUNTIFS($Y3:$Y7,"RENDAH",$Z3:$Z7,"NORMAL")/COUNTIF($Y3:$Y7,"RENDAH")</f>
        <v>1</v>
      </c>
      <c r="AE20" s="12">
        <f>IFERROR(-AC20*LOG(AC20,2)-AD20*LOG(AD20,2),0)</f>
        <v>0</v>
      </c>
      <c r="AF20" s="12">
        <f>COUNTIF($Y3:$Y7,"RENDAH")/ROWS($Z3:$Z7)</f>
        <v>0.4</v>
      </c>
      <c r="AS20" s="4" t="s">
        <v>4</v>
      </c>
      <c r="AT20" s="5" t="s">
        <v>8</v>
      </c>
      <c r="AU20" s="5" t="s">
        <v>6</v>
      </c>
      <c r="AV20" s="5" t="s">
        <v>9</v>
      </c>
      <c r="AW20" s="6" t="s">
        <v>3</v>
      </c>
      <c r="AY20" s="12" t="s">
        <v>8</v>
      </c>
      <c r="AZ20" s="12">
        <f>COUNTIFS(AT19:AT22,"KECIL",AW19:AW22,"NORMAL")/COUNTIF(AT19:AT22,"KECIL")</f>
        <v>0.5</v>
      </c>
      <c r="BA20" s="12">
        <f>COUNTIFS(AT19:AT22,"KECIL",AW19:AW22,"GANGGUAN")/COUNTIF(AT19:AT22,"KECIL")</f>
        <v>0.5</v>
      </c>
      <c r="BB20" s="12">
        <f>IFERROR(-AZ20*LOG(AZ20,2)-BA20*LOG(BA20,2),0)</f>
        <v>1</v>
      </c>
      <c r="BC20" s="12">
        <f>COUNTIF(AT19:AT22,"BESAR")/ROWS(AW19:AW22)</f>
        <v>0.5</v>
      </c>
    </row>
    <row r="21" spans="1:55" x14ac:dyDescent="0.3">
      <c r="A21" s="13"/>
      <c r="G21" s="12" t="s">
        <v>7</v>
      </c>
      <c r="H21" s="12">
        <f>COUNTIFS(Table22[FREKUENSI],"RENDAH",Table22[GANGGUAN],"NORMAL")/COUNTIF(Table22[FREKUENSI],"RENDAH")</f>
        <v>1</v>
      </c>
      <c r="I21" s="12">
        <f>COUNTIFS(Table22[FREKUENSI],"RENDAH",Table22[GANGGUAN],"GANGGUAN")/COUNTIF(Table22[FREKUENSI],"RENDAH")</f>
        <v>0</v>
      </c>
      <c r="J21" s="12">
        <f>IFERROR(-H21*LOG(H21,2)-I21*LOG(I21,2),0)</f>
        <v>0</v>
      </c>
      <c r="K21" s="12">
        <f>COUNTIF(Table22[FREKUENSI],"RENDAH")/ROWS(Table22[GANGGUAN])</f>
        <v>0.16666666666666666</v>
      </c>
      <c r="AS21" s="4" t="s">
        <v>4</v>
      </c>
      <c r="AT21" s="5" t="s">
        <v>8</v>
      </c>
      <c r="AU21" s="5" t="s">
        <v>6</v>
      </c>
      <c r="AV21" s="5" t="s">
        <v>9</v>
      </c>
      <c r="AW21" s="6" t="s">
        <v>10</v>
      </c>
    </row>
    <row r="22" spans="1:55" x14ac:dyDescent="0.3">
      <c r="AB22" s="18" t="s">
        <v>40</v>
      </c>
      <c r="AC22" s="18"/>
      <c r="AD22" s="18"/>
      <c r="AE22" s="18"/>
      <c r="AF22" s="18"/>
      <c r="AS22" s="7" t="s">
        <v>4</v>
      </c>
      <c r="AT22" s="8" t="s">
        <v>5</v>
      </c>
      <c r="AU22" s="8" t="s">
        <v>6</v>
      </c>
      <c r="AV22" s="8" t="s">
        <v>7</v>
      </c>
      <c r="AW22" s="9" t="s">
        <v>10</v>
      </c>
      <c r="AY22" s="18" t="s">
        <v>49</v>
      </c>
      <c r="AZ22" s="18"/>
      <c r="BA22" s="18"/>
      <c r="BB22" s="18"/>
      <c r="BC22" s="18"/>
    </row>
    <row r="23" spans="1:55" x14ac:dyDescent="0.3">
      <c r="G23" s="18" t="s">
        <v>29</v>
      </c>
      <c r="H23" s="18"/>
      <c r="I23" s="18"/>
      <c r="J23" s="18"/>
      <c r="K23" s="18"/>
      <c r="AB23" s="18">
        <f>Y14-(AF19*AE19)-(AF20*AE20)</f>
        <v>0.17095059445466865</v>
      </c>
      <c r="AC23" s="18"/>
      <c r="AD23" s="18"/>
      <c r="AE23" s="18"/>
      <c r="AF23" s="18"/>
      <c r="AY23" s="20">
        <f>AV29-(BC19*BB19)-(BC20*BB20)</f>
        <v>0</v>
      </c>
      <c r="AZ23" s="20"/>
      <c r="BA23" s="20"/>
      <c r="BB23" s="20"/>
      <c r="BC23" s="20"/>
    </row>
    <row r="24" spans="1:55" x14ac:dyDescent="0.3">
      <c r="G24" s="20">
        <f>D20-(K19*J19)-(K20*J20)-(K21*J21)</f>
        <v>0.10591200389995331</v>
      </c>
      <c r="H24" s="20"/>
      <c r="I24" s="20"/>
      <c r="J24" s="20"/>
      <c r="K24" s="20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V24" s="18" t="s">
        <v>47</v>
      </c>
      <c r="AW24" s="18"/>
    </row>
    <row r="25" spans="1:55" x14ac:dyDescent="0.3">
      <c r="V25" s="19" t="s">
        <v>38</v>
      </c>
      <c r="W25" s="19"/>
      <c r="X25" s="19"/>
      <c r="Y25" s="19"/>
      <c r="Z25" s="19"/>
      <c r="AB25" s="18" t="s">
        <v>22</v>
      </c>
      <c r="AC25" s="18"/>
      <c r="AD25" s="18"/>
      <c r="AE25" s="18"/>
      <c r="AF25" s="18"/>
      <c r="AV25" s="12" t="s">
        <v>20</v>
      </c>
      <c r="AW25" s="12" t="s">
        <v>21</v>
      </c>
      <c r="AY25" s="18" t="s">
        <v>31</v>
      </c>
      <c r="AZ25" s="18"/>
      <c r="BA25" s="18"/>
      <c r="BB25" s="18"/>
      <c r="BC25" s="18"/>
    </row>
    <row r="26" spans="1:55" x14ac:dyDescent="0.3">
      <c r="G26" s="18" t="s">
        <v>31</v>
      </c>
      <c r="H26" s="18"/>
      <c r="I26" s="18"/>
      <c r="J26" s="18"/>
      <c r="K26" s="18"/>
      <c r="V26" s="1" t="s">
        <v>0</v>
      </c>
      <c r="W26" s="2" t="s">
        <v>1</v>
      </c>
      <c r="X26" s="2" t="s">
        <v>12</v>
      </c>
      <c r="Y26" s="2" t="s">
        <v>2</v>
      </c>
      <c r="Z26" s="3" t="s">
        <v>3</v>
      </c>
      <c r="AB26" s="12"/>
      <c r="AC26" s="12" t="s">
        <v>23</v>
      </c>
      <c r="AD26" s="12" t="s">
        <v>21</v>
      </c>
      <c r="AE26" s="12" t="s">
        <v>18</v>
      </c>
      <c r="AF26" s="12" t="s">
        <v>24</v>
      </c>
      <c r="AV26" s="12">
        <f>COUNTIF(AW19:AW22,"NORMAL")/ROWS(AW19:AW22)</f>
        <v>0.5</v>
      </c>
      <c r="AW26" s="12">
        <f>COUNTIF(AW19:AW22,"NORMAL")/ROWS(AW19:AW22)</f>
        <v>0.5</v>
      </c>
      <c r="AY26" s="12"/>
      <c r="AZ26" s="12" t="s">
        <v>23</v>
      </c>
      <c r="BA26" s="12" t="s">
        <v>21</v>
      </c>
      <c r="BB26" s="12" t="s">
        <v>18</v>
      </c>
      <c r="BC26" s="12" t="s">
        <v>24</v>
      </c>
    </row>
    <row r="27" spans="1:55" x14ac:dyDescent="0.3">
      <c r="G27" s="12"/>
      <c r="H27" s="12" t="s">
        <v>23</v>
      </c>
      <c r="I27" s="12" t="s">
        <v>21</v>
      </c>
      <c r="J27" s="12" t="s">
        <v>18</v>
      </c>
      <c r="K27" s="12" t="s">
        <v>24</v>
      </c>
      <c r="V27" s="4" t="s">
        <v>4</v>
      </c>
      <c r="W27" s="5" t="s">
        <v>5</v>
      </c>
      <c r="X27" s="5" t="s">
        <v>6</v>
      </c>
      <c r="Y27" s="5" t="s">
        <v>7</v>
      </c>
      <c r="Z27" s="6" t="s">
        <v>3</v>
      </c>
      <c r="AB27" s="12" t="s">
        <v>11</v>
      </c>
      <c r="AC27" s="12">
        <f>COUNTIFS($V27:$V31,"PANJANG",$Z27:$Z31,"NORMAL")/COUNTIF($V27:$V31,"PANJANG")</f>
        <v>1</v>
      </c>
      <c r="AD27" s="12">
        <f>COUNTIFS($V27:$V31,"PANJANG",$Z27:$Z31,"GANGGUAN")/COUNTIF($V27:$V31,"PANJANG")</f>
        <v>0</v>
      </c>
      <c r="AE27" s="12">
        <f>IFERROR(-AC27*LOG(AC27,2)-AD27*LOG(AD27,2),0)</f>
        <v>0</v>
      </c>
      <c r="AF27" s="12">
        <f>COUNTIF($V27:$V31,"PANJANG")/ROWS($Z27:$Z31)</f>
        <v>0.2</v>
      </c>
      <c r="AY27" s="12" t="s">
        <v>9</v>
      </c>
      <c r="AZ27" s="12">
        <f>COUNTIFS(AV19:AV22,"TINGGI",AW19:AW22,"NORMAL")/COUNTIF(AV19:AV22,"TINGGI")</f>
        <v>0.5</v>
      </c>
      <c r="BA27" s="12">
        <f>COUNTIFS(AV19:AV22,"TINGGI",AW19:AW22,"GANGGUAN")/COUNTIF(AV19:AV22,"TINGGI")</f>
        <v>0.5</v>
      </c>
      <c r="BB27" s="12">
        <f>IFERROR(-AZ27*LOG(AZ27,2)-BA27*LOG(BA27,2),0)</f>
        <v>1</v>
      </c>
      <c r="BC27" s="12">
        <f>COUNTIF(AV19:AV22,"TINGGI")/ROWS(AW19:AW22)</f>
        <v>0.5</v>
      </c>
    </row>
    <row r="28" spans="1:55" x14ac:dyDescent="0.3">
      <c r="G28" s="12" t="s">
        <v>9</v>
      </c>
      <c r="H28" s="12">
        <f>COUNTIFS(Table22[PRIORITAS],"TINGGI",Table22[GANGGUAN],"NORMAL")/COUNTIF(Table22[PRIORITAS],"TINGGI")</f>
        <v>0.7142857142857143</v>
      </c>
      <c r="I28" s="12">
        <f>COUNTIFS(Table22[PRIORITAS],"TINGGI",Table22[GANGGUAN],"GANGGUAN")/COUNTIF(Table22[PRIORITAS],"TINGGI")</f>
        <v>0.2857142857142857</v>
      </c>
      <c r="J28" s="12">
        <f>-H28*LOG(H28,2)-I28*LOG(I28,2)</f>
        <v>0.863120568566631</v>
      </c>
      <c r="K28" s="12">
        <f>COUNTIF(Table22[PRIORITAS],"TINGGI")/ROWS(Table22[GANGGUAN])</f>
        <v>0.58333333333333337</v>
      </c>
      <c r="V28" s="4" t="s">
        <v>4</v>
      </c>
      <c r="W28" s="5" t="s">
        <v>8</v>
      </c>
      <c r="X28" s="5" t="s">
        <v>6</v>
      </c>
      <c r="Y28" s="5" t="s">
        <v>9</v>
      </c>
      <c r="Z28" s="6" t="s">
        <v>3</v>
      </c>
      <c r="AB28" s="12" t="s">
        <v>4</v>
      </c>
      <c r="AC28" s="12">
        <f>COUNTIFS($V27:$V31,"PENDEK",$Z27:$Z31,"NORMAL")/COUNTIF($V27:$V31,"PENDEK")</f>
        <v>0.5</v>
      </c>
      <c r="AD28" s="12">
        <f>COUNTIFS($V27:$V31,"PENDEK",$Z27:$Z31,"GANGGUAN")/COUNTIF($V27:$V31,"PENDEK")</f>
        <v>0.5</v>
      </c>
      <c r="AE28" s="12">
        <f>IFERROR(-AC28*LOG(AC28,2)-AD28*LOG(AD28,2),0)</f>
        <v>1</v>
      </c>
      <c r="AF28" s="12">
        <f>COUNTIF($V27:$V31,"PENDEK")/ROWS($Z27:$Z31)</f>
        <v>0.8</v>
      </c>
      <c r="AV28" s="18" t="s">
        <v>48</v>
      </c>
      <c r="AW28" s="18"/>
      <c r="AY28" s="12" t="s">
        <v>7</v>
      </c>
      <c r="AZ28" s="12">
        <f>COUNTIFS(AV19:AV22,"RENDAH",AW19:AW22,"NORMAL")/COUNTIF(AV19:AV22,"RENDAH")</f>
        <v>0.5</v>
      </c>
      <c r="BA28" s="12">
        <f>COUNTIFS(AV19:AV22,"RENDAH",AW19:AW22,"GANGGUAN")/COUNTIF(AV19:AV22,"RENDAH")</f>
        <v>0.5</v>
      </c>
      <c r="BB28" s="12">
        <f>IFERROR(-AZ28*LOG(AZ28,2)-BA28*LOG(BA28,2),0)</f>
        <v>1</v>
      </c>
      <c r="BC28" s="12">
        <f>IFERROR(COUNTIF(AV19:AV22,"RENDAH")/ROWS(AW19:AW22),0)</f>
        <v>0.5</v>
      </c>
    </row>
    <row r="29" spans="1:55" x14ac:dyDescent="0.3">
      <c r="G29" s="12" t="s">
        <v>7</v>
      </c>
      <c r="H29" s="12">
        <f>COUNTIFS(Table22[PRIORITAS],"RENDAH",Table22[GANGGUAN],"NORMAL")/COUNTIF(Table22[PRIORITAS],"RENDAH")</f>
        <v>0.8</v>
      </c>
      <c r="I29" s="12">
        <f>COUNTIFS(Table22[PRIORITAS],"RENDAH",Table22[GANGGUAN],"GANGGUAN")/COUNTIF(Table22[PRIORITAS],"RENDAH")</f>
        <v>0.2</v>
      </c>
      <c r="J29" s="12">
        <f>-H29*LOG(H29,2)-I29*LOG(I29,2)</f>
        <v>0.72192809488736231</v>
      </c>
      <c r="K29" s="12">
        <f>COUNTIF(Table22[PRIORITAS],"RENDAH")/ROWS(Table22[GANGGUAN])</f>
        <v>0.41666666666666669</v>
      </c>
      <c r="V29" s="4" t="s">
        <v>4</v>
      </c>
      <c r="W29" s="5" t="s">
        <v>8</v>
      </c>
      <c r="X29" s="5" t="s">
        <v>6</v>
      </c>
      <c r="Y29" s="5" t="s">
        <v>9</v>
      </c>
      <c r="Z29" s="6" t="s">
        <v>10</v>
      </c>
      <c r="AV29" s="18">
        <f>-AV26*LOG(AV26,2)-AW26*LOG(AW26,2)</f>
        <v>1</v>
      </c>
      <c r="AW29" s="18"/>
    </row>
    <row r="30" spans="1:55" x14ac:dyDescent="0.3">
      <c r="V30" s="7" t="s">
        <v>11</v>
      </c>
      <c r="W30" s="8" t="s">
        <v>5</v>
      </c>
      <c r="X30" s="8" t="s">
        <v>6</v>
      </c>
      <c r="Y30" s="8" t="s">
        <v>7</v>
      </c>
      <c r="Z30" s="9" t="s">
        <v>10</v>
      </c>
      <c r="AB30" s="18" t="s">
        <v>34</v>
      </c>
      <c r="AC30" s="18"/>
      <c r="AD30" s="18"/>
      <c r="AE30" s="18"/>
      <c r="AF30" s="18"/>
      <c r="AY30" s="18" t="s">
        <v>50</v>
      </c>
      <c r="AZ30" s="18"/>
      <c r="BA30" s="18"/>
      <c r="BB30" s="18"/>
      <c r="BC30" s="18"/>
    </row>
    <row r="31" spans="1:55" x14ac:dyDescent="0.3">
      <c r="G31" s="18" t="s">
        <v>32</v>
      </c>
      <c r="H31" s="18"/>
      <c r="I31" s="18"/>
      <c r="J31" s="18"/>
      <c r="K31" s="18"/>
      <c r="V31" s="7" t="s">
        <v>4</v>
      </c>
      <c r="W31" s="8" t="s">
        <v>5</v>
      </c>
      <c r="X31" s="8" t="s">
        <v>6</v>
      </c>
      <c r="Y31" s="8" t="s">
        <v>7</v>
      </c>
      <c r="Z31" s="9" t="s">
        <v>10</v>
      </c>
      <c r="AB31" s="20">
        <f>Y38-(AF27*AE27)-(AF28*AE28)</f>
        <v>0.17095059445466854</v>
      </c>
      <c r="AC31" s="20"/>
      <c r="AD31" s="20"/>
      <c r="AE31" s="20"/>
      <c r="AF31" s="20"/>
      <c r="AY31" s="18">
        <f>AV29-(BC27*BB27)-(BC28*BB28)</f>
        <v>0</v>
      </c>
      <c r="AZ31" s="18"/>
      <c r="BA31" s="18"/>
      <c r="BB31" s="18"/>
      <c r="BC31" s="18"/>
    </row>
    <row r="32" spans="1:55" x14ac:dyDescent="0.3">
      <c r="G32" s="18">
        <f>D20-(K28*J28)-(K29*J29)</f>
        <v>6.9877532588637492E-3</v>
      </c>
      <c r="H32" s="18"/>
      <c r="I32" s="18"/>
      <c r="J32" s="18"/>
      <c r="K32" s="18"/>
    </row>
    <row r="33" spans="25:63" x14ac:dyDescent="0.3">
      <c r="Y33" s="18" t="s">
        <v>39</v>
      </c>
      <c r="Z33" s="18"/>
      <c r="AB33" s="18" t="s">
        <v>25</v>
      </c>
      <c r="AC33" s="18"/>
      <c r="AD33" s="18"/>
      <c r="AE33" s="18"/>
      <c r="AF33" s="18"/>
      <c r="AY33" s="15" t="s">
        <v>51</v>
      </c>
      <c r="AZ33" s="15"/>
      <c r="BA33" s="15"/>
      <c r="BB33" s="15"/>
      <c r="BC33" s="15"/>
      <c r="BD33" s="15"/>
      <c r="BE33" s="15"/>
    </row>
    <row r="34" spans="25:63" x14ac:dyDescent="0.3">
      <c r="Y34" s="12" t="s">
        <v>20</v>
      </c>
      <c r="Z34" s="12" t="s">
        <v>21</v>
      </c>
      <c r="AB34" s="12"/>
      <c r="AC34" s="12" t="s">
        <v>23</v>
      </c>
      <c r="AD34" s="12" t="s">
        <v>21</v>
      </c>
      <c r="AE34" s="12" t="s">
        <v>18</v>
      </c>
      <c r="AF34" s="12" t="s">
        <v>24</v>
      </c>
    </row>
    <row r="35" spans="25:63" x14ac:dyDescent="0.3">
      <c r="Y35" s="12">
        <f>COUNTIF(Z27:Z31,"NORMAL")/ROWS(Z27:Z31)</f>
        <v>0.6</v>
      </c>
      <c r="Z35" s="12">
        <f>COUNTIF(Z27:Z31,"GANGGUAN")/ROWS(Z27:Z31)</f>
        <v>0.4</v>
      </c>
      <c r="AB35" s="12" t="s">
        <v>5</v>
      </c>
      <c r="AC35" s="12">
        <f>COUNTIFS($W27:$W31,"BESAR",$Z27:$Z31,"NORMAL")/COUNTIF($W27:$W31,"BESAR")</f>
        <v>0.66666666666666663</v>
      </c>
      <c r="AD35" s="12">
        <f>COUNTIFS($W27:$W31,"BESAR",$Z27:$Z31,"GANGGUAN")/COUNTIF($W27:$W31,"BESAR")</f>
        <v>0.33333333333333331</v>
      </c>
      <c r="AE35" s="12">
        <f>IFERROR(-AC35*LOG(AC35,2)-AD35*LOG(AD35,2),0)</f>
        <v>0.91829583405448956</v>
      </c>
      <c r="AF35" s="12">
        <f>COUNTIF($W27:$W31,"BESAR")/ROWS($Z27:$Z31)</f>
        <v>0.6</v>
      </c>
    </row>
    <row r="36" spans="25:63" x14ac:dyDescent="0.3">
      <c r="AB36" s="12" t="s">
        <v>8</v>
      </c>
      <c r="AC36" s="12">
        <f>COUNTIFS($W27:$W31,"KECIL",$Z27:$Z31,"NORMAL")/COUNTIF($W27:$W31,"KECIL")</f>
        <v>0.5</v>
      </c>
      <c r="AD36" s="12">
        <f>COUNTIFS($W27:$W31,"KECIL",$Z27:$Z31,"GANGGUAN")/COUNTIF($W27:$W31,"KECIL")</f>
        <v>0.5</v>
      </c>
      <c r="AE36" s="12">
        <f>IFERROR(-AC36*LOG(AC36,2)-AD36*LOG(AD36,2),0)</f>
        <v>1</v>
      </c>
      <c r="AF36" s="12">
        <f>COUNTIF($W27:$W31,"KECIL")/ROWS($Z27:$Z31)</f>
        <v>0.4</v>
      </c>
    </row>
    <row r="37" spans="25:63" x14ac:dyDescent="0.3">
      <c r="Y37" s="18" t="s">
        <v>37</v>
      </c>
      <c r="Z37" s="18"/>
    </row>
    <row r="38" spans="25:63" x14ac:dyDescent="0.3">
      <c r="Y38" s="18">
        <f>-Y35*LOG(Y35,2)-Z35*LOG(Z35,2)</f>
        <v>0.97095059445466858</v>
      </c>
      <c r="Z38" s="18"/>
      <c r="AB38" s="18" t="s">
        <v>35</v>
      </c>
      <c r="AC38" s="18"/>
      <c r="AD38" s="18"/>
      <c r="AE38" s="18"/>
      <c r="AF38" s="18"/>
    </row>
    <row r="39" spans="25:63" x14ac:dyDescent="0.3">
      <c r="AB39" s="18">
        <f>Y38-(AF35*AE35)-(AF36*AE36)</f>
        <v>1.9973094021974891E-2</v>
      </c>
      <c r="AC39" s="18"/>
      <c r="AD39" s="18"/>
      <c r="AE39" s="18"/>
      <c r="AF39" s="18"/>
      <c r="BF39" s="16" t="s">
        <v>60</v>
      </c>
      <c r="BG39" s="16"/>
      <c r="BH39" s="16"/>
      <c r="BI39" s="16"/>
      <c r="BJ39" s="16"/>
      <c r="BK39" s="16"/>
    </row>
    <row r="41" spans="25:63" x14ac:dyDescent="0.3">
      <c r="AB41" s="18" t="s">
        <v>31</v>
      </c>
      <c r="AC41" s="18"/>
      <c r="AD41" s="18"/>
      <c r="AE41" s="18"/>
      <c r="AF41" s="18"/>
    </row>
    <row r="42" spans="25:63" x14ac:dyDescent="0.3">
      <c r="AB42" s="12"/>
      <c r="AC42" s="12" t="s">
        <v>23</v>
      </c>
      <c r="AD42" s="12" t="s">
        <v>21</v>
      </c>
      <c r="AE42" s="12" t="s">
        <v>18</v>
      </c>
      <c r="AF42" s="12" t="s">
        <v>24</v>
      </c>
    </row>
    <row r="43" spans="25:63" x14ac:dyDescent="0.3">
      <c r="AB43" s="12" t="s">
        <v>9</v>
      </c>
      <c r="AC43" s="12">
        <f>COUNTIFS($Y27:$Y31,"TINGGI",$Z27:$Z31,"NORMAL")/COUNTIF($Y27:$Y31,"TINGGI")</f>
        <v>0.5</v>
      </c>
      <c r="AD43" s="12">
        <f>COUNTIFS($Y27:$Y31,"TINGGI",$Z27:$Z31,"GANGGUAN")/COUNTIF($Y27:$Y31,"TINGGI")</f>
        <v>0.5</v>
      </c>
      <c r="AE43" s="12">
        <f>IFERROR(-AC43*LOG(AC43,2)-AD43*LOG(AD43,2),0)</f>
        <v>1</v>
      </c>
      <c r="AF43" s="12">
        <f>COUNTIF($Y27:$Y31,"TINGGI")/ROWS($Z27:$Z31)</f>
        <v>0.4</v>
      </c>
    </row>
    <row r="44" spans="25:63" x14ac:dyDescent="0.3">
      <c r="AB44" s="12" t="s">
        <v>7</v>
      </c>
      <c r="AC44" s="12">
        <f>COUNTIFS($Y27:$Y31,"RENDAH",$Z27:$Z31,"NORMAL")/COUNTIF($Y27:$Y31,"RENDAH")</f>
        <v>0.66666666666666663</v>
      </c>
      <c r="AD44" s="12">
        <f>COUNTIFS($Y27:$Y31,"RENDAH",$Z27:$Z31,"GANGGUAN")/COUNTIF($Y27:$Y31,"RENDAH")</f>
        <v>0.33333333333333331</v>
      </c>
      <c r="AE44" s="12">
        <f>IFERROR(-AC44*LOG(AC44,2)-AD44*LOG(AD44,2),0)</f>
        <v>0.91829583405448956</v>
      </c>
      <c r="AF44" s="12">
        <f>COUNTIF($Y27:$Y31,"RENDAH")/ROWS($Z27:$Z31)</f>
        <v>0.6</v>
      </c>
    </row>
    <row r="46" spans="25:63" x14ac:dyDescent="0.3">
      <c r="AB46" s="18" t="s">
        <v>40</v>
      </c>
      <c r="AC46" s="18"/>
      <c r="AD46" s="18"/>
      <c r="AE46" s="18"/>
      <c r="AF46" s="18"/>
    </row>
    <row r="47" spans="25:63" x14ac:dyDescent="0.3">
      <c r="AB47" s="18">
        <f>Y38-(AF43*AE43)-(AF44*AE44)</f>
        <v>1.9973094021974891E-2</v>
      </c>
      <c r="AC47" s="18"/>
      <c r="AD47" s="18"/>
      <c r="AE47" s="18"/>
      <c r="AF47" s="18"/>
    </row>
  </sheetData>
  <mergeCells count="63">
    <mergeCell ref="AY23:BC23"/>
    <mergeCell ref="AY25:BC25"/>
    <mergeCell ref="AY1:BC1"/>
    <mergeCell ref="AY6:BC6"/>
    <mergeCell ref="AY7:BC7"/>
    <mergeCell ref="AY9:BC9"/>
    <mergeCell ref="AY14:BC14"/>
    <mergeCell ref="AY15:BC15"/>
    <mergeCell ref="AB39:AF39"/>
    <mergeCell ref="AB41:AF41"/>
    <mergeCell ref="AB46:AF46"/>
    <mergeCell ref="AB47:AF47"/>
    <mergeCell ref="AV24:AW24"/>
    <mergeCell ref="AB17:AF17"/>
    <mergeCell ref="AB22:AF22"/>
    <mergeCell ref="AB23:AF23"/>
    <mergeCell ref="AB15:AF15"/>
    <mergeCell ref="AY30:BC30"/>
    <mergeCell ref="AY31:BC31"/>
    <mergeCell ref="AV28:AW28"/>
    <mergeCell ref="AV29:AW29"/>
    <mergeCell ref="AY17:BC17"/>
    <mergeCell ref="AY22:BC22"/>
    <mergeCell ref="V25:Z25"/>
    <mergeCell ref="Y33:Z33"/>
    <mergeCell ref="Y37:Z37"/>
    <mergeCell ref="AS1:AW1"/>
    <mergeCell ref="AV6:AW6"/>
    <mergeCell ref="AV10:AW10"/>
    <mergeCell ref="AV11:AW11"/>
    <mergeCell ref="AS17:AW17"/>
    <mergeCell ref="V1:Z1"/>
    <mergeCell ref="AB1:AF1"/>
    <mergeCell ref="AB14:AF14"/>
    <mergeCell ref="G23:K23"/>
    <mergeCell ref="G24:K24"/>
    <mergeCell ref="Y9:Z9"/>
    <mergeCell ref="Y13:Z13"/>
    <mergeCell ref="Y14:Z14"/>
    <mergeCell ref="AB6:AF6"/>
    <mergeCell ref="AB7:AF7"/>
    <mergeCell ref="AB9:AF9"/>
    <mergeCell ref="G1:K1"/>
    <mergeCell ref="G6:K6"/>
    <mergeCell ref="G7:K7"/>
    <mergeCell ref="G9:K9"/>
    <mergeCell ref="G14:K14"/>
    <mergeCell ref="BF39:BK39"/>
    <mergeCell ref="A15:B15"/>
    <mergeCell ref="D15:E15"/>
    <mergeCell ref="D19:E19"/>
    <mergeCell ref="G15:K15"/>
    <mergeCell ref="G17:K17"/>
    <mergeCell ref="D20:E20"/>
    <mergeCell ref="G26:K26"/>
    <mergeCell ref="G31:K31"/>
    <mergeCell ref="G32:K32"/>
    <mergeCell ref="Y38:Z38"/>
    <mergeCell ref="AB25:AF25"/>
    <mergeCell ref="AB30:AF30"/>
    <mergeCell ref="AB31:AF31"/>
    <mergeCell ref="AB33:AF33"/>
    <mergeCell ref="AB38:AF38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7DD0-71EF-4F1E-845E-5DE6E696C930}">
  <dimension ref="A1:BU47"/>
  <sheetViews>
    <sheetView tabSelected="1" topLeftCell="AV37" zoomScale="85" zoomScaleNormal="85" workbookViewId="0">
      <selection activeCell="BS40" sqref="BS40"/>
    </sheetView>
  </sheetViews>
  <sheetFormatPr defaultRowHeight="14.4" x14ac:dyDescent="0.3"/>
  <cols>
    <col min="1" max="1" width="9.77734375" bestFit="1" customWidth="1"/>
    <col min="2" max="2" width="9" bestFit="1" customWidth="1"/>
    <col min="3" max="3" width="13.33203125" bestFit="1" customWidth="1"/>
    <col min="4" max="4" width="12.77734375" bestFit="1" customWidth="1"/>
    <col min="5" max="5" width="13.6640625" bestFit="1" customWidth="1"/>
    <col min="7" max="7" width="9" bestFit="1" customWidth="1"/>
    <col min="8" max="11" width="12.44140625" bestFit="1" customWidth="1"/>
    <col min="23" max="23" width="9" bestFit="1" customWidth="1"/>
    <col min="24" max="25" width="10.6640625" bestFit="1" customWidth="1"/>
    <col min="26" max="26" width="11.109375" bestFit="1" customWidth="1"/>
    <col min="32" max="32" width="12.109375" bestFit="1" customWidth="1"/>
    <col min="47" max="47" width="10.6640625" bestFit="1" customWidth="1"/>
    <col min="49" max="49" width="12.77734375" customWidth="1"/>
    <col min="53" max="53" width="13.21875" customWidth="1"/>
    <col min="55" max="55" width="12.109375" bestFit="1" customWidth="1"/>
    <col min="56" max="56" width="15.88671875" customWidth="1"/>
  </cols>
  <sheetData>
    <row r="1" spans="1:57" x14ac:dyDescent="0.3">
      <c r="A1" t="s">
        <v>0</v>
      </c>
      <c r="B1" t="s">
        <v>1</v>
      </c>
      <c r="C1" t="s">
        <v>12</v>
      </c>
      <c r="D1" t="s">
        <v>2</v>
      </c>
      <c r="E1" t="s">
        <v>3</v>
      </c>
      <c r="G1" s="18" t="s">
        <v>22</v>
      </c>
      <c r="H1" s="18"/>
      <c r="I1" s="18"/>
      <c r="J1" s="18"/>
      <c r="K1" s="18"/>
      <c r="L1" s="18"/>
      <c r="V1" s="19" t="s">
        <v>33</v>
      </c>
      <c r="W1" s="19"/>
      <c r="X1" s="19"/>
      <c r="Y1" s="19"/>
      <c r="Z1" s="19"/>
      <c r="AB1" s="18" t="s">
        <v>22</v>
      </c>
      <c r="AC1" s="18"/>
      <c r="AD1" s="18"/>
      <c r="AE1" s="18"/>
      <c r="AF1" s="18"/>
      <c r="AG1" s="18"/>
      <c r="AS1" s="19" t="s">
        <v>41</v>
      </c>
      <c r="AT1" s="19"/>
      <c r="AU1" s="19"/>
      <c r="AV1" s="19"/>
      <c r="AW1" s="19"/>
      <c r="AY1" s="18" t="s">
        <v>25</v>
      </c>
      <c r="AZ1" s="18"/>
      <c r="BA1" s="18"/>
      <c r="BB1" s="18"/>
      <c r="BC1" s="18"/>
      <c r="BD1" s="18"/>
    </row>
    <row r="2" spans="1:57" x14ac:dyDescent="0.3">
      <c r="A2" t="s">
        <v>4</v>
      </c>
      <c r="B2" t="s">
        <v>5</v>
      </c>
      <c r="C2" t="s">
        <v>6</v>
      </c>
      <c r="D2" t="s">
        <v>7</v>
      </c>
      <c r="E2" t="s">
        <v>3</v>
      </c>
      <c r="G2" s="12"/>
      <c r="H2" s="12" t="s">
        <v>23</v>
      </c>
      <c r="I2" s="12" t="s">
        <v>21</v>
      </c>
      <c r="J2" s="12" t="s">
        <v>18</v>
      </c>
      <c r="K2" s="12" t="s">
        <v>24</v>
      </c>
      <c r="L2" s="12" t="s">
        <v>52</v>
      </c>
      <c r="V2" s="1" t="s">
        <v>0</v>
      </c>
      <c r="W2" s="2" t="s">
        <v>1</v>
      </c>
      <c r="X2" s="2" t="s">
        <v>12</v>
      </c>
      <c r="Y2" s="2" t="s">
        <v>2</v>
      </c>
      <c r="Z2" s="3" t="s">
        <v>3</v>
      </c>
      <c r="AB2" s="12"/>
      <c r="AC2" s="12" t="s">
        <v>23</v>
      </c>
      <c r="AD2" s="12" t="s">
        <v>21</v>
      </c>
      <c r="AE2" s="12" t="s">
        <v>18</v>
      </c>
      <c r="AF2" s="12" t="s">
        <v>24</v>
      </c>
      <c r="AG2" s="12" t="s">
        <v>52</v>
      </c>
      <c r="AS2" s="1" t="s">
        <v>0</v>
      </c>
      <c r="AT2" s="2" t="s">
        <v>1</v>
      </c>
      <c r="AU2" s="2" t="s">
        <v>12</v>
      </c>
      <c r="AV2" s="2" t="s">
        <v>2</v>
      </c>
      <c r="AW2" s="3" t="s">
        <v>3</v>
      </c>
      <c r="AY2" s="12"/>
      <c r="AZ2" s="12" t="s">
        <v>23</v>
      </c>
      <c r="BA2" s="12" t="s">
        <v>21</v>
      </c>
      <c r="BB2" s="12" t="s">
        <v>18</v>
      </c>
      <c r="BC2" s="12" t="s">
        <v>24</v>
      </c>
      <c r="BD2" s="12" t="s">
        <v>52</v>
      </c>
    </row>
    <row r="3" spans="1:57" x14ac:dyDescent="0.3">
      <c r="A3" t="s">
        <v>4</v>
      </c>
      <c r="B3" t="s">
        <v>8</v>
      </c>
      <c r="C3" t="s">
        <v>9</v>
      </c>
      <c r="D3" t="s">
        <v>7</v>
      </c>
      <c r="E3" t="s">
        <v>10</v>
      </c>
      <c r="G3" s="12" t="s">
        <v>11</v>
      </c>
      <c r="H3" s="12">
        <f>COUNTIFS(Table224[WAKTU],"PANJANG",Table224[GANGGUAN],"NORMAL")/COUNTIF(Table224[WAKTU],"PANJANG")</f>
        <v>0.8</v>
      </c>
      <c r="I3" s="12">
        <f>COUNTIFS(Table224[WAKTU],"PANJANG",Table224[GANGGUAN],"GANGGUAN")/COUNTIF(Table224[WAKTU],"PANJANG")</f>
        <v>0.2</v>
      </c>
      <c r="J3" s="12">
        <f>-H3*LOG(H3,2)-I3*LOG(I3,2)</f>
        <v>0.72192809488736231</v>
      </c>
      <c r="K3" s="12">
        <f>COUNTIF(Table224[WAKTU],"PANJANG")/ROWS(Table224[GANGGUAN])</f>
        <v>0.41666666666666669</v>
      </c>
      <c r="L3" s="24">
        <f>-K3*LOG(K3,2)-K4*LOG(K4,2)</f>
        <v>0.97986875665115269</v>
      </c>
      <c r="V3" s="7" t="s">
        <v>4</v>
      </c>
      <c r="W3" s="8" t="s">
        <v>8</v>
      </c>
      <c r="X3" s="8" t="s">
        <v>9</v>
      </c>
      <c r="Y3" s="8" t="s">
        <v>7</v>
      </c>
      <c r="Z3" s="9" t="s">
        <v>10</v>
      </c>
      <c r="AB3" s="12" t="s">
        <v>11</v>
      </c>
      <c r="AC3" s="12">
        <f>COUNTIFS($V3:$V7,"PANJANG",$Z3:$Z7,"NORMAL")/COUNTIF($V3:$V7,"PANJANG")</f>
        <v>0.5</v>
      </c>
      <c r="AD3" s="12">
        <f>COUNTIFS($V3:$V7,"PANJANG",$Z3:$Z7,"GANGGUAN")/COUNTIF($V3:$V7,"PANJANG")</f>
        <v>0.5</v>
      </c>
      <c r="AE3" s="12">
        <f>IFERROR(-AC3*LOG(AC3,2)-AD3*LOG(AD3,2),0)</f>
        <v>1</v>
      </c>
      <c r="AF3" s="12">
        <f>COUNTIF($V3:$V7,"PANJANG")/ROWS($Z3:$Z7)</f>
        <v>0.4</v>
      </c>
      <c r="AG3" s="24">
        <f>-AF3*LOG(AF3,2)-AF4*LOG(AF4,2)</f>
        <v>0.97095059445466858</v>
      </c>
      <c r="AS3" s="4" t="s">
        <v>11</v>
      </c>
      <c r="AT3" s="5" t="s">
        <v>8</v>
      </c>
      <c r="AU3" s="5" t="s">
        <v>9</v>
      </c>
      <c r="AV3" s="5" t="s">
        <v>9</v>
      </c>
      <c r="AW3" s="6" t="s">
        <v>3</v>
      </c>
      <c r="AY3" s="12" t="s">
        <v>5</v>
      </c>
      <c r="AZ3" s="12">
        <f>COUNTIFS(AT3:AT4,"BESAR",AW3:AW4,"NORMAL")/COUNTIF(AT3:AT4,"BESAR")</f>
        <v>1</v>
      </c>
      <c r="BA3" s="12">
        <f>COUNTIFS(AT3:AT4,"BESAR",AW3:AW4,"GANGGUAN")/COUNTIF(AT3:AT4,"BESAR")</f>
        <v>0</v>
      </c>
      <c r="BB3" s="12">
        <f>IFERROR(-AZ3*LOG(AZ3,2)-BA3*LOG(BA3,2),0)</f>
        <v>0</v>
      </c>
      <c r="BC3" s="12">
        <f>COUNTIF(AT3:AT4,"KECIL")/ROWS(AW3:AW4)</f>
        <v>0.5</v>
      </c>
      <c r="BD3" s="24">
        <f>-BC3*LOG(BC3,2)-BC4*LOG(BC4,2)</f>
        <v>1</v>
      </c>
    </row>
    <row r="4" spans="1:57" x14ac:dyDescent="0.3">
      <c r="A4" t="s">
        <v>4</v>
      </c>
      <c r="B4" t="s">
        <v>8</v>
      </c>
      <c r="C4" t="s">
        <v>6</v>
      </c>
      <c r="D4" t="s">
        <v>9</v>
      </c>
      <c r="E4" t="s">
        <v>3</v>
      </c>
      <c r="G4" s="12" t="s">
        <v>4</v>
      </c>
      <c r="H4" s="12">
        <f>COUNTIFS(Table224[WAKTU],"PENDEK",Table224[GANGGUAN],"NORMAL")/COUNTIF(Table224[WAKTU],"PENDEK")</f>
        <v>0.7142857142857143</v>
      </c>
      <c r="I4" s="12">
        <f>COUNTIFS(Table224[WAKTU],"PENDEK",Table224[GANGGUAN],"GANGGUAN")/COUNTIF(Table224[WAKTU],"PENDEK")</f>
        <v>0.2857142857142857</v>
      </c>
      <c r="J4" s="12">
        <f>-H4*LOG(H4,2)-I4*LOG(I4,2)</f>
        <v>0.863120568566631</v>
      </c>
      <c r="K4" s="12">
        <f>COUNTIF(Table224[WAKTU],"PENDEK")/ROWS(Table224[GANGGUAN])</f>
        <v>0.58333333333333337</v>
      </c>
      <c r="L4" s="25"/>
      <c r="V4" s="7" t="s">
        <v>4</v>
      </c>
      <c r="W4" s="8" t="s">
        <v>8</v>
      </c>
      <c r="X4" s="8" t="s">
        <v>9</v>
      </c>
      <c r="Y4" s="8" t="s">
        <v>7</v>
      </c>
      <c r="Z4" s="9" t="s">
        <v>10</v>
      </c>
      <c r="AB4" s="12" t="s">
        <v>4</v>
      </c>
      <c r="AC4" s="12">
        <f>COUNTIFS($V3:$V7,"PENDEK",$Z3:$Z7,"NORMAL")/COUNTIF($V3:$V7,"PENDEK")</f>
        <v>1</v>
      </c>
      <c r="AD4" s="12">
        <f>COUNTIFS($V3:$V7,"PENDEK",$Z3:$Z7,"GANGGUAN")/COUNTIF($V3:$V7,"PENDEK")</f>
        <v>0</v>
      </c>
      <c r="AE4" s="12">
        <f>IFERROR(-AC4*LOG(AC4,2)-AD4*LOG(AD4,2),0)</f>
        <v>0</v>
      </c>
      <c r="AF4" s="12">
        <f>COUNTIF($V3:$V7,"PENDEK")/ROWS($Z3:$Z7)</f>
        <v>0.6</v>
      </c>
      <c r="AG4" s="25"/>
      <c r="AS4" s="4" t="s">
        <v>11</v>
      </c>
      <c r="AT4" s="5" t="s">
        <v>5</v>
      </c>
      <c r="AU4" s="5" t="s">
        <v>9</v>
      </c>
      <c r="AV4" s="5" t="s">
        <v>9</v>
      </c>
      <c r="AW4" s="6" t="s">
        <v>10</v>
      </c>
      <c r="AY4" s="12" t="s">
        <v>8</v>
      </c>
      <c r="AZ4" s="12">
        <f>COUNTIFS(AT3:AT4,"KECIL",AW3:AW4,"NORMAL")/COUNTIF(AT3:AT4,"KECIL")</f>
        <v>0</v>
      </c>
      <c r="BA4" s="12">
        <f>COUNTIFS(AT3:AT4,"KECIL",AW3:AW4,"GANGGUAN")/COUNTIF(AT3:AT4,"KECIL")</f>
        <v>1</v>
      </c>
      <c r="BB4" s="12">
        <f>IFERROR(-AZ4*LOG(AZ4,2)-BA4*LOG(BA4,2),0)</f>
        <v>0</v>
      </c>
      <c r="BC4" s="12">
        <f>COUNTIF(AT3:AT4,"BESAR")/ROWS(AW3:AW4)</f>
        <v>0.5</v>
      </c>
      <c r="BD4" s="25"/>
    </row>
    <row r="5" spans="1:57" x14ac:dyDescent="0.3">
      <c r="A5" t="s">
        <v>4</v>
      </c>
      <c r="B5" t="s">
        <v>8</v>
      </c>
      <c r="C5" t="s">
        <v>9</v>
      </c>
      <c r="D5" t="s">
        <v>7</v>
      </c>
      <c r="E5" t="s">
        <v>10</v>
      </c>
      <c r="V5" s="4" t="s">
        <v>11</v>
      </c>
      <c r="W5" s="5" t="s">
        <v>8</v>
      </c>
      <c r="X5" s="5" t="s">
        <v>9</v>
      </c>
      <c r="Y5" s="5" t="s">
        <v>9</v>
      </c>
      <c r="Z5" s="6" t="s">
        <v>3</v>
      </c>
    </row>
    <row r="6" spans="1:57" x14ac:dyDescent="0.3">
      <c r="A6" t="s">
        <v>4</v>
      </c>
      <c r="B6" t="s">
        <v>8</v>
      </c>
      <c r="C6" t="s">
        <v>6</v>
      </c>
      <c r="D6" t="s">
        <v>9</v>
      </c>
      <c r="E6" t="s">
        <v>10</v>
      </c>
      <c r="G6" s="21" t="s">
        <v>27</v>
      </c>
      <c r="H6" s="22"/>
      <c r="I6" s="23"/>
      <c r="J6" s="18" t="s">
        <v>53</v>
      </c>
      <c r="K6" s="18"/>
      <c r="L6" s="18"/>
      <c r="V6" s="7" t="s">
        <v>4</v>
      </c>
      <c r="W6" s="8" t="s">
        <v>8</v>
      </c>
      <c r="X6" s="8" t="s">
        <v>9</v>
      </c>
      <c r="Y6" s="8" t="s">
        <v>9</v>
      </c>
      <c r="Z6" s="9" t="s">
        <v>10</v>
      </c>
      <c r="AB6" s="21" t="s">
        <v>34</v>
      </c>
      <c r="AC6" s="22"/>
      <c r="AD6" s="23"/>
      <c r="AE6" s="18" t="s">
        <v>54</v>
      </c>
      <c r="AF6" s="18"/>
      <c r="AG6" s="18"/>
      <c r="AV6" s="18" t="s">
        <v>42</v>
      </c>
      <c r="AW6" s="18"/>
      <c r="AY6" s="21" t="s">
        <v>44</v>
      </c>
      <c r="AZ6" s="22"/>
      <c r="BA6" s="23"/>
      <c r="BB6" s="18" t="s">
        <v>55</v>
      </c>
      <c r="BC6" s="18"/>
      <c r="BD6" s="18"/>
    </row>
    <row r="7" spans="1:57" x14ac:dyDescent="0.3">
      <c r="A7" t="s">
        <v>11</v>
      </c>
      <c r="B7" t="s">
        <v>5</v>
      </c>
      <c r="C7" t="s">
        <v>6</v>
      </c>
      <c r="D7" t="s">
        <v>7</v>
      </c>
      <c r="E7" t="s">
        <v>10</v>
      </c>
      <c r="G7" s="21">
        <f>D20-(K3*J3)-(K4*J4)</f>
        <v>6.9877532588638047E-3</v>
      </c>
      <c r="H7" s="22"/>
      <c r="I7" s="23"/>
      <c r="J7" s="18">
        <f>G7/L3</f>
        <v>7.1313155067271369E-3</v>
      </c>
      <c r="K7" s="18"/>
      <c r="L7" s="18"/>
      <c r="V7" s="4" t="s">
        <v>11</v>
      </c>
      <c r="W7" s="5" t="s">
        <v>5</v>
      </c>
      <c r="X7" s="5" t="s">
        <v>9</v>
      </c>
      <c r="Y7" s="5" t="s">
        <v>9</v>
      </c>
      <c r="Z7" s="6" t="s">
        <v>10</v>
      </c>
      <c r="AB7" s="21">
        <f>Y14-(AF3*AE3)-(AF4*AE4)</f>
        <v>0.32192809488736229</v>
      </c>
      <c r="AC7" s="22"/>
      <c r="AD7" s="23"/>
      <c r="AE7" s="20">
        <f>AB7/AG3</f>
        <v>0.33155970728682876</v>
      </c>
      <c r="AF7" s="20"/>
      <c r="AG7" s="20"/>
      <c r="AV7" s="12" t="s">
        <v>20</v>
      </c>
      <c r="AW7" s="12" t="s">
        <v>21</v>
      </c>
      <c r="AY7" s="21">
        <f>AV11-(BC3*BB3)-(BC4*BB4)</f>
        <v>1</v>
      </c>
      <c r="AZ7" s="22"/>
      <c r="BA7" s="23"/>
      <c r="BB7" s="20">
        <f>AY7/BD3</f>
        <v>1</v>
      </c>
      <c r="BC7" s="20"/>
      <c r="BD7" s="20"/>
    </row>
    <row r="8" spans="1:57" x14ac:dyDescent="0.3">
      <c r="A8" t="s">
        <v>11</v>
      </c>
      <c r="B8" t="s">
        <v>8</v>
      </c>
      <c r="C8" t="s">
        <v>9</v>
      </c>
      <c r="D8" t="s">
        <v>9</v>
      </c>
      <c r="E8" t="s">
        <v>3</v>
      </c>
      <c r="AV8" s="12">
        <f>COUNTIF(AW3:AW4,"NORMAL")/ROWS(AW3:AW4)</f>
        <v>0.5</v>
      </c>
      <c r="AW8" s="12">
        <f>COUNTIF(AW3:AW4,"NORMAL")/ROWS(AW3:AW4)</f>
        <v>0.5</v>
      </c>
    </row>
    <row r="9" spans="1:57" x14ac:dyDescent="0.3">
      <c r="A9" t="s">
        <v>4</v>
      </c>
      <c r="B9" t="s">
        <v>5</v>
      </c>
      <c r="C9" t="s">
        <v>6</v>
      </c>
      <c r="D9" t="s">
        <v>7</v>
      </c>
      <c r="E9" t="s">
        <v>10</v>
      </c>
      <c r="G9" s="18" t="s">
        <v>25</v>
      </c>
      <c r="H9" s="18"/>
      <c r="I9" s="18"/>
      <c r="J9" s="18"/>
      <c r="K9" s="18"/>
      <c r="L9" s="18"/>
      <c r="Y9" s="18" t="s">
        <v>36</v>
      </c>
      <c r="Z9" s="18"/>
      <c r="AB9" s="18" t="s">
        <v>25</v>
      </c>
      <c r="AC9" s="18"/>
      <c r="AD9" s="18"/>
      <c r="AE9" s="18"/>
      <c r="AF9" s="18"/>
      <c r="AG9" s="18"/>
      <c r="AY9" s="18" t="s">
        <v>31</v>
      </c>
      <c r="AZ9" s="18"/>
      <c r="BA9" s="18"/>
      <c r="BB9" s="18"/>
      <c r="BC9" s="18"/>
      <c r="BD9" s="18"/>
    </row>
    <row r="10" spans="1:57" x14ac:dyDescent="0.3">
      <c r="A10" t="s">
        <v>11</v>
      </c>
      <c r="B10" t="s">
        <v>8</v>
      </c>
      <c r="C10" t="s">
        <v>7</v>
      </c>
      <c r="D10" t="s">
        <v>9</v>
      </c>
      <c r="E10" t="s">
        <v>10</v>
      </c>
      <c r="G10" s="12"/>
      <c r="H10" s="12" t="s">
        <v>23</v>
      </c>
      <c r="I10" s="12" t="s">
        <v>21</v>
      </c>
      <c r="J10" s="12" t="s">
        <v>18</v>
      </c>
      <c r="K10" s="12" t="s">
        <v>24</v>
      </c>
      <c r="L10" s="12" t="s">
        <v>52</v>
      </c>
      <c r="Y10" s="12" t="s">
        <v>20</v>
      </c>
      <c r="Z10" s="12" t="s">
        <v>21</v>
      </c>
      <c r="AB10" s="12"/>
      <c r="AC10" s="12" t="s">
        <v>23</v>
      </c>
      <c r="AD10" s="12" t="s">
        <v>21</v>
      </c>
      <c r="AE10" s="12" t="s">
        <v>18</v>
      </c>
      <c r="AF10" s="12" t="s">
        <v>24</v>
      </c>
      <c r="AG10" s="12" t="s">
        <v>52</v>
      </c>
      <c r="AV10" s="18" t="s">
        <v>43</v>
      </c>
      <c r="AW10" s="18"/>
      <c r="AY10" s="12"/>
      <c r="AZ10" s="12" t="s">
        <v>23</v>
      </c>
      <c r="BA10" s="12" t="s">
        <v>21</v>
      </c>
      <c r="BB10" s="12" t="s">
        <v>18</v>
      </c>
      <c r="BC10" s="12" t="s">
        <v>24</v>
      </c>
      <c r="BD10" s="12" t="s">
        <v>52</v>
      </c>
    </row>
    <row r="11" spans="1:57" x14ac:dyDescent="0.3">
      <c r="A11" t="s">
        <v>4</v>
      </c>
      <c r="B11" t="s">
        <v>8</v>
      </c>
      <c r="C11" t="s">
        <v>9</v>
      </c>
      <c r="D11" t="s">
        <v>9</v>
      </c>
      <c r="E11" t="s">
        <v>10</v>
      </c>
      <c r="G11" s="12" t="s">
        <v>5</v>
      </c>
      <c r="H11" s="12">
        <f>COUNTIFS(Table224[PAKET],"BESAR",Table224[GANGGUAN],"NORMAL")/COUNTIF(Table224[PAKET],"BESAR")</f>
        <v>0.75</v>
      </c>
      <c r="I11" s="12">
        <f>COUNTIFS(Table224[PAKET],"BESAR",Table224[GANGGUAN],"GANGGUAN")/COUNTIF(Table224[PAKET],"BESAR")</f>
        <v>0.25</v>
      </c>
      <c r="J11" s="12">
        <f>-H11*LOG(H11,2)+(-I11*LOG(I11,2))</f>
        <v>0.81127812445913283</v>
      </c>
      <c r="K11" s="12">
        <f>COUNTIF(Table224[PAKET],"BESAR")/ROWS(Table224[GANGGUAN])</f>
        <v>0.33333333333333331</v>
      </c>
      <c r="L11" s="24">
        <f>-K11*LOG(K11,2)-K12*LOG(K12,2)</f>
        <v>0.91829583405448956</v>
      </c>
      <c r="Y11" s="12">
        <f>COUNTIF(Z3:Z7,"NORMAL")/ROWS(Z3:Z7)</f>
        <v>0.8</v>
      </c>
      <c r="Z11" s="12">
        <f>COUNTIF(Z3:Z7,"GANGGUAN")/ROWS(Z3:Z7)</f>
        <v>0.2</v>
      </c>
      <c r="AB11" s="12" t="s">
        <v>5</v>
      </c>
      <c r="AC11" s="12">
        <f>COUNTIFS($W3:$W7,"BESAR",$Z3:$Z7,"NORMAL")/COUNTIF($W3:$W7,"BESAR")</f>
        <v>1</v>
      </c>
      <c r="AD11" s="12">
        <f>COUNTIFS($W3:$W7,"BESAR",$Z3:$Z7,"GANGGUAN")/COUNTIF($W3:$W7,"BESAR")</f>
        <v>0</v>
      </c>
      <c r="AE11" s="12">
        <f>IFERROR(-AC11*LOG(AC11,2)-AD11*LOG(AD11,2),0)</f>
        <v>0</v>
      </c>
      <c r="AF11" s="12">
        <f>COUNTIF($W3:$W7,"BESAR")/ROWS($Z3:$Z7)</f>
        <v>0.2</v>
      </c>
      <c r="AG11" s="24">
        <f>-AF11*LOG(AF11,2)-AF12*LOG(AF12,2)</f>
        <v>0.72192809488736231</v>
      </c>
      <c r="AV11" s="18">
        <f>-AV8*LOG(AV8,2)-AW8*LOG(AW8,2)</f>
        <v>1</v>
      </c>
      <c r="AW11" s="18"/>
      <c r="AY11" s="12" t="s">
        <v>9</v>
      </c>
      <c r="AZ11" s="12">
        <f>COUNTIFS(AV3:AV4,"TINGGI",AW3:AW4,"NORMAL")/COUNTIF(AV3:AV4,"TINGGI")</f>
        <v>0.5</v>
      </c>
      <c r="BA11" s="12">
        <f>COUNTIFS(AV3:AV4,"TINGGI",AW3:AW4,"GANGGUAN")/COUNTIF(AV3:AV4,"TINGGI")</f>
        <v>0.5</v>
      </c>
      <c r="BB11" s="12">
        <f>IFERROR(-AZ11*LOG(AZ11,2)-BA11*LOG(BA11,2),0)</f>
        <v>1</v>
      </c>
      <c r="BC11" s="12">
        <f>COUNTIF(AV3:AV4,"TINGGI")/ROWS(AW3:AW4)</f>
        <v>1</v>
      </c>
      <c r="BD11" s="24">
        <f>IFERROR(-BC11*LOG(BC11,2)-BC12*LOG(BC12,2),0)</f>
        <v>0</v>
      </c>
    </row>
    <row r="12" spans="1:57" x14ac:dyDescent="0.3">
      <c r="A12" t="s">
        <v>11</v>
      </c>
      <c r="B12" t="s">
        <v>5</v>
      </c>
      <c r="C12" t="s">
        <v>9</v>
      </c>
      <c r="D12" t="s">
        <v>9</v>
      </c>
      <c r="E12" t="s">
        <v>10</v>
      </c>
      <c r="G12" s="12" t="s">
        <v>8</v>
      </c>
      <c r="H12" s="12">
        <f>COUNTIFS(Table224[PAKET],"KECIL",Table224[GANGGUAN],"NORMAL")/COUNTIF(Table224[PAKET],"KECIL")</f>
        <v>0.75</v>
      </c>
      <c r="I12" s="12">
        <f>COUNTIFS(Table224[PAKET],"KECIL",Table224[GANGGUAN],"GANGGUAN")/COUNTIF(Table224[PAKET],"KECIL")</f>
        <v>0.25</v>
      </c>
      <c r="J12" s="12">
        <f>-H12*LOG(H12,2)-I12*LOG(I12,2)</f>
        <v>0.81127812445913283</v>
      </c>
      <c r="K12" s="12">
        <f>COUNTIF(Table224[PAKET],"KECIL")/ROWS(Table224[GANGGUAN])</f>
        <v>0.66666666666666663</v>
      </c>
      <c r="L12" s="25"/>
      <c r="AB12" s="12" t="s">
        <v>8</v>
      </c>
      <c r="AC12" s="12">
        <f>COUNTIFS($W3:$W7,"KECIL",$Z3:$Z7,"NORMAL")/COUNTIF($W3:$W7,"KECIL")</f>
        <v>0.75</v>
      </c>
      <c r="AD12" s="12">
        <f>COUNTIFS($W3:$W7,"KECIL",$Z3:$Z7,"GANGGUAN")/COUNTIF($W3:$W7,"KECIL")</f>
        <v>0.25</v>
      </c>
      <c r="AE12" s="12">
        <f>IFERROR(-AC12*LOG(AC12,2)-AD12*LOG(AD12,2),0)</f>
        <v>0.81127812445913283</v>
      </c>
      <c r="AF12" s="12">
        <f>COUNTIF($W3:$W7,"KECIL")/ROWS($Z3:$Z7)</f>
        <v>0.8</v>
      </c>
      <c r="AG12" s="25"/>
      <c r="AY12" s="12" t="s">
        <v>7</v>
      </c>
      <c r="AZ12" s="12">
        <f>IFERROR(COUNTIFS(AV3:AV4,"RENDAH",AW3:AW4,"NORMAL")/COUNTIF(AV3:AV4,"RENDAH"),0)</f>
        <v>0</v>
      </c>
      <c r="BA12" s="12">
        <f>IFERROR(COUNTIFS(AV3:AV4,"RENDAH",AW3:AW4,"GANGGUAN")/COUNTIF(AV3:AV4,"RENDAH"),0)</f>
        <v>0</v>
      </c>
      <c r="BB12" s="12">
        <f>IFERROR(-AZ12*LOG(AZ12,2)-BA12*LOG(BA12,2),0)</f>
        <v>0</v>
      </c>
      <c r="BC12" s="12">
        <f>IFERROR(COUNTIF(AV3:AV4,"RENDAH")/ROWS(AW3:AW4),0)</f>
        <v>0</v>
      </c>
      <c r="BD12" s="25"/>
    </row>
    <row r="13" spans="1:57" x14ac:dyDescent="0.3">
      <c r="A13" t="s">
        <v>11</v>
      </c>
      <c r="B13" t="s">
        <v>8</v>
      </c>
      <c r="C13" t="s">
        <v>7</v>
      </c>
      <c r="D13" t="s">
        <v>9</v>
      </c>
      <c r="E13" t="s">
        <v>10</v>
      </c>
      <c r="Y13" s="18" t="s">
        <v>37</v>
      </c>
      <c r="Z13" s="18"/>
    </row>
    <row r="14" spans="1:57" x14ac:dyDescent="0.3">
      <c r="G14" s="21" t="s">
        <v>27</v>
      </c>
      <c r="H14" s="22"/>
      <c r="I14" s="23"/>
      <c r="J14" s="18" t="s">
        <v>53</v>
      </c>
      <c r="K14" s="18"/>
      <c r="L14" s="18"/>
      <c r="Y14" s="18">
        <f>-Y11*LOG(Y11,2)-Z11*LOG(Z11,2)</f>
        <v>0.72192809488736231</v>
      </c>
      <c r="Z14" s="18"/>
      <c r="AB14" s="21" t="s">
        <v>34</v>
      </c>
      <c r="AC14" s="22"/>
      <c r="AD14" s="23"/>
      <c r="AE14" s="18" t="s">
        <v>54</v>
      </c>
      <c r="AF14" s="18"/>
      <c r="AG14" s="18"/>
      <c r="AY14" s="21" t="s">
        <v>45</v>
      </c>
      <c r="AZ14" s="22"/>
      <c r="BA14" s="23"/>
      <c r="BB14" s="18" t="s">
        <v>56</v>
      </c>
      <c r="BC14" s="18"/>
      <c r="BD14" s="18"/>
    </row>
    <row r="15" spans="1:57" x14ac:dyDescent="0.3">
      <c r="A15" s="17" t="s">
        <v>13</v>
      </c>
      <c r="B15" s="17"/>
      <c r="D15" s="18" t="s">
        <v>19</v>
      </c>
      <c r="E15" s="18"/>
      <c r="G15" s="21">
        <f>$D20-(K11*J11)-(K12*J12)</f>
        <v>0</v>
      </c>
      <c r="H15" s="22"/>
      <c r="I15" s="23"/>
      <c r="J15" s="21">
        <f>G15/L11</f>
        <v>0</v>
      </c>
      <c r="K15" s="22"/>
      <c r="L15" s="23"/>
      <c r="AB15" s="21">
        <f>Y14-(AF11*AE11)-(AF12*AE12)</f>
        <v>7.2905595320056027E-2</v>
      </c>
      <c r="AC15" s="22"/>
      <c r="AD15" s="23"/>
      <c r="AE15" s="18">
        <f>AB15/AG11</f>
        <v>0.10098733632389111</v>
      </c>
      <c r="AF15" s="18"/>
      <c r="AG15" s="18"/>
      <c r="AY15" s="21">
        <f>AV11-(BC11*BB11)-(BC12*BB12)</f>
        <v>0</v>
      </c>
      <c r="AZ15" s="22"/>
      <c r="BA15" s="23"/>
      <c r="BB15" s="18">
        <f>IFERROR(AY15/BD11,0)</f>
        <v>0</v>
      </c>
      <c r="BC15" s="18"/>
      <c r="BD15" s="18"/>
    </row>
    <row r="16" spans="1:57" x14ac:dyDescent="0.3">
      <c r="A16" s="11" t="s">
        <v>14</v>
      </c>
      <c r="B16" s="10" t="s">
        <v>16</v>
      </c>
      <c r="D16" s="12" t="s">
        <v>20</v>
      </c>
      <c r="E16" s="12" t="s">
        <v>21</v>
      </c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</row>
    <row r="17" spans="1:56" x14ac:dyDescent="0.3">
      <c r="A17" s="11" t="s">
        <v>15</v>
      </c>
      <c r="B17" s="10" t="s">
        <v>17</v>
      </c>
      <c r="D17" s="12">
        <f>COUNTIF(Table224[GANGGUAN],"NORMAL")/ROWS(Table224[GANGGUAN])</f>
        <v>0.75</v>
      </c>
      <c r="E17" s="12">
        <f>COUNTIF(Table224[GANGGUAN],"GANGGUAN")/ROWS(Table224[GANGGUAN])</f>
        <v>0.25</v>
      </c>
      <c r="G17" s="18" t="s">
        <v>28</v>
      </c>
      <c r="H17" s="18"/>
      <c r="I17" s="18"/>
      <c r="J17" s="18"/>
      <c r="K17" s="18"/>
      <c r="L17" s="18"/>
      <c r="AB17" s="18" t="s">
        <v>31</v>
      </c>
      <c r="AC17" s="18"/>
      <c r="AD17" s="18"/>
      <c r="AE17" s="18"/>
      <c r="AF17" s="18"/>
      <c r="AG17" s="18"/>
      <c r="AS17" s="19" t="s">
        <v>46</v>
      </c>
      <c r="AT17" s="19"/>
      <c r="AU17" s="19"/>
      <c r="AV17" s="19"/>
      <c r="AW17" s="19"/>
      <c r="AY17" s="18" t="s">
        <v>25</v>
      </c>
      <c r="AZ17" s="18"/>
      <c r="BA17" s="18"/>
      <c r="BB17" s="18"/>
      <c r="BC17" s="18"/>
      <c r="BD17" s="18"/>
    </row>
    <row r="18" spans="1:56" x14ac:dyDescent="0.3">
      <c r="G18" s="12"/>
      <c r="H18" s="12" t="s">
        <v>23</v>
      </c>
      <c r="I18" s="12" t="s">
        <v>21</v>
      </c>
      <c r="J18" s="12" t="s">
        <v>18</v>
      </c>
      <c r="K18" s="12" t="s">
        <v>24</v>
      </c>
      <c r="L18" s="12" t="s">
        <v>52</v>
      </c>
      <c r="AB18" s="12"/>
      <c r="AC18" s="12" t="s">
        <v>23</v>
      </c>
      <c r="AD18" s="12" t="s">
        <v>21</v>
      </c>
      <c r="AE18" s="12" t="s">
        <v>18</v>
      </c>
      <c r="AF18" s="12" t="s">
        <v>24</v>
      </c>
      <c r="AG18" s="12" t="s">
        <v>52</v>
      </c>
      <c r="AS18" s="1" t="s">
        <v>0</v>
      </c>
      <c r="AT18" s="2" t="s">
        <v>1</v>
      </c>
      <c r="AU18" s="2" t="s">
        <v>12</v>
      </c>
      <c r="AV18" s="2" t="s">
        <v>2</v>
      </c>
      <c r="AW18" s="3" t="s">
        <v>3</v>
      </c>
      <c r="AY18" s="12"/>
      <c r="AZ18" s="12" t="s">
        <v>23</v>
      </c>
      <c r="BA18" s="12" t="s">
        <v>21</v>
      </c>
      <c r="BB18" s="12" t="s">
        <v>18</v>
      </c>
      <c r="BC18" s="12" t="s">
        <v>24</v>
      </c>
      <c r="BD18" s="12" t="s">
        <v>52</v>
      </c>
    </row>
    <row r="19" spans="1:56" x14ac:dyDescent="0.3">
      <c r="D19" s="18" t="s">
        <v>30</v>
      </c>
      <c r="E19" s="18"/>
      <c r="G19" s="12" t="s">
        <v>9</v>
      </c>
      <c r="H19" s="12">
        <f>COUNTIFS(Table224[FREKUENSI],"TINGGI",Table224[GANGGUAN],"NORMAL")/COUNTIF(Table224[FREKUENSI],"TINGGI")</f>
        <v>0.8</v>
      </c>
      <c r="I19" s="12">
        <f>COUNTIFS(Table224[FREKUENSI],"TINGGI",Table224[GANGGUAN],"GANGGUAN")/COUNTIF(Table224[FREKUENSI],"TINGGI")</f>
        <v>0.2</v>
      </c>
      <c r="J19" s="12">
        <f>IFERROR(-H19*LOG(H19,2)-I19*LOG(I19,2),0)</f>
        <v>0.72192809488736231</v>
      </c>
      <c r="K19" s="12">
        <f>COUNTIF(Table224[FREKUENSI],"SEDANG")/ROWS(Table224[GANGGUAN])</f>
        <v>0.41666666666666669</v>
      </c>
      <c r="L19" s="26">
        <f>-K19*LOG(K19,2)-K20*LOG(K20,2)-K21*LOG(K21,2)</f>
        <v>1.4833557549816874</v>
      </c>
      <c r="AB19" s="12" t="s">
        <v>9</v>
      </c>
      <c r="AC19" s="12">
        <f>COUNTIFS($Y3:$Y7,"TINGGI",$Z3:$Z7,"NORMAL")/COUNTIF($Y3:$Y7,"TINGGI")</f>
        <v>0.66666666666666663</v>
      </c>
      <c r="AD19" s="12">
        <f>COUNTIFS($Y3:$Y7,"TINGGI",$Z3:$Z7,"GANGGUAN")/COUNTIF($Y3:$Y7,"TINGGI")</f>
        <v>0.33333333333333331</v>
      </c>
      <c r="AE19" s="12">
        <f>IFERROR(-AC19*LOG(AC19,2)-AD19*LOG(AD19,2),0)</f>
        <v>0.91829583405448956</v>
      </c>
      <c r="AF19" s="12">
        <f>COUNTIF($Y3:$Y7,"TINGGI")/ROWS($Z3:$Z7)</f>
        <v>0.6</v>
      </c>
      <c r="AG19" s="24">
        <f>-AF19*LOG(AF19,2)-AF20*LOG(AF20,2)</f>
        <v>0.97095059445466858</v>
      </c>
      <c r="AS19" s="4" t="s">
        <v>4</v>
      </c>
      <c r="AT19" s="5" t="s">
        <v>5</v>
      </c>
      <c r="AU19" s="5" t="s">
        <v>6</v>
      </c>
      <c r="AV19" s="5" t="s">
        <v>7</v>
      </c>
      <c r="AW19" s="6" t="s">
        <v>3</v>
      </c>
      <c r="AY19" s="12" t="s">
        <v>5</v>
      </c>
      <c r="AZ19" s="12">
        <f>COUNTIFS(AT19:AT22,"BESAR",AW19:AW22,"NORMAL")/COUNTIF(AT19:AT22,"BESAR")</f>
        <v>0.5</v>
      </c>
      <c r="BA19" s="12">
        <f>COUNTIFS(AT19:AT22,"BESAR",AW19:AW22,"GANGGUAN")/COUNTIF(AT19:AT22,"BESAR")</f>
        <v>0.5</v>
      </c>
      <c r="BB19" s="12">
        <f>IFERROR(-AZ19*LOG(AZ19,2)-BA19*LOG(BA19,2),0)</f>
        <v>1</v>
      </c>
      <c r="BC19" s="12">
        <f>COUNTIF(AT19:AT22,"KECIL")/ROWS(AW19:AW22)</f>
        <v>0.5</v>
      </c>
      <c r="BD19" s="24">
        <f>-BC19*LOG(BC19,2)-BC20*LOG(BC20,2)</f>
        <v>1</v>
      </c>
    </row>
    <row r="20" spans="1:56" x14ac:dyDescent="0.3">
      <c r="D20" s="18">
        <f>-D17*LOG(D17,2)-E17*LOG(E17,2)</f>
        <v>0.81127812445913283</v>
      </c>
      <c r="E20" s="18"/>
      <c r="G20" s="12" t="s">
        <v>6</v>
      </c>
      <c r="H20" s="12">
        <f>COUNTIFS(Table224[FREKUENSI],"SEDANG",Table224[GANGGUAN],"NORMAL")/COUNTIF(Table224[FREKUENSI],"SEDANG")</f>
        <v>0.6</v>
      </c>
      <c r="I20" s="12">
        <f>COUNTIFS(Table224[FREKUENSI],"SEDANG",Table224[GANGGUAN],"GANGGUAN")/COUNTIF(Table224[FREKUENSI],"SEDANG")</f>
        <v>0.4</v>
      </c>
      <c r="J20" s="12">
        <f t="shared" ref="J20" si="0">IFERROR(-H20*LOG(H20,2)-I20*LOG(I20,2),0)</f>
        <v>0.97095059445466858</v>
      </c>
      <c r="K20" s="12">
        <f>COUNTIF(Table224[FREKUENSI],"SEDANG")/ROWS(Table224[GANGGUAN])</f>
        <v>0.41666666666666669</v>
      </c>
      <c r="L20" s="26"/>
      <c r="AB20" s="12" t="s">
        <v>7</v>
      </c>
      <c r="AC20" s="12">
        <f>COUNTIFS($Y3:$Y7,"RENDAH",$Z3:$Z7,"GANGGUAN")/COUNTIF($Y3:$Y7,"RENDAH")</f>
        <v>0</v>
      </c>
      <c r="AD20" s="12">
        <f>COUNTIFS($Y3:$Y7,"RENDAH",$Z3:$Z7,"NORMAL")/COUNTIF($Y3:$Y7,"RENDAH")</f>
        <v>1</v>
      </c>
      <c r="AE20" s="12">
        <f>IFERROR(-AC20*LOG(AC20,2)-AD20*LOG(AD20,2),0)</f>
        <v>0</v>
      </c>
      <c r="AF20" s="12">
        <f>COUNTIF($Y3:$Y7,"RENDAH")/ROWS($Z3:$Z7)</f>
        <v>0.4</v>
      </c>
      <c r="AG20" s="25"/>
      <c r="AS20" s="4" t="s">
        <v>4</v>
      </c>
      <c r="AT20" s="5" t="s">
        <v>8</v>
      </c>
      <c r="AU20" s="5" t="s">
        <v>6</v>
      </c>
      <c r="AV20" s="5" t="s">
        <v>9</v>
      </c>
      <c r="AW20" s="6" t="s">
        <v>3</v>
      </c>
      <c r="AY20" s="12" t="s">
        <v>8</v>
      </c>
      <c r="AZ20" s="12">
        <f>COUNTIFS(AT19:AT22,"KECIL",AW19:AW22,"NORMAL")/COUNTIF(AT19:AT22,"KECIL")</f>
        <v>0.5</v>
      </c>
      <c r="BA20" s="12">
        <f>COUNTIFS(AT19:AT22,"KECIL",AW19:AW22,"GANGGUAN")/COUNTIF(AT19:AT22,"KECIL")</f>
        <v>0.5</v>
      </c>
      <c r="BB20" s="12">
        <f>IFERROR(-AZ20*LOG(AZ20,2)-BA20*LOG(BA20,2),0)</f>
        <v>1</v>
      </c>
      <c r="BC20" s="12">
        <f>COUNTIF(AT19:AT22,"BESAR")/ROWS(AW19:AW22)</f>
        <v>0.5</v>
      </c>
      <c r="BD20" s="25"/>
    </row>
    <row r="21" spans="1:56" x14ac:dyDescent="0.3">
      <c r="A21" s="13"/>
      <c r="G21" s="12" t="s">
        <v>7</v>
      </c>
      <c r="H21" s="12">
        <f>COUNTIFS(Table224[FREKUENSI],"RENDAH",Table224[GANGGUAN],"NORMAL")/COUNTIF(Table224[FREKUENSI],"RENDAH")</f>
        <v>1</v>
      </c>
      <c r="I21" s="12">
        <f>COUNTIFS(Table224[FREKUENSI],"RENDAH",Table224[GANGGUAN],"GANGGUAN")/COUNTIF(Table224[FREKUENSI],"RENDAH")</f>
        <v>0</v>
      </c>
      <c r="J21" s="12">
        <f>IFERROR(-H21*LOG(H21,2)-I21*LOG(I21,2),0)</f>
        <v>0</v>
      </c>
      <c r="K21" s="12">
        <f>COUNTIF(Table224[FREKUENSI],"RENDAH")/ROWS(Table224[GANGGUAN])</f>
        <v>0.16666666666666666</v>
      </c>
      <c r="L21" s="26"/>
      <c r="AS21" s="4" t="s">
        <v>4</v>
      </c>
      <c r="AT21" s="5" t="s">
        <v>8</v>
      </c>
      <c r="AU21" s="5" t="s">
        <v>6</v>
      </c>
      <c r="AV21" s="5" t="s">
        <v>9</v>
      </c>
      <c r="AW21" s="6" t="s">
        <v>10</v>
      </c>
    </row>
    <row r="22" spans="1:56" x14ac:dyDescent="0.3">
      <c r="AB22" s="21" t="s">
        <v>34</v>
      </c>
      <c r="AC22" s="22"/>
      <c r="AD22" s="23"/>
      <c r="AE22" s="18" t="s">
        <v>54</v>
      </c>
      <c r="AF22" s="18"/>
      <c r="AG22" s="18"/>
      <c r="AS22" s="7" t="s">
        <v>4</v>
      </c>
      <c r="AT22" s="8" t="s">
        <v>5</v>
      </c>
      <c r="AU22" s="8" t="s">
        <v>6</v>
      </c>
      <c r="AV22" s="8" t="s">
        <v>7</v>
      </c>
      <c r="AW22" s="9" t="s">
        <v>10</v>
      </c>
      <c r="AY22" s="21" t="s">
        <v>49</v>
      </c>
      <c r="AZ22" s="22"/>
      <c r="BA22" s="23"/>
      <c r="BB22" s="18" t="s">
        <v>57</v>
      </c>
      <c r="BC22" s="18"/>
      <c r="BD22" s="18"/>
    </row>
    <row r="23" spans="1:56" x14ac:dyDescent="0.3">
      <c r="G23" s="21" t="s">
        <v>27</v>
      </c>
      <c r="H23" s="22"/>
      <c r="I23" s="23"/>
      <c r="J23" s="18" t="s">
        <v>53</v>
      </c>
      <c r="K23" s="18"/>
      <c r="L23" s="18"/>
      <c r="AB23" s="21">
        <f>Y14-(AF19*AE19)-(AF20*AE20)</f>
        <v>0.17095059445466865</v>
      </c>
      <c r="AC23" s="22"/>
      <c r="AD23" s="23"/>
      <c r="AE23" s="18">
        <f>AB23/AG19</f>
        <v>0.17606518336876092</v>
      </c>
      <c r="AF23" s="18"/>
      <c r="AG23" s="18"/>
      <c r="AY23" s="21">
        <f>AV29-(BC19*BB19)-(BC20*BB20)</f>
        <v>0</v>
      </c>
      <c r="AZ23" s="22"/>
      <c r="BA23" s="23"/>
      <c r="BB23" s="20">
        <f>AY23/BD19</f>
        <v>0</v>
      </c>
      <c r="BC23" s="20"/>
      <c r="BD23" s="20"/>
    </row>
    <row r="24" spans="1:56" x14ac:dyDescent="0.3">
      <c r="G24" s="21">
        <f>D20-(K19*J19)-(K20*J20)-(K21*J21)</f>
        <v>0.10591200389995331</v>
      </c>
      <c r="H24" s="22"/>
      <c r="I24" s="23"/>
      <c r="J24" s="20">
        <f>G24/L19</f>
        <v>7.1400271677417554E-2</v>
      </c>
      <c r="K24" s="20"/>
      <c r="L24" s="20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V24" s="18" t="s">
        <v>47</v>
      </c>
      <c r="AW24" s="18"/>
    </row>
    <row r="25" spans="1:56" x14ac:dyDescent="0.3">
      <c r="V25" s="19" t="s">
        <v>38</v>
      </c>
      <c r="W25" s="19"/>
      <c r="X25" s="19"/>
      <c r="Y25" s="19"/>
      <c r="Z25" s="19"/>
      <c r="AB25" s="18" t="s">
        <v>22</v>
      </c>
      <c r="AC25" s="18"/>
      <c r="AD25" s="18"/>
      <c r="AE25" s="18"/>
      <c r="AF25" s="18"/>
      <c r="AG25" s="18"/>
      <c r="AV25" s="12" t="s">
        <v>20</v>
      </c>
      <c r="AW25" s="12" t="s">
        <v>21</v>
      </c>
      <c r="AY25" s="18" t="s">
        <v>31</v>
      </c>
      <c r="AZ25" s="18"/>
      <c r="BA25" s="18"/>
      <c r="BB25" s="18"/>
      <c r="BC25" s="18"/>
      <c r="BD25" s="18"/>
    </row>
    <row r="26" spans="1:56" x14ac:dyDescent="0.3">
      <c r="G26" s="18" t="s">
        <v>31</v>
      </c>
      <c r="H26" s="18"/>
      <c r="I26" s="18"/>
      <c r="J26" s="18"/>
      <c r="K26" s="18"/>
      <c r="L26" s="18"/>
      <c r="V26" s="1" t="s">
        <v>0</v>
      </c>
      <c r="W26" s="2" t="s">
        <v>1</v>
      </c>
      <c r="X26" s="2" t="s">
        <v>12</v>
      </c>
      <c r="Y26" s="2" t="s">
        <v>2</v>
      </c>
      <c r="Z26" s="3" t="s">
        <v>3</v>
      </c>
      <c r="AB26" s="12"/>
      <c r="AC26" s="12" t="s">
        <v>23</v>
      </c>
      <c r="AD26" s="12" t="s">
        <v>21</v>
      </c>
      <c r="AE26" s="12" t="s">
        <v>18</v>
      </c>
      <c r="AF26" s="12" t="s">
        <v>24</v>
      </c>
      <c r="AG26" s="12" t="s">
        <v>52</v>
      </c>
      <c r="AV26" s="12">
        <f>COUNTIF(AW19:AW22,"NORMAL")/ROWS(AW19:AW22)</f>
        <v>0.5</v>
      </c>
      <c r="AW26" s="12">
        <f>COUNTIF(AW19:AW22,"NORMAL")/ROWS(AW19:AW22)</f>
        <v>0.5</v>
      </c>
      <c r="AY26" s="12"/>
      <c r="AZ26" s="12" t="s">
        <v>23</v>
      </c>
      <c r="BA26" s="12" t="s">
        <v>21</v>
      </c>
      <c r="BB26" s="12" t="s">
        <v>18</v>
      </c>
      <c r="BC26" s="12" t="s">
        <v>24</v>
      </c>
      <c r="BD26" s="12" t="s">
        <v>52</v>
      </c>
    </row>
    <row r="27" spans="1:56" x14ac:dyDescent="0.3">
      <c r="G27" s="12"/>
      <c r="H27" s="12" t="s">
        <v>23</v>
      </c>
      <c r="I27" s="12" t="s">
        <v>21</v>
      </c>
      <c r="J27" s="12" t="s">
        <v>18</v>
      </c>
      <c r="K27" s="12" t="s">
        <v>24</v>
      </c>
      <c r="L27" s="12" t="s">
        <v>52</v>
      </c>
      <c r="V27" s="4" t="s">
        <v>4</v>
      </c>
      <c r="W27" s="5" t="s">
        <v>5</v>
      </c>
      <c r="X27" s="5" t="s">
        <v>6</v>
      </c>
      <c r="Y27" s="5" t="s">
        <v>7</v>
      </c>
      <c r="Z27" s="6" t="s">
        <v>3</v>
      </c>
      <c r="AB27" s="12" t="s">
        <v>11</v>
      </c>
      <c r="AC27" s="12">
        <f>COUNTIFS($V27:$V31,"PANJANG",$Z27:$Z31,"NORMAL")/COUNTIF($V27:$V31,"PANJANG")</f>
        <v>1</v>
      </c>
      <c r="AD27" s="12">
        <f>COUNTIFS($V27:$V31,"PANJANG",$Z27:$Z31,"GANGGUAN")/COUNTIF($V27:$V31,"PANJANG")</f>
        <v>0</v>
      </c>
      <c r="AE27" s="12">
        <f>IFERROR(-AC27*LOG(AC27,2)-AD27*LOG(AD27,2),0)</f>
        <v>0</v>
      </c>
      <c r="AF27" s="12">
        <f>COUNTIF($V27:$V31,"PANJANG")/ROWS($Z27:$Z31)</f>
        <v>0.2</v>
      </c>
      <c r="AG27" s="24">
        <f>-AF27*LOG(AF27,2)-AF28*LOG(AF28,2)</f>
        <v>0.72192809488736231</v>
      </c>
      <c r="AY27" s="12" t="s">
        <v>9</v>
      </c>
      <c r="AZ27" s="12">
        <f>COUNTIFS(AV19:AV22,"TINGGI",AW19:AW22,"NORMAL")/COUNTIF(AV19:AV22,"TINGGI")</f>
        <v>0.5</v>
      </c>
      <c r="BA27" s="12">
        <f>COUNTIFS(AV19:AV22,"TINGGI",AW19:AW22,"GANGGUAN")/COUNTIF(AV19:AV22,"TINGGI")</f>
        <v>0.5</v>
      </c>
      <c r="BB27" s="12">
        <f>IFERROR(-AZ27*LOG(AZ27,2)-BA27*LOG(BA27,2),0)</f>
        <v>1</v>
      </c>
      <c r="BC27" s="12">
        <f>COUNTIF(AV19:AV22,"TINGGI")/ROWS(AW19:AW22)</f>
        <v>0.5</v>
      </c>
      <c r="BD27" s="24">
        <f>-BC27*LOG(BC27,2)-BC28*LOG(BC28,2)</f>
        <v>1</v>
      </c>
    </row>
    <row r="28" spans="1:56" x14ac:dyDescent="0.3">
      <c r="G28" s="12" t="s">
        <v>9</v>
      </c>
      <c r="H28" s="12">
        <f>COUNTIFS(Table224[PRIORITAS],"TINGGI",Table224[GANGGUAN],"NORMAL")/COUNTIF(Table224[PRIORITAS],"TINGGI")</f>
        <v>0.7142857142857143</v>
      </c>
      <c r="I28" s="12">
        <f>COUNTIFS(Table224[PRIORITAS],"TINGGI",Table224[GANGGUAN],"GANGGUAN")/COUNTIF(Table224[PRIORITAS],"TINGGI")</f>
        <v>0.2857142857142857</v>
      </c>
      <c r="J28" s="12">
        <f>-H28*LOG(H28,2)-I28*LOG(I28,2)</f>
        <v>0.863120568566631</v>
      </c>
      <c r="K28" s="12">
        <f>COUNTIF(Table224[PRIORITAS],"TINGGI")/ROWS(Table224[GANGGUAN])</f>
        <v>0.58333333333333337</v>
      </c>
      <c r="L28" s="24">
        <f>-K28*LOG(K28,2)-K29*LOG(K29,2)</f>
        <v>0.97986875665115269</v>
      </c>
      <c r="V28" s="4" t="s">
        <v>4</v>
      </c>
      <c r="W28" s="5" t="s">
        <v>8</v>
      </c>
      <c r="X28" s="5" t="s">
        <v>6</v>
      </c>
      <c r="Y28" s="5" t="s">
        <v>9</v>
      </c>
      <c r="Z28" s="6" t="s">
        <v>3</v>
      </c>
      <c r="AB28" s="12" t="s">
        <v>4</v>
      </c>
      <c r="AC28" s="12">
        <f>COUNTIFS($V27:$V31,"PENDEK",$Z27:$Z31,"NORMAL")/COUNTIF($V27:$V31,"PENDEK")</f>
        <v>0.5</v>
      </c>
      <c r="AD28" s="12">
        <f>COUNTIFS($V27:$V31,"PENDEK",$Z27:$Z31,"GANGGUAN")/COUNTIF($V27:$V31,"PENDEK")</f>
        <v>0.5</v>
      </c>
      <c r="AE28" s="12">
        <f>IFERROR(-AC28*LOG(AC28,2)-AD28*LOG(AD28,2),0)</f>
        <v>1</v>
      </c>
      <c r="AF28" s="12">
        <f>COUNTIF($V27:$V31,"PENDEK")/ROWS($Z27:$Z31)</f>
        <v>0.8</v>
      </c>
      <c r="AG28" s="25"/>
      <c r="AV28" s="18" t="s">
        <v>48</v>
      </c>
      <c r="AW28" s="18"/>
      <c r="AY28" s="12" t="s">
        <v>7</v>
      </c>
      <c r="AZ28" s="12">
        <f>COUNTIFS(AV19:AV22,"RENDAH",AW19:AW22,"NORMAL")/COUNTIF(AV19:AV22,"RENDAH")</f>
        <v>0.5</v>
      </c>
      <c r="BA28" s="12">
        <f>COUNTIFS(AV19:AV22,"RENDAH",AW19:AW22,"GANGGUAN")/COUNTIF(AV19:AV22,"RENDAH")</f>
        <v>0.5</v>
      </c>
      <c r="BB28" s="12">
        <f>IFERROR(-AZ28*LOG(AZ28,2)-BA28*LOG(BA28,2),0)</f>
        <v>1</v>
      </c>
      <c r="BC28" s="12">
        <f>IFERROR(COUNTIF(AV19:AV22,"RENDAH")/ROWS(AW19:AW22),0)</f>
        <v>0.5</v>
      </c>
      <c r="BD28" s="25"/>
    </row>
    <row r="29" spans="1:56" x14ac:dyDescent="0.3">
      <c r="G29" s="12" t="s">
        <v>7</v>
      </c>
      <c r="H29" s="12">
        <f>COUNTIFS(Table224[PRIORITAS],"RENDAH",Table224[GANGGUAN],"NORMAL")/COUNTIF(Table224[PRIORITAS],"RENDAH")</f>
        <v>0.8</v>
      </c>
      <c r="I29" s="12">
        <f>COUNTIFS(Table224[PRIORITAS],"RENDAH",Table224[GANGGUAN],"GANGGUAN")/COUNTIF(Table224[PRIORITAS],"RENDAH")</f>
        <v>0.2</v>
      </c>
      <c r="J29" s="12">
        <f>-H29*LOG(H29,2)-I29*LOG(I29,2)</f>
        <v>0.72192809488736231</v>
      </c>
      <c r="K29" s="12">
        <f>COUNTIF(Table224[PRIORITAS],"RENDAH")/ROWS(Table224[GANGGUAN])</f>
        <v>0.41666666666666669</v>
      </c>
      <c r="L29" s="25"/>
      <c r="V29" s="4" t="s">
        <v>4</v>
      </c>
      <c r="W29" s="5" t="s">
        <v>8</v>
      </c>
      <c r="X29" s="5" t="s">
        <v>6</v>
      </c>
      <c r="Y29" s="5" t="s">
        <v>9</v>
      </c>
      <c r="Z29" s="6" t="s">
        <v>10</v>
      </c>
      <c r="AV29" s="18">
        <f>-AV26*LOG(AV26,2)-AW26*LOG(AW26,2)</f>
        <v>1</v>
      </c>
      <c r="AW29" s="18"/>
    </row>
    <row r="30" spans="1:56" x14ac:dyDescent="0.3">
      <c r="V30" s="7" t="s">
        <v>11</v>
      </c>
      <c r="W30" s="8" t="s">
        <v>5</v>
      </c>
      <c r="X30" s="8" t="s">
        <v>6</v>
      </c>
      <c r="Y30" s="8" t="s">
        <v>7</v>
      </c>
      <c r="Z30" s="9" t="s">
        <v>10</v>
      </c>
      <c r="AB30" s="21" t="s">
        <v>34</v>
      </c>
      <c r="AC30" s="22"/>
      <c r="AD30" s="23"/>
      <c r="AE30" s="18" t="s">
        <v>54</v>
      </c>
      <c r="AF30" s="18"/>
      <c r="AG30" s="18"/>
      <c r="AY30" s="21" t="s">
        <v>50</v>
      </c>
      <c r="AZ30" s="22"/>
      <c r="BA30" s="23"/>
      <c r="BB30" s="18" t="s">
        <v>58</v>
      </c>
      <c r="BC30" s="18"/>
      <c r="BD30" s="18"/>
    </row>
    <row r="31" spans="1:56" x14ac:dyDescent="0.3">
      <c r="G31" s="21" t="s">
        <v>27</v>
      </c>
      <c r="H31" s="22"/>
      <c r="I31" s="23"/>
      <c r="J31" s="18" t="s">
        <v>53</v>
      </c>
      <c r="K31" s="18"/>
      <c r="L31" s="18"/>
      <c r="V31" s="7" t="s">
        <v>4</v>
      </c>
      <c r="W31" s="8" t="s">
        <v>5</v>
      </c>
      <c r="X31" s="8" t="s">
        <v>6</v>
      </c>
      <c r="Y31" s="8" t="s">
        <v>7</v>
      </c>
      <c r="Z31" s="9" t="s">
        <v>10</v>
      </c>
      <c r="AB31" s="21">
        <f>Y38-(AF27*AE27)-(AF28*AE28)</f>
        <v>0.17095059445466854</v>
      </c>
      <c r="AC31" s="22"/>
      <c r="AD31" s="23"/>
      <c r="AE31" s="20">
        <f>AB31/AG27</f>
        <v>0.23679725954056524</v>
      </c>
      <c r="AF31" s="20"/>
      <c r="AG31" s="20"/>
      <c r="AY31" s="21">
        <f>AV29-(BC27*BB27)-(BC28*BB28)</f>
        <v>0</v>
      </c>
      <c r="AZ31" s="22"/>
      <c r="BA31" s="23"/>
      <c r="BB31" s="18">
        <f>IFERROR(AY31/BD27,0)</f>
        <v>0</v>
      </c>
      <c r="BC31" s="18"/>
      <c r="BD31" s="18"/>
    </row>
    <row r="32" spans="1:56" x14ac:dyDescent="0.3">
      <c r="G32" s="21">
        <f>D20-(K28*J28)-(K29*J29)</f>
        <v>6.9877532588637492E-3</v>
      </c>
      <c r="H32" s="22"/>
      <c r="I32" s="23"/>
      <c r="J32" s="21">
        <f>G32/L28</f>
        <v>7.1313155067270805E-3</v>
      </c>
      <c r="K32" s="22"/>
      <c r="L32" s="23"/>
    </row>
    <row r="33" spans="25:73" x14ac:dyDescent="0.3">
      <c r="Y33" s="18" t="s">
        <v>39</v>
      </c>
      <c r="Z33" s="18"/>
      <c r="AB33" s="18" t="s">
        <v>25</v>
      </c>
      <c r="AC33" s="18"/>
      <c r="AD33" s="18"/>
      <c r="AE33" s="18"/>
      <c r="AF33" s="18"/>
      <c r="AG33" s="18"/>
      <c r="AY33" s="15" t="s">
        <v>59</v>
      </c>
    </row>
    <row r="34" spans="25:73" x14ac:dyDescent="0.3">
      <c r="Y34" s="12" t="s">
        <v>20</v>
      </c>
      <c r="Z34" s="12" t="s">
        <v>21</v>
      </c>
      <c r="AB34" s="12"/>
      <c r="AC34" s="12" t="s">
        <v>23</v>
      </c>
      <c r="AD34" s="12" t="s">
        <v>21</v>
      </c>
      <c r="AE34" s="12" t="s">
        <v>18</v>
      </c>
      <c r="AF34" s="12" t="s">
        <v>24</v>
      </c>
      <c r="AG34" s="12" t="s">
        <v>52</v>
      </c>
      <c r="BG34" s="16" t="s">
        <v>61</v>
      </c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</row>
    <row r="35" spans="25:73" x14ac:dyDescent="0.3">
      <c r="Y35" s="12">
        <f>COUNTIF(Z27:Z31,"NORMAL")/ROWS(Z27:Z31)</f>
        <v>0.6</v>
      </c>
      <c r="Z35" s="12">
        <f>COUNTIF(Z27:Z31,"GANGGUAN")/ROWS(Z27:Z31)</f>
        <v>0.4</v>
      </c>
      <c r="AB35" s="12" t="s">
        <v>5</v>
      </c>
      <c r="AC35" s="12">
        <f>COUNTIFS($W27:$W31,"BESAR",$Z27:$Z31,"NORMAL")/COUNTIF($W27:$W31,"BESAR")</f>
        <v>0.66666666666666663</v>
      </c>
      <c r="AD35" s="12">
        <f>COUNTIFS($W27:$W31,"BESAR",$Z27:$Z31,"GANGGUAN")/COUNTIF($W27:$W31,"BESAR")</f>
        <v>0.33333333333333331</v>
      </c>
      <c r="AE35" s="12">
        <f>IFERROR(-AC35*LOG(AC35,2)-AD35*LOG(AD35,2),0)</f>
        <v>0.91829583405448956</v>
      </c>
      <c r="AF35" s="12">
        <f>COUNTIF($W27:$W31,"BESAR")/ROWS($Z27:$Z31)</f>
        <v>0.6</v>
      </c>
      <c r="AG35" s="24">
        <f>-AF35*LOG(AF35,2)-AF36*LOG(AF36,2)</f>
        <v>0.97095059445466858</v>
      </c>
    </row>
    <row r="36" spans="25:73" x14ac:dyDescent="0.3">
      <c r="AB36" s="12" t="s">
        <v>8</v>
      </c>
      <c r="AC36" s="12">
        <f>COUNTIFS($W27:$W31,"KECIL",$Z27:$Z31,"NORMAL")/COUNTIF($W27:$W31,"KECIL")</f>
        <v>0.5</v>
      </c>
      <c r="AD36" s="12">
        <f>COUNTIFS($W27:$W31,"KECIL",$Z27:$Z31,"GANGGUAN")/COUNTIF($W27:$W31,"KECIL")</f>
        <v>0.5</v>
      </c>
      <c r="AE36" s="12">
        <f>IFERROR(-AC36*LOG(AC36,2)-AD36*LOG(AD36,2),0)</f>
        <v>1</v>
      </c>
      <c r="AF36" s="12">
        <f>COUNTIF($W27:$W31,"KECIL")/ROWS($Z27:$Z31)</f>
        <v>0.4</v>
      </c>
      <c r="AG36" s="25"/>
    </row>
    <row r="37" spans="25:73" x14ac:dyDescent="0.3">
      <c r="Y37" s="18" t="s">
        <v>37</v>
      </c>
      <c r="Z37" s="18"/>
    </row>
    <row r="38" spans="25:73" x14ac:dyDescent="0.3">
      <c r="Y38" s="18">
        <f>-Y35*LOG(Y35,2)-Z35*LOG(Z35,2)</f>
        <v>0.97095059445466858</v>
      </c>
      <c r="Z38" s="18"/>
      <c r="AB38" s="21" t="s">
        <v>34</v>
      </c>
      <c r="AC38" s="22"/>
      <c r="AD38" s="23"/>
      <c r="AE38" s="18" t="s">
        <v>54</v>
      </c>
      <c r="AF38" s="18"/>
      <c r="AG38" s="18"/>
    </row>
    <row r="39" spans="25:73" x14ac:dyDescent="0.3">
      <c r="AB39" s="21">
        <f>Y38-(AF35*AE35)-(AF36*AE36)</f>
        <v>1.9973094021974891E-2</v>
      </c>
      <c r="AC39" s="22"/>
      <c r="AD39" s="23"/>
      <c r="AE39" s="18">
        <f>AB39/AG35</f>
        <v>2.0570659450692974E-2</v>
      </c>
      <c r="AF39" s="18"/>
      <c r="AG39" s="18"/>
    </row>
    <row r="41" spans="25:73" x14ac:dyDescent="0.3">
      <c r="AB41" s="18" t="s">
        <v>31</v>
      </c>
      <c r="AC41" s="18"/>
      <c r="AD41" s="18"/>
      <c r="AE41" s="18"/>
      <c r="AF41" s="18"/>
      <c r="AG41" s="18"/>
    </row>
    <row r="42" spans="25:73" x14ac:dyDescent="0.3">
      <c r="AB42" s="12"/>
      <c r="AC42" s="12" t="s">
        <v>23</v>
      </c>
      <c r="AD42" s="12" t="s">
        <v>21</v>
      </c>
      <c r="AE42" s="12" t="s">
        <v>18</v>
      </c>
      <c r="AF42" s="12" t="s">
        <v>24</v>
      </c>
      <c r="AG42" s="12" t="s">
        <v>52</v>
      </c>
    </row>
    <row r="43" spans="25:73" x14ac:dyDescent="0.3">
      <c r="AB43" s="12" t="s">
        <v>9</v>
      </c>
      <c r="AC43" s="12">
        <f>COUNTIFS($Y27:$Y31,"TINGGI",$Z27:$Z31,"NORMAL")/COUNTIF($Y27:$Y31,"TINGGI")</f>
        <v>0.5</v>
      </c>
      <c r="AD43" s="12">
        <f>COUNTIFS($Y27:$Y31,"TINGGI",$Z27:$Z31,"GANGGUAN")/COUNTIF($Y27:$Y31,"TINGGI")</f>
        <v>0.5</v>
      </c>
      <c r="AE43" s="12">
        <f>IFERROR(-AC43*LOG(AC43,2)-AD43*LOG(AD43,2),0)</f>
        <v>1</v>
      </c>
      <c r="AF43" s="12">
        <f>COUNTIF($Y27:$Y31,"TINGGI")/ROWS($Z27:$Z31)</f>
        <v>0.4</v>
      </c>
      <c r="AG43" s="24">
        <f>-AF43*LOG(AF43,2)-AF44*LOG(AF44,2)</f>
        <v>0.97095059445466858</v>
      </c>
    </row>
    <row r="44" spans="25:73" x14ac:dyDescent="0.3">
      <c r="AB44" s="12" t="s">
        <v>7</v>
      </c>
      <c r="AC44" s="12">
        <f>COUNTIFS($Y27:$Y31,"RENDAH",$Z27:$Z31,"NORMAL")/COUNTIF($Y27:$Y31,"RENDAH")</f>
        <v>0.66666666666666663</v>
      </c>
      <c r="AD44" s="12">
        <f>COUNTIFS($Y27:$Y31,"RENDAH",$Z27:$Z31,"GANGGUAN")/COUNTIF($Y27:$Y31,"RENDAH")</f>
        <v>0.33333333333333331</v>
      </c>
      <c r="AE44" s="12">
        <f>IFERROR(-AC44*LOG(AC44,2)-AD44*LOG(AD44,2),0)</f>
        <v>0.91829583405448956</v>
      </c>
      <c r="AF44" s="12">
        <f>COUNTIF($Y27:$Y31,"RENDAH")/ROWS($Z27:$Z31)</f>
        <v>0.6</v>
      </c>
      <c r="AG44" s="25"/>
    </row>
    <row r="46" spans="25:73" x14ac:dyDescent="0.3">
      <c r="AB46" s="21" t="s">
        <v>34</v>
      </c>
      <c r="AC46" s="22"/>
      <c r="AD46" s="23"/>
      <c r="AE46" s="18" t="s">
        <v>54</v>
      </c>
      <c r="AF46" s="18"/>
      <c r="AG46" s="18"/>
    </row>
    <row r="47" spans="25:73" x14ac:dyDescent="0.3">
      <c r="AB47" s="21">
        <f>Y38-(AF43*AE43)-(AF44*AE44)</f>
        <v>1.9973094021974891E-2</v>
      </c>
      <c r="AC47" s="22"/>
      <c r="AD47" s="23"/>
      <c r="AE47" s="18">
        <f>AB47/AG43</f>
        <v>2.0570659450692974E-2</v>
      </c>
      <c r="AF47" s="18"/>
      <c r="AG47" s="18"/>
    </row>
  </sheetData>
  <mergeCells count="105">
    <mergeCell ref="G15:I15"/>
    <mergeCell ref="J15:L15"/>
    <mergeCell ref="D19:E19"/>
    <mergeCell ref="D20:E20"/>
    <mergeCell ref="A15:B15"/>
    <mergeCell ref="D15:E15"/>
    <mergeCell ref="BG34:BU34"/>
    <mergeCell ref="L3:L4"/>
    <mergeCell ref="J6:L6"/>
    <mergeCell ref="J7:L7"/>
    <mergeCell ref="G1:L1"/>
    <mergeCell ref="L11:L12"/>
    <mergeCell ref="G9:L9"/>
    <mergeCell ref="G6:I6"/>
    <mergeCell ref="G7:I7"/>
    <mergeCell ref="G14:I14"/>
    <mergeCell ref="J14:L14"/>
    <mergeCell ref="G32:I32"/>
    <mergeCell ref="J32:L32"/>
    <mergeCell ref="L28:L29"/>
    <mergeCell ref="G26:L26"/>
    <mergeCell ref="G31:I31"/>
    <mergeCell ref="J31:L31"/>
    <mergeCell ref="L19:L21"/>
    <mergeCell ref="G17:L17"/>
    <mergeCell ref="G23:I23"/>
    <mergeCell ref="J23:L23"/>
    <mergeCell ref="G24:I24"/>
    <mergeCell ref="J24:L24"/>
    <mergeCell ref="AB7:AD7"/>
    <mergeCell ref="AE7:AG7"/>
    <mergeCell ref="AG11:AG12"/>
    <mergeCell ref="AB9:AG9"/>
    <mergeCell ref="AB14:AD14"/>
    <mergeCell ref="AE14:AG14"/>
    <mergeCell ref="V1:Z1"/>
    <mergeCell ref="Y9:Z9"/>
    <mergeCell ref="Y13:Z13"/>
    <mergeCell ref="Y14:Z14"/>
    <mergeCell ref="AG3:AG4"/>
    <mergeCell ref="AB1:AG1"/>
    <mergeCell ref="AB6:AD6"/>
    <mergeCell ref="AE6:AG6"/>
    <mergeCell ref="AB23:AD23"/>
    <mergeCell ref="AE23:AG23"/>
    <mergeCell ref="V25:Z25"/>
    <mergeCell ref="AB15:AD15"/>
    <mergeCell ref="AE15:AG15"/>
    <mergeCell ref="AG19:AG20"/>
    <mergeCell ref="AB17:AG17"/>
    <mergeCell ref="AB22:AD22"/>
    <mergeCell ref="AE22:AG22"/>
    <mergeCell ref="AB25:AG25"/>
    <mergeCell ref="AB30:AD30"/>
    <mergeCell ref="AE30:AG30"/>
    <mergeCell ref="AB31:AD31"/>
    <mergeCell ref="AE31:AG31"/>
    <mergeCell ref="AG35:AG36"/>
    <mergeCell ref="Y33:Z33"/>
    <mergeCell ref="Y37:Z37"/>
    <mergeCell ref="Y38:Z38"/>
    <mergeCell ref="AB33:AG33"/>
    <mergeCell ref="AB38:AD38"/>
    <mergeCell ref="AE38:AG38"/>
    <mergeCell ref="AB47:AD47"/>
    <mergeCell ref="AE47:AG47"/>
    <mergeCell ref="AB39:AD39"/>
    <mergeCell ref="AE39:AG39"/>
    <mergeCell ref="AG43:AG44"/>
    <mergeCell ref="AB41:AG41"/>
    <mergeCell ref="AB46:AD46"/>
    <mergeCell ref="AE46:AG46"/>
    <mergeCell ref="AG27:AG28"/>
    <mergeCell ref="AY1:BD1"/>
    <mergeCell ref="AY6:BA6"/>
    <mergeCell ref="BB6:BD6"/>
    <mergeCell ref="AY7:BA7"/>
    <mergeCell ref="BB7:BD7"/>
    <mergeCell ref="BD11:BD12"/>
    <mergeCell ref="AY9:BD9"/>
    <mergeCell ref="AS1:AW1"/>
    <mergeCell ref="AV6:AW6"/>
    <mergeCell ref="AV10:AW10"/>
    <mergeCell ref="AV11:AW11"/>
    <mergeCell ref="AV24:AW24"/>
    <mergeCell ref="AV28:AW28"/>
    <mergeCell ref="AV29:AW29"/>
    <mergeCell ref="AY14:BA14"/>
    <mergeCell ref="BB14:BD14"/>
    <mergeCell ref="AY15:BA15"/>
    <mergeCell ref="BB15:BD15"/>
    <mergeCell ref="AS17:AW17"/>
    <mergeCell ref="BD3:BD4"/>
    <mergeCell ref="AY30:BA30"/>
    <mergeCell ref="BB30:BD30"/>
    <mergeCell ref="AY31:BA31"/>
    <mergeCell ref="BB31:BD31"/>
    <mergeCell ref="BD19:BD20"/>
    <mergeCell ref="AY17:BD17"/>
    <mergeCell ref="AY22:BA22"/>
    <mergeCell ref="BB22:BD22"/>
    <mergeCell ref="AY23:BA23"/>
    <mergeCell ref="BB23:BD23"/>
    <mergeCell ref="BD27:BD28"/>
    <mergeCell ref="AY25:BD25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47B4-58B6-4ACF-A3BA-519656F19AF7}">
  <dimension ref="A1:E13"/>
  <sheetViews>
    <sheetView workbookViewId="0">
      <selection sqref="A1:E13"/>
    </sheetView>
  </sheetViews>
  <sheetFormatPr defaultRowHeight="14.4" x14ac:dyDescent="0.3"/>
  <cols>
    <col min="3" max="3" width="12" customWidth="1"/>
    <col min="4" max="4" width="11.33203125" customWidth="1"/>
    <col min="5" max="5" width="12.6640625" customWidth="1"/>
  </cols>
  <sheetData>
    <row r="1" spans="1:5" x14ac:dyDescent="0.3">
      <c r="A1" t="s">
        <v>0</v>
      </c>
      <c r="B1" t="s">
        <v>1</v>
      </c>
      <c r="C1" t="s">
        <v>12</v>
      </c>
      <c r="D1" t="s">
        <v>2</v>
      </c>
      <c r="E1" t="s">
        <v>3</v>
      </c>
    </row>
    <row r="2" spans="1:5" x14ac:dyDescent="0.3">
      <c r="A2" t="s">
        <v>4</v>
      </c>
      <c r="B2" t="s">
        <v>5</v>
      </c>
      <c r="C2" t="s">
        <v>6</v>
      </c>
      <c r="D2" t="s">
        <v>7</v>
      </c>
      <c r="E2" t="s">
        <v>3</v>
      </c>
    </row>
    <row r="3" spans="1:5" x14ac:dyDescent="0.3">
      <c r="A3" t="s">
        <v>4</v>
      </c>
      <c r="B3" t="s">
        <v>8</v>
      </c>
      <c r="C3" t="s">
        <v>9</v>
      </c>
      <c r="D3" t="s">
        <v>7</v>
      </c>
      <c r="E3" t="s">
        <v>10</v>
      </c>
    </row>
    <row r="4" spans="1:5" x14ac:dyDescent="0.3">
      <c r="A4" t="s">
        <v>4</v>
      </c>
      <c r="B4" t="s">
        <v>8</v>
      </c>
      <c r="C4" t="s">
        <v>6</v>
      </c>
      <c r="D4" t="s">
        <v>9</v>
      </c>
      <c r="E4" t="s">
        <v>3</v>
      </c>
    </row>
    <row r="5" spans="1:5" x14ac:dyDescent="0.3">
      <c r="A5" t="s">
        <v>4</v>
      </c>
      <c r="B5" t="s">
        <v>8</v>
      </c>
      <c r="C5" t="s">
        <v>9</v>
      </c>
      <c r="D5" t="s">
        <v>7</v>
      </c>
      <c r="E5" t="s">
        <v>10</v>
      </c>
    </row>
    <row r="6" spans="1:5" x14ac:dyDescent="0.3">
      <c r="A6" t="s">
        <v>4</v>
      </c>
      <c r="B6" t="s">
        <v>8</v>
      </c>
      <c r="C6" t="s">
        <v>6</v>
      </c>
      <c r="D6" t="s">
        <v>9</v>
      </c>
      <c r="E6" t="s">
        <v>10</v>
      </c>
    </row>
    <row r="7" spans="1:5" x14ac:dyDescent="0.3">
      <c r="A7" t="s">
        <v>11</v>
      </c>
      <c r="B7" t="s">
        <v>5</v>
      </c>
      <c r="C7" t="s">
        <v>6</v>
      </c>
      <c r="D7" t="s">
        <v>7</v>
      </c>
      <c r="E7" t="s">
        <v>10</v>
      </c>
    </row>
    <row r="8" spans="1:5" x14ac:dyDescent="0.3">
      <c r="A8" t="s">
        <v>11</v>
      </c>
      <c r="B8" t="s">
        <v>8</v>
      </c>
      <c r="C8" t="s">
        <v>9</v>
      </c>
      <c r="D8" t="s">
        <v>9</v>
      </c>
      <c r="E8" t="s">
        <v>3</v>
      </c>
    </row>
    <row r="9" spans="1:5" x14ac:dyDescent="0.3">
      <c r="A9" t="s">
        <v>4</v>
      </c>
      <c r="B9" t="s">
        <v>5</v>
      </c>
      <c r="C9" t="s">
        <v>6</v>
      </c>
      <c r="D9" t="s">
        <v>7</v>
      </c>
      <c r="E9" t="s">
        <v>10</v>
      </c>
    </row>
    <row r="10" spans="1:5" x14ac:dyDescent="0.3">
      <c r="A10" t="s">
        <v>11</v>
      </c>
      <c r="B10" t="s">
        <v>8</v>
      </c>
      <c r="C10" t="s">
        <v>7</v>
      </c>
      <c r="D10" t="s">
        <v>9</v>
      </c>
      <c r="E10" t="s">
        <v>10</v>
      </c>
    </row>
    <row r="11" spans="1:5" x14ac:dyDescent="0.3">
      <c r="A11" t="s">
        <v>4</v>
      </c>
      <c r="B11" t="s">
        <v>8</v>
      </c>
      <c r="C11" t="s">
        <v>9</v>
      </c>
      <c r="D11" t="s">
        <v>9</v>
      </c>
      <c r="E11" t="s">
        <v>10</v>
      </c>
    </row>
    <row r="12" spans="1:5" x14ac:dyDescent="0.3">
      <c r="A12" t="s">
        <v>11</v>
      </c>
      <c r="B12" t="s">
        <v>5</v>
      </c>
      <c r="C12" t="s">
        <v>9</v>
      </c>
      <c r="D12" t="s">
        <v>9</v>
      </c>
      <c r="E12" t="s">
        <v>10</v>
      </c>
    </row>
    <row r="13" spans="1:5" x14ac:dyDescent="0.3">
      <c r="A13" t="s">
        <v>11</v>
      </c>
      <c r="B13" t="s">
        <v>8</v>
      </c>
      <c r="C13" t="s">
        <v>7</v>
      </c>
      <c r="D13" t="s">
        <v>9</v>
      </c>
      <c r="E13" t="s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N g G T W P u 3 B d G l A A A A 9 g A A A B I A H A B D b 2 5 m a W c v U G F j a 2 F n Z S 5 4 b W w g o h g A K K A U A A A A A A A A A A A A A A A A A A A A A A A A A A A A h Y + x D o I w F E V / h X S n L X X A k E c Z d D G R x M T E u D Z Y o R E e h h b L v z n 4 S f 6 C G E X d H O + 5 Z 7 j 3 f r 1 B N j R 1 c N G d N S 2 m J K K c B B q L 9 m C w T E n v j u G c Z B I 2 q j i p U g e j j D Y Z 7 C E l l X P n h D H v P f U z 2 n Y l E 5 x H b J + v t 0 W l G 0 U + s v k v h w a t U 1 h o I m H 3 G i M F j U R M R R x T D m y C k B v 8 C m L c + 2 x / I C z 6 2 v W d l h r D 1 R L Y F I G 9 P 8 g H U E s D B B Q A A g A I A D Y B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A Z N Y K I p H u A 4 A A A A R A A A A E w A c A E Z v c m 1 1 b G F z L 1 N l Y 3 R p b 2 4 x L m 0 g o h g A K K A U A A A A A A A A A A A A A A A A A A A A A A A A A A A A K 0 5 N L s n M z 1 M I h t C G 1 g B Q S w E C L Q A U A A I A C A A 2 A Z N Y + 7 c F 0 a U A A A D 2 A A A A E g A A A A A A A A A A A A A A A A A A A A A A Q 2 9 u Z m l n L 1 B h Y 2 t h Z 2 U u e G 1 s U E s B A i 0 A F A A C A A g A N g G T W A / K 6 a u k A A A A 6 Q A A A B M A A A A A A A A A A A A A A A A A 8 Q A A A F t D b 2 5 0 Z W 5 0 X 1 R 5 c G V z X S 5 4 b W x Q S w E C L Q A U A A I A C A A 2 A Z N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T A i j c C 1 o U q 1 p b G 1 f 3 o 9 g Q A A A A A C A A A A A A A Q Z g A A A A E A A C A A A A C a k P n d N B F 9 b 2 K F f d T 2 H Y / s u h l b Q f S / Z f f / n N 4 + o y N B e w A A A A A O g A A A A A I A A C A A A A A R x c k n 5 g G a E S 9 c 3 f u e y X R z l 9 M O P M F M m o q q c d 6 J X W 9 U 0 F A A A A C i 2 Y i S L 4 3 9 8 m w Q b h W A h i r 7 Q Q + V s D O Q z j N u 8 2 X Z D 1 d K M m E a c D E E E w O O W c V 6 P + F O a L 6 6 O b X e h I P 5 s L 9 Q T f a 7 f w c r a W p r s 8 H h P o N O 7 B d 3 E e T C 6 0 A A A A B F 7 4 V s x 5 r O T H y l j r x k 2 t d U p w U i h T P I S Y 3 m a 3 l p H m x m s V 6 Y H f x r S 8 o 7 3 i J r 7 R q T R L x Q A f i 2 b 6 6 v D C r i A x Q 5 y F 4 G < / D a t a M a s h u p > 
</file>

<file path=customXml/itemProps1.xml><?xml version="1.0" encoding="utf-8"?>
<ds:datastoreItem xmlns:ds="http://schemas.openxmlformats.org/officeDocument/2006/customXml" ds:itemID="{AAF94930-A15C-4122-9E62-0DD89658C6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ID3</vt:lpstr>
      <vt:lpstr>C4.5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tirana fatyanosa</dc:creator>
  <cp:lastModifiedBy>Muhammad Rajendra</cp:lastModifiedBy>
  <dcterms:created xsi:type="dcterms:W3CDTF">2024-04-15T02:04:49Z</dcterms:created>
  <dcterms:modified xsi:type="dcterms:W3CDTF">2024-04-19T08:42:39Z</dcterms:modified>
</cp:coreProperties>
</file>