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se\"/>
    </mc:Choice>
  </mc:AlternateContent>
  <xr:revisionPtr revIDLastSave="0" documentId="13_ncr:1_{A6835665-6942-46D0-A6DD-C1146C5BD51B}" xr6:coauthVersionLast="45" xr6:coauthVersionMax="45" xr10:uidLastSave="{00000000-0000-0000-0000-000000000000}"/>
  <bookViews>
    <workbookView xWindow="-108" yWindow="-108" windowWidth="23256" windowHeight="12576" tabRatio="912" firstSheet="6" activeTab="17" xr2:uid="{00000000-000D-0000-FFFF-FFFF00000000}"/>
  </bookViews>
  <sheets>
    <sheet name="Information" sheetId="161" r:id="rId1"/>
    <sheet name="Input --&gt;" sheetId="157" r:id="rId2"/>
    <sheet name="P&amp;L Input" sheetId="155" r:id="rId3"/>
    <sheet name="Market Overview" sheetId="214" r:id="rId4"/>
    <sheet name="Charts" sheetId="215" r:id="rId5"/>
    <sheet name="Income Statement items" sheetId="199" r:id="rId6"/>
    <sheet name="Revenue mobile phones" sheetId="182" r:id="rId7"/>
    <sheet name="Units Comparables" sheetId="207" r:id="rId8"/>
    <sheet name="GP%" sheetId="185" r:id="rId9"/>
    <sheet name="GP" sheetId="186" r:id="rId10"/>
    <sheet name="COGS" sheetId="193" r:id="rId11"/>
    <sheet name="Revenue &amp; GP" sheetId="212" r:id="rId12"/>
    <sheet name="Operating expenses" sheetId="194" r:id="rId13"/>
    <sheet name="Opex comparables" sheetId="197" r:id="rId14"/>
    <sheet name="Opex" sheetId="167" r:id="rId15"/>
    <sheet name="Output --&gt;" sheetId="156" r:id="rId16"/>
    <sheet name="Cash Flow" sheetId="178" r:id="rId17"/>
    <sheet name="DCF" sheetId="179" r:id="rId18"/>
  </sheets>
  <definedNames>
    <definedName name="solver_adj" localSheetId="9" hidden="1">GP!$C$11:$C$13</definedName>
    <definedName name="solver_adj" localSheetId="8" hidden="1">'GP%'!$H$6:$H$8</definedName>
    <definedName name="solver_adj" localSheetId="3" hidden="1">'Market Overview'!$J$26:$K$28</definedName>
    <definedName name="solver_cvg" localSheetId="9" hidden="1">0.0001</definedName>
    <definedName name="solver_cvg" localSheetId="8" hidden="1">0.0001</definedName>
    <definedName name="solver_cvg" localSheetId="3" hidden="1">0.0001</definedName>
    <definedName name="solver_drv" localSheetId="9" hidden="1">1</definedName>
    <definedName name="solver_drv" localSheetId="8" hidden="1">2</definedName>
    <definedName name="solver_drv" localSheetId="3" hidden="1">1</definedName>
    <definedName name="solver_eng" localSheetId="9" hidden="1">1</definedName>
    <definedName name="solver_eng" localSheetId="8" hidden="1">1</definedName>
    <definedName name="solver_eng" localSheetId="3" hidden="1">1</definedName>
    <definedName name="solver_est" localSheetId="9" hidden="1">1</definedName>
    <definedName name="solver_est" localSheetId="8" hidden="1">1</definedName>
    <definedName name="solver_est" localSheetId="3" hidden="1">1</definedName>
    <definedName name="solver_itr" localSheetId="9" hidden="1">2147483647</definedName>
    <definedName name="solver_itr" localSheetId="8" hidden="1">2147483647</definedName>
    <definedName name="solver_itr" localSheetId="3" hidden="1">2147483647</definedName>
    <definedName name="solver_lhs1" localSheetId="9" hidden="1">GP!$C$11</definedName>
    <definedName name="solver_lhs1" localSheetId="8" hidden="1">'GP%'!$H$6</definedName>
    <definedName name="solver_lhs1" localSheetId="3" hidden="1">'Market Overview'!$J$26</definedName>
    <definedName name="solver_lhs10" localSheetId="3" hidden="1">'Market Overview'!#REF!</definedName>
    <definedName name="solver_lhs11" localSheetId="3" hidden="1">'Market Overview'!#REF!</definedName>
    <definedName name="solver_lhs2" localSheetId="9" hidden="1">GP!$C$11</definedName>
    <definedName name="solver_lhs2" localSheetId="8" hidden="1">'GP%'!$H$6</definedName>
    <definedName name="solver_lhs2" localSheetId="3" hidden="1">'Market Overview'!$J$26</definedName>
    <definedName name="solver_lhs3" localSheetId="9" hidden="1">GP!$C$12</definedName>
    <definedName name="solver_lhs3" localSheetId="8" hidden="1">'GP%'!$H$7</definedName>
    <definedName name="solver_lhs3" localSheetId="3" hidden="1">'Market Overview'!$J$27</definedName>
    <definedName name="solver_lhs4" localSheetId="9" hidden="1">GP!$C$12</definedName>
    <definedName name="solver_lhs4" localSheetId="8" hidden="1">'GP%'!$H$7</definedName>
    <definedName name="solver_lhs4" localSheetId="3" hidden="1">'Market Overview'!$H$30</definedName>
    <definedName name="solver_lhs5" localSheetId="9" hidden="1">GP!$C$13</definedName>
    <definedName name="solver_lhs5" localSheetId="8" hidden="1">'GP%'!#REF!</definedName>
    <definedName name="solver_lhs5" localSheetId="3" hidden="1">'Market Overview'!$H$31</definedName>
    <definedName name="solver_lhs6" localSheetId="9" hidden="1">GP!$C$13</definedName>
    <definedName name="solver_lhs6" localSheetId="8" hidden="1">'GP%'!#REF!</definedName>
    <definedName name="solver_lhs6" localSheetId="3" hidden="1">'Market Overview'!$H$32</definedName>
    <definedName name="solver_lhs7" localSheetId="3" hidden="1">'Market Overview'!$H$33</definedName>
    <definedName name="solver_lhs8" localSheetId="3" hidden="1">'Market Overview'!#REF!</definedName>
    <definedName name="solver_lhs9" localSheetId="3" hidden="1">'Market Overview'!#REF!</definedName>
    <definedName name="solver_mip" localSheetId="9" hidden="1">2147483647</definedName>
    <definedName name="solver_mip" localSheetId="8" hidden="1">2147483647</definedName>
    <definedName name="solver_mip" localSheetId="3" hidden="1">2147483647</definedName>
    <definedName name="solver_mni" localSheetId="9" hidden="1">30</definedName>
    <definedName name="solver_mni" localSheetId="8" hidden="1">30</definedName>
    <definedName name="solver_mni" localSheetId="3" hidden="1">30</definedName>
    <definedName name="solver_mrt" localSheetId="9" hidden="1">0.075</definedName>
    <definedName name="solver_mrt" localSheetId="8" hidden="1">0.075</definedName>
    <definedName name="solver_mrt" localSheetId="3" hidden="1">0.075</definedName>
    <definedName name="solver_msl" localSheetId="9" hidden="1">2</definedName>
    <definedName name="solver_msl" localSheetId="8" hidden="1">2</definedName>
    <definedName name="solver_msl" localSheetId="3" hidden="1">2</definedName>
    <definedName name="solver_neg" localSheetId="9" hidden="1">1</definedName>
    <definedName name="solver_neg" localSheetId="8" hidden="1">1</definedName>
    <definedName name="solver_neg" localSheetId="3" hidden="1">1</definedName>
    <definedName name="solver_nod" localSheetId="9" hidden="1">2147483647</definedName>
    <definedName name="solver_nod" localSheetId="8" hidden="1">2147483647</definedName>
    <definedName name="solver_nod" localSheetId="3" hidden="1">2147483647</definedName>
    <definedName name="solver_num" localSheetId="9" hidden="1">6</definedName>
    <definedName name="solver_num" localSheetId="8" hidden="1">6</definedName>
    <definedName name="solver_num" localSheetId="3" hidden="1">8</definedName>
    <definedName name="solver_nwt" localSheetId="9" hidden="1">1</definedName>
    <definedName name="solver_nwt" localSheetId="8" hidden="1">1</definedName>
    <definedName name="solver_nwt" localSheetId="3" hidden="1">1</definedName>
    <definedName name="solver_opt" localSheetId="9" hidden="1">GP!$C$8</definedName>
    <definedName name="solver_opt" localSheetId="8" hidden="1">'GP%'!#REF!</definedName>
    <definedName name="solver_opt" localSheetId="3" hidden="1">'Market Overview'!$H$30</definedName>
    <definedName name="solver_pre" localSheetId="9" hidden="1">0.000001</definedName>
    <definedName name="solver_pre" localSheetId="8" hidden="1">0.000001</definedName>
    <definedName name="solver_pre" localSheetId="3" hidden="1">0.000001</definedName>
    <definedName name="solver_rbv" localSheetId="9" hidden="1">1</definedName>
    <definedName name="solver_rbv" localSheetId="8" hidden="1">2</definedName>
    <definedName name="solver_rbv" localSheetId="3" hidden="1">2</definedName>
    <definedName name="solver_rel1" localSheetId="9" hidden="1">1</definedName>
    <definedName name="solver_rel1" localSheetId="8" hidden="1">1</definedName>
    <definedName name="solver_rel1" localSheetId="3" hidden="1">1</definedName>
    <definedName name="solver_rel10" localSheetId="3" hidden="1">3</definedName>
    <definedName name="solver_rel11" localSheetId="3" hidden="1">2</definedName>
    <definedName name="solver_rel2" localSheetId="9" hidden="1">3</definedName>
    <definedName name="solver_rel2" localSheetId="8" hidden="1">3</definedName>
    <definedName name="solver_rel2" localSheetId="3" hidden="1">3</definedName>
    <definedName name="solver_rel3" localSheetId="9" hidden="1">1</definedName>
    <definedName name="solver_rel3" localSheetId="8" hidden="1">1</definedName>
    <definedName name="solver_rel3" localSheetId="3" hidden="1">1</definedName>
    <definedName name="solver_rel4" localSheetId="9" hidden="1">3</definedName>
    <definedName name="solver_rel4" localSheetId="8" hidden="1">3</definedName>
    <definedName name="solver_rel4" localSheetId="3" hidden="1">2</definedName>
    <definedName name="solver_rel5" localSheetId="9" hidden="1">1</definedName>
    <definedName name="solver_rel5" localSheetId="8" hidden="1">2</definedName>
    <definedName name="solver_rel5" localSheetId="3" hidden="1">2</definedName>
    <definedName name="solver_rel6" localSheetId="9" hidden="1">3</definedName>
    <definedName name="solver_rel6" localSheetId="8" hidden="1">2</definedName>
    <definedName name="solver_rel6" localSheetId="3" hidden="1">2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9" hidden="1">0.64</definedName>
    <definedName name="solver_rhs1" localSheetId="8" hidden="1">65</definedName>
    <definedName name="solver_rhs1" localSheetId="3" hidden="1">589</definedName>
    <definedName name="solver_rhs10" localSheetId="3" hidden="1">85650000</definedName>
    <definedName name="solver_rhs11" localSheetId="3" hidden="1">'Market Overview'!#REF!</definedName>
    <definedName name="solver_rhs2" localSheetId="9" hidden="1">0.45</definedName>
    <definedName name="solver_rhs2" localSheetId="8" hidden="1">50</definedName>
    <definedName name="solver_rhs2" localSheetId="3" hidden="1">'Market Overview'!$J$27</definedName>
    <definedName name="solver_rhs3" localSheetId="9" hidden="1">0.1</definedName>
    <definedName name="solver_rhs3" localSheetId="8" hidden="1">10</definedName>
    <definedName name="solver_rhs3" localSheetId="3" hidden="1">283</definedName>
    <definedName name="solver_rhs4" localSheetId="9" hidden="1">0.03</definedName>
    <definedName name="solver_rhs4" localSheetId="8" hidden="1">3</definedName>
    <definedName name="solver_rhs4" localSheetId="3" hidden="1">'Market Overview'!$I$30</definedName>
    <definedName name="solver_rhs5" localSheetId="9" hidden="1">0.8</definedName>
    <definedName name="solver_rhs5" localSheetId="8" hidden="1">279600</definedName>
    <definedName name="solver_rhs5" localSheetId="3" hidden="1">'Market Overview'!$I$31</definedName>
    <definedName name="solver_rhs6" localSheetId="9" hidden="1">0.3</definedName>
    <definedName name="solver_rhs6" localSheetId="8" hidden="1">307200</definedName>
    <definedName name="solver_rhs6" localSheetId="3" hidden="1">'Market Overview'!$I$32</definedName>
    <definedName name="solver_rhs7" localSheetId="3" hidden="1">'Market Overview'!$I$33</definedName>
    <definedName name="solver_rhs8" localSheetId="3" hidden="1">'Market Overview'!#REF!</definedName>
    <definedName name="solver_rhs9" localSheetId="3" hidden="1">'Market Overview'!#REF!</definedName>
    <definedName name="solver_rlx" localSheetId="9" hidden="1">2</definedName>
    <definedName name="solver_rlx" localSheetId="8" hidden="1">2</definedName>
    <definedName name="solver_rlx" localSheetId="3" hidden="1">2</definedName>
    <definedName name="solver_rsd" localSheetId="9" hidden="1">0</definedName>
    <definedName name="solver_rsd" localSheetId="8" hidden="1">0</definedName>
    <definedName name="solver_rsd" localSheetId="3" hidden="1">0</definedName>
    <definedName name="solver_scl" localSheetId="9" hidden="1">1</definedName>
    <definedName name="solver_scl" localSheetId="8" hidden="1">2</definedName>
    <definedName name="solver_scl" localSheetId="3" hidden="1">2</definedName>
    <definedName name="solver_sho" localSheetId="9" hidden="1">2</definedName>
    <definedName name="solver_sho" localSheetId="8" hidden="1">2</definedName>
    <definedName name="solver_sho" localSheetId="3" hidden="1">2</definedName>
    <definedName name="solver_ssz" localSheetId="9" hidden="1">100</definedName>
    <definedName name="solver_ssz" localSheetId="8" hidden="1">100</definedName>
    <definedName name="solver_ssz" localSheetId="3" hidden="1">0</definedName>
    <definedName name="solver_tim" localSheetId="9" hidden="1">2147483647</definedName>
    <definedName name="solver_tim" localSheetId="8" hidden="1">2147483647</definedName>
    <definedName name="solver_tim" localSheetId="3" hidden="1">2147483647</definedName>
    <definedName name="solver_tol" localSheetId="9" hidden="1">0.01</definedName>
    <definedName name="solver_tol" localSheetId="8" hidden="1">0.01</definedName>
    <definedName name="solver_tol" localSheetId="3" hidden="1">0.01</definedName>
    <definedName name="solver_typ" localSheetId="9" hidden="1">3</definedName>
    <definedName name="solver_typ" localSheetId="8" hidden="1">1</definedName>
    <definedName name="solver_typ" localSheetId="3" hidden="1">3</definedName>
    <definedName name="solver_val" localSheetId="9" hidden="1">279600</definedName>
    <definedName name="solver_val" localSheetId="8" hidden="1">0</definedName>
    <definedName name="solver_val" localSheetId="3" hidden="1">332.4</definedName>
    <definedName name="solver_ver" localSheetId="9" hidden="1">3</definedName>
    <definedName name="solver_ver" localSheetId="8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67" l="1"/>
  <c r="Q5" i="167"/>
  <c r="O5" i="167"/>
  <c r="N5" i="167"/>
  <c r="H20" i="214" l="1"/>
  <c r="H21" i="214" s="1"/>
  <c r="G20" i="214"/>
  <c r="C18" i="214"/>
  <c r="D18" i="214"/>
  <c r="E18" i="214"/>
  <c r="F18" i="214"/>
  <c r="G18" i="214"/>
  <c r="H18" i="214"/>
  <c r="I18" i="214"/>
  <c r="J18" i="214"/>
  <c r="K18" i="214"/>
  <c r="H6" i="214"/>
  <c r="H7" i="214" s="1"/>
  <c r="G6" i="214"/>
  <c r="G7" i="214" s="1"/>
  <c r="G13" i="214"/>
  <c r="G14" i="214" s="1"/>
  <c r="H13" i="214"/>
  <c r="H14" i="214" s="1"/>
  <c r="H15" i="214" l="1"/>
  <c r="H8" i="214"/>
  <c r="F19" i="179"/>
  <c r="F18" i="179"/>
  <c r="C10" i="161"/>
  <c r="N14" i="179"/>
  <c r="N13" i="179"/>
  <c r="N11" i="179"/>
  <c r="N10" i="179"/>
  <c r="N9" i="179"/>
  <c r="N8" i="179"/>
  <c r="C9" i="161" l="1"/>
  <c r="N12" i="179"/>
  <c r="H9" i="179" l="1"/>
  <c r="E9" i="179"/>
  <c r="I9" i="179"/>
  <c r="G9" i="179"/>
  <c r="F9" i="179"/>
  <c r="D17" i="178"/>
  <c r="C17" i="178"/>
  <c r="D11" i="178" l="1"/>
  <c r="D8" i="178" l="1"/>
  <c r="C8" i="178"/>
  <c r="D5" i="178"/>
  <c r="D6" i="178" s="1"/>
  <c r="C5" i="178"/>
  <c r="C6" i="178" s="1"/>
  <c r="M5" i="167"/>
  <c r="F11" i="197"/>
  <c r="F8" i="197"/>
  <c r="F9" i="197"/>
  <c r="F7" i="197"/>
  <c r="D20" i="155" l="1"/>
  <c r="C20" i="155"/>
  <c r="M14" i="167" l="1"/>
  <c r="L14" i="167"/>
  <c r="D5" i="167"/>
  <c r="L5" i="167"/>
  <c r="C15" i="155"/>
  <c r="C6" i="167" s="1"/>
  <c r="D6" i="167"/>
  <c r="D4" i="167"/>
  <c r="M11" i="167" s="1"/>
  <c r="C4" i="167"/>
  <c r="L13" i="167" s="1"/>
  <c r="C10" i="197"/>
  <c r="C9" i="197"/>
  <c r="C8" i="197"/>
  <c r="C7" i="197"/>
  <c r="C4" i="212"/>
  <c r="D4" i="212"/>
  <c r="H6" i="185"/>
  <c r="E21" i="186"/>
  <c r="E26" i="186" s="1"/>
  <c r="H7" i="185"/>
  <c r="E6" i="185"/>
  <c r="D11" i="182"/>
  <c r="F15" i="182"/>
  <c r="G15" i="182"/>
  <c r="H15" i="182"/>
  <c r="I15" i="182"/>
  <c r="F16" i="182"/>
  <c r="G16" i="182"/>
  <c r="H16" i="182"/>
  <c r="I16" i="182"/>
  <c r="E16" i="182"/>
  <c r="E7" i="182" s="1"/>
  <c r="C8" i="161"/>
  <c r="G27" i="182"/>
  <c r="G26" i="182"/>
  <c r="G19" i="182"/>
  <c r="G18" i="182"/>
  <c r="G27" i="207"/>
  <c r="G26" i="207"/>
  <c r="G23" i="207"/>
  <c r="G22" i="207"/>
  <c r="G24" i="207"/>
  <c r="G25" i="207"/>
  <c r="D16" i="207"/>
  <c r="E16" i="207"/>
  <c r="F16" i="207"/>
  <c r="G16" i="207"/>
  <c r="H16" i="207"/>
  <c r="I16" i="207"/>
  <c r="J16" i="207"/>
  <c r="K16" i="207"/>
  <c r="L16" i="207"/>
  <c r="L17" i="207"/>
  <c r="L20" i="207"/>
  <c r="E17" i="207"/>
  <c r="F17" i="207"/>
  <c r="G17" i="207"/>
  <c r="H17" i="207"/>
  <c r="I17" i="207"/>
  <c r="J17" i="207"/>
  <c r="K17" i="207"/>
  <c r="F18" i="207"/>
  <c r="G18" i="207"/>
  <c r="H18" i="207"/>
  <c r="K18" i="207"/>
  <c r="F19" i="207"/>
  <c r="G19" i="207"/>
  <c r="H19" i="207"/>
  <c r="I19" i="207"/>
  <c r="J19" i="207"/>
  <c r="K19" i="207"/>
  <c r="I20" i="207"/>
  <c r="J20" i="207"/>
  <c r="K20" i="207"/>
  <c r="D17" i="207"/>
  <c r="E12" i="207"/>
  <c r="F12" i="207"/>
  <c r="G12" i="207"/>
  <c r="H12" i="207"/>
  <c r="I12" i="207"/>
  <c r="J12" i="207"/>
  <c r="K12" i="207"/>
  <c r="L12" i="207"/>
  <c r="E14" i="182"/>
  <c r="E5" i="182" s="1"/>
  <c r="E15" i="182"/>
  <c r="E6" i="182" s="1"/>
  <c r="M15" i="167" l="1"/>
  <c r="I6" i="214"/>
  <c r="I7" i="214" s="1"/>
  <c r="I8" i="214" s="1"/>
  <c r="I13" i="214"/>
  <c r="E16" i="186"/>
  <c r="L15" i="167"/>
  <c r="L7" i="167"/>
  <c r="M9" i="167"/>
  <c r="M13" i="167"/>
  <c r="L11" i="167"/>
  <c r="L9" i="167"/>
  <c r="M7" i="167"/>
  <c r="C5" i="167"/>
  <c r="F6" i="182"/>
  <c r="E4" i="155"/>
  <c r="F7" i="182"/>
  <c r="I14" i="214" l="1"/>
  <c r="I15" i="214" s="1"/>
  <c r="G6" i="182"/>
  <c r="G7" i="182"/>
  <c r="H6" i="182" l="1"/>
  <c r="H7" i="182"/>
  <c r="I6" i="182" l="1"/>
  <c r="I7" i="182"/>
  <c r="E19" i="214" l="1"/>
  <c r="H19" i="214"/>
  <c r="I19" i="214"/>
  <c r="F8" i="182"/>
  <c r="G8" i="182" s="1"/>
  <c r="H8" i="182" s="1"/>
  <c r="I8" i="182" s="1"/>
  <c r="F9" i="182"/>
  <c r="G9" i="182" s="1"/>
  <c r="H9" i="182" s="1"/>
  <c r="I9" i="182" s="1"/>
  <c r="F10" i="182"/>
  <c r="G10" i="182" s="1"/>
  <c r="H10" i="182" s="1"/>
  <c r="I10" i="182" s="1"/>
  <c r="E9" i="182"/>
  <c r="E10" i="182"/>
  <c r="E8" i="182"/>
  <c r="C5" i="182"/>
  <c r="C10" i="182"/>
  <c r="C7" i="182" s="1"/>
  <c r="C9" i="182"/>
  <c r="C6" i="182" s="1"/>
  <c r="C8" i="182"/>
  <c r="G19" i="214" l="1"/>
  <c r="K19" i="214"/>
  <c r="F19" i="214"/>
  <c r="D19" i="214"/>
  <c r="J19" i="214"/>
  <c r="C6" i="186"/>
  <c r="C5" i="193" s="1"/>
  <c r="C11" i="182"/>
  <c r="C5" i="186"/>
  <c r="C4" i="193" s="1"/>
  <c r="E11" i="182"/>
  <c r="E6" i="155" s="1"/>
  <c r="E5" i="155"/>
  <c r="I20" i="214" s="1"/>
  <c r="I21" i="214" s="1"/>
  <c r="I14" i="182"/>
  <c r="E17" i="178" l="1"/>
  <c r="E11" i="178" s="1"/>
  <c r="E22" i="155"/>
  <c r="E8" i="178" s="1"/>
  <c r="E4" i="167"/>
  <c r="E4" i="212"/>
  <c r="H30" i="214"/>
  <c r="N4" i="167" l="1"/>
  <c r="E10" i="155" s="1"/>
  <c r="N8" i="167"/>
  <c r="E12" i="155" s="1"/>
  <c r="N10" i="167"/>
  <c r="E13" i="155" s="1"/>
  <c r="N6" i="167"/>
  <c r="E11" i="155" s="1"/>
  <c r="N12" i="167"/>
  <c r="E14" i="155" s="1"/>
  <c r="I32" i="214"/>
  <c r="H33" i="214"/>
  <c r="H31" i="214"/>
  <c r="I33" i="214"/>
  <c r="H32" i="214"/>
  <c r="E15" i="155" l="1"/>
  <c r="N14" i="167"/>
  <c r="E6" i="167" s="1"/>
  <c r="E35" i="214"/>
  <c r="I28" i="214"/>
  <c r="I27" i="214"/>
  <c r="I26" i="214"/>
  <c r="D5" i="214"/>
  <c r="E5" i="214"/>
  <c r="F5" i="214"/>
  <c r="G5" i="214"/>
  <c r="H5" i="214"/>
  <c r="I5" i="214"/>
  <c r="J5" i="214"/>
  <c r="K5" i="214"/>
  <c r="L4" i="214" s="1"/>
  <c r="M4" i="214" s="1"/>
  <c r="D12" i="214"/>
  <c r="E12" i="214"/>
  <c r="F12" i="214"/>
  <c r="G12" i="214"/>
  <c r="H12" i="214"/>
  <c r="I12" i="214"/>
  <c r="J12" i="214"/>
  <c r="K12" i="214"/>
  <c r="L11" i="214" s="1"/>
  <c r="L18" i="214" l="1"/>
  <c r="L19" i="214" s="1"/>
  <c r="N15" i="167"/>
  <c r="E16" i="167" s="1"/>
  <c r="L12" i="214"/>
  <c r="M11" i="214"/>
  <c r="M18" i="214" s="1"/>
  <c r="D15" i="155"/>
  <c r="D8" i="155"/>
  <c r="C8" i="155"/>
  <c r="M12" i="214" l="1"/>
  <c r="M19" i="214"/>
  <c r="E19" i="167"/>
  <c r="E13" i="167"/>
  <c r="C16" i="155"/>
  <c r="C17" i="155" s="1"/>
  <c r="D16" i="155"/>
  <c r="D9" i="155"/>
  <c r="C9" i="155"/>
  <c r="C21" i="155" l="1"/>
  <c r="D17" i="155"/>
  <c r="D23" i="155"/>
  <c r="D21" i="155"/>
  <c r="C23" i="155" l="1"/>
  <c r="D24" i="155"/>
  <c r="C7" i="186" l="1"/>
  <c r="C24" i="155"/>
  <c r="C3" i="179"/>
  <c r="C8" i="186" l="1"/>
  <c r="C6" i="193"/>
  <c r="C5" i="212" l="1"/>
  <c r="C7" i="193"/>
  <c r="D12" i="207" l="1"/>
  <c r="I21" i="186" l="1"/>
  <c r="I16" i="186" s="1"/>
  <c r="H21" i="186"/>
  <c r="H16" i="186" s="1"/>
  <c r="G21" i="186"/>
  <c r="G16" i="186" s="1"/>
  <c r="F21" i="186"/>
  <c r="F16" i="186" s="1"/>
  <c r="E22" i="186"/>
  <c r="G22" i="186"/>
  <c r="F22" i="186"/>
  <c r="I22" i="186"/>
  <c r="H22" i="186"/>
  <c r="E23" i="186"/>
  <c r="H23" i="186"/>
  <c r="G23" i="186"/>
  <c r="I23" i="186"/>
  <c r="F23" i="186"/>
  <c r="H14" i="182"/>
  <c r="G14" i="182"/>
  <c r="F14" i="182"/>
  <c r="F5" i="182" s="1"/>
  <c r="J6" i="214" l="1"/>
  <c r="J7" i="214" s="1"/>
  <c r="J8" i="214" s="1"/>
  <c r="J13" i="214"/>
  <c r="F18" i="186"/>
  <c r="F28" i="186"/>
  <c r="H27" i="186"/>
  <c r="H17" i="186"/>
  <c r="I27" i="186"/>
  <c r="I17" i="186"/>
  <c r="F17" i="186"/>
  <c r="F27" i="186"/>
  <c r="G27" i="186"/>
  <c r="G17" i="186"/>
  <c r="I28" i="186"/>
  <c r="I18" i="186"/>
  <c r="E27" i="186"/>
  <c r="E17" i="186"/>
  <c r="G18" i="186"/>
  <c r="G28" i="186"/>
  <c r="H28" i="186"/>
  <c r="H18" i="186"/>
  <c r="E18" i="186"/>
  <c r="E28" i="186"/>
  <c r="F26" i="186"/>
  <c r="G26" i="186"/>
  <c r="H26" i="186"/>
  <c r="I26" i="186"/>
  <c r="G5" i="182"/>
  <c r="F4" i="155"/>
  <c r="F5" i="155"/>
  <c r="J20" i="214" s="1"/>
  <c r="J21" i="214" s="1"/>
  <c r="F11" i="182"/>
  <c r="E11" i="186"/>
  <c r="E5" i="186" s="1"/>
  <c r="E4" i="193" s="1"/>
  <c r="F11" i="186"/>
  <c r="F5" i="186" s="1"/>
  <c r="F4" i="193" s="1"/>
  <c r="I11" i="186"/>
  <c r="H13" i="186"/>
  <c r="H7" i="186" s="1"/>
  <c r="H6" i="193" s="1"/>
  <c r="G13" i="186"/>
  <c r="G7" i="186" s="1"/>
  <c r="G6" i="193" s="1"/>
  <c r="H12" i="186"/>
  <c r="H6" i="186" s="1"/>
  <c r="H5" i="193" s="1"/>
  <c r="D5" i="186"/>
  <c r="D4" i="193" s="1"/>
  <c r="E13" i="186"/>
  <c r="I12" i="186"/>
  <c r="I6" i="186" s="1"/>
  <c r="I5" i="193" s="1"/>
  <c r="G11" i="186"/>
  <c r="G12" i="186"/>
  <c r="G6" i="186" s="1"/>
  <c r="G5" i="193" s="1"/>
  <c r="D7" i="186"/>
  <c r="D6" i="193" s="1"/>
  <c r="D6" i="186"/>
  <c r="D5" i="193" s="1"/>
  <c r="I13" i="186"/>
  <c r="I7" i="186" s="1"/>
  <c r="I6" i="193" s="1"/>
  <c r="H11" i="186"/>
  <c r="E12" i="186"/>
  <c r="E6" i="186" s="1"/>
  <c r="E5" i="193" s="1"/>
  <c r="F13" i="186"/>
  <c r="F7" i="186" s="1"/>
  <c r="F6" i="193" s="1"/>
  <c r="F12" i="186"/>
  <c r="F6" i="186" s="1"/>
  <c r="F5" i="193" s="1"/>
  <c r="C6" i="212"/>
  <c r="K13" i="214" l="1"/>
  <c r="K6" i="214"/>
  <c r="K7" i="214" s="1"/>
  <c r="K8" i="214" s="1"/>
  <c r="J14" i="214"/>
  <c r="J15" i="214" s="1"/>
  <c r="G5" i="186"/>
  <c r="G4" i="193" s="1"/>
  <c r="F6" i="155"/>
  <c r="D8" i="186"/>
  <c r="F8" i="186"/>
  <c r="H5" i="182"/>
  <c r="G4" i="155"/>
  <c r="G5" i="155"/>
  <c r="K20" i="214" s="1"/>
  <c r="K21" i="214" s="1"/>
  <c r="G11" i="182"/>
  <c r="E7" i="186"/>
  <c r="G8" i="186" l="1"/>
  <c r="G5" i="212" s="1"/>
  <c r="L6" i="214"/>
  <c r="L7" i="214" s="1"/>
  <c r="L8" i="214" s="1"/>
  <c r="L13" i="214"/>
  <c r="K14" i="214"/>
  <c r="K15" i="214" s="1"/>
  <c r="F17" i="178"/>
  <c r="F11" i="178" s="1"/>
  <c r="F22" i="155"/>
  <c r="F8" i="178" s="1"/>
  <c r="D7" i="193"/>
  <c r="D5" i="212"/>
  <c r="D6" i="212" s="1"/>
  <c r="F4" i="212"/>
  <c r="F4" i="167"/>
  <c r="F7" i="193"/>
  <c r="F7" i="155" s="1"/>
  <c r="F8" i="155" s="1"/>
  <c r="F9" i="155" s="1"/>
  <c r="F5" i="212"/>
  <c r="E8" i="186"/>
  <c r="E6" i="193"/>
  <c r="G6" i="155"/>
  <c r="I5" i="182"/>
  <c r="H5" i="155"/>
  <c r="L20" i="214" s="1"/>
  <c r="L21" i="214" s="1"/>
  <c r="H11" i="182"/>
  <c r="H4" i="155"/>
  <c r="H5" i="186"/>
  <c r="H8" i="186" s="1"/>
  <c r="G7" i="193" l="1"/>
  <c r="G7" i="155" s="1"/>
  <c r="G8" i="155" s="1"/>
  <c r="G9" i="155" s="1"/>
  <c r="I5" i="212"/>
  <c r="M6" i="214"/>
  <c r="M7" i="214" s="1"/>
  <c r="M8" i="214" s="1"/>
  <c r="M13" i="214"/>
  <c r="L14" i="214"/>
  <c r="L15" i="214" s="1"/>
  <c r="G4" i="167"/>
  <c r="P6" i="167" s="1"/>
  <c r="G11" i="155" s="1"/>
  <c r="G17" i="178"/>
  <c r="G11" i="178" s="1"/>
  <c r="G22" i="155"/>
  <c r="G8" i="178" s="1"/>
  <c r="O4" i="167"/>
  <c r="F10" i="155" s="1"/>
  <c r="O6" i="167"/>
  <c r="F11" i="155" s="1"/>
  <c r="O12" i="167"/>
  <c r="F14" i="155" s="1"/>
  <c r="O10" i="167"/>
  <c r="F13" i="155" s="1"/>
  <c r="O8" i="167"/>
  <c r="F12" i="155" s="1"/>
  <c r="G4" i="212"/>
  <c r="I4" i="212"/>
  <c r="H5" i="212"/>
  <c r="J5" i="212"/>
  <c r="E7" i="193"/>
  <c r="E7" i="155" s="1"/>
  <c r="E8" i="155" s="1"/>
  <c r="E5" i="212"/>
  <c r="H6" i="155"/>
  <c r="H7" i="193"/>
  <c r="H7" i="155" s="1"/>
  <c r="H4" i="193"/>
  <c r="I5" i="155"/>
  <c r="M20" i="214" s="1"/>
  <c r="M21" i="214" s="1"/>
  <c r="I11" i="182"/>
  <c r="I4" i="155"/>
  <c r="I5" i="186"/>
  <c r="I8" i="186" s="1"/>
  <c r="K5" i="212" s="1"/>
  <c r="P10" i="167" l="1"/>
  <c r="G13" i="155" s="1"/>
  <c r="P8" i="167"/>
  <c r="G12" i="155" s="1"/>
  <c r="P12" i="167"/>
  <c r="G14" i="155" s="1"/>
  <c r="P4" i="167"/>
  <c r="G10" i="155" s="1"/>
  <c r="M14" i="214"/>
  <c r="M15" i="214" s="1"/>
  <c r="H4" i="167"/>
  <c r="Q4" i="167" s="1"/>
  <c r="H10" i="155" s="1"/>
  <c r="H17" i="178"/>
  <c r="H11" i="178" s="1"/>
  <c r="H22" i="155"/>
  <c r="H8" i="178" s="1"/>
  <c r="F15" i="155"/>
  <c r="F16" i="155" s="1"/>
  <c r="F17" i="155" s="1"/>
  <c r="E9" i="155"/>
  <c r="E16" i="155"/>
  <c r="O14" i="167"/>
  <c r="J4" i="212"/>
  <c r="H4" i="212"/>
  <c r="I4" i="193"/>
  <c r="H8" i="155"/>
  <c r="H9" i="155" s="1"/>
  <c r="I6" i="155"/>
  <c r="I7" i="193"/>
  <c r="I7" i="155" s="1"/>
  <c r="E9" i="167"/>
  <c r="E5" i="167" s="1"/>
  <c r="P14" i="167" l="1"/>
  <c r="P15" i="167" s="1"/>
  <c r="G16" i="167" s="1"/>
  <c r="G15" i="155"/>
  <c r="G16" i="155" s="1"/>
  <c r="G20" i="155" s="1"/>
  <c r="Q12" i="167"/>
  <c r="H14" i="155" s="1"/>
  <c r="Q8" i="167"/>
  <c r="H12" i="155" s="1"/>
  <c r="Q6" i="167"/>
  <c r="H11" i="155" s="1"/>
  <c r="Q10" i="167"/>
  <c r="H13" i="155" s="1"/>
  <c r="I17" i="178"/>
  <c r="I11" i="178" s="1"/>
  <c r="I22" i="155"/>
  <c r="I8" i="178" s="1"/>
  <c r="F20" i="155"/>
  <c r="D23" i="179" s="1"/>
  <c r="E17" i="155"/>
  <c r="E20" i="155"/>
  <c r="C23" i="179" s="1"/>
  <c r="O15" i="167"/>
  <c r="F16" i="167" s="1"/>
  <c r="F6" i="167"/>
  <c r="K4" i="212"/>
  <c r="I4" i="167"/>
  <c r="I8" i="155"/>
  <c r="I9" i="155" s="1"/>
  <c r="G23" i="155" l="1"/>
  <c r="G24" i="155" s="1"/>
  <c r="E23" i="179"/>
  <c r="G6" i="167"/>
  <c r="H15" i="155"/>
  <c r="H16" i="155" s="1"/>
  <c r="H17" i="155" s="1"/>
  <c r="G21" i="155"/>
  <c r="G17" i="155"/>
  <c r="Q14" i="167"/>
  <c r="Q15" i="167" s="1"/>
  <c r="H16" i="167" s="1"/>
  <c r="F21" i="155"/>
  <c r="F23" i="155"/>
  <c r="E21" i="155"/>
  <c r="E23" i="155"/>
  <c r="F19" i="167"/>
  <c r="F13" i="167"/>
  <c r="G13" i="167"/>
  <c r="G19" i="167"/>
  <c r="G9" i="167" s="1"/>
  <c r="G5" i="167" s="1"/>
  <c r="R4" i="167"/>
  <c r="I10" i="155" s="1"/>
  <c r="R8" i="167"/>
  <c r="I12" i="155" s="1"/>
  <c r="R10" i="167"/>
  <c r="I13" i="155" s="1"/>
  <c r="R6" i="167"/>
  <c r="I11" i="155" s="1"/>
  <c r="R12" i="167"/>
  <c r="I14" i="155" s="1"/>
  <c r="G5" i="178" l="1"/>
  <c r="G6" i="178" s="1"/>
  <c r="H20" i="155"/>
  <c r="H6" i="167"/>
  <c r="E24" i="155"/>
  <c r="E5" i="178"/>
  <c r="E6" i="178" s="1"/>
  <c r="F24" i="155"/>
  <c r="F5" i="178"/>
  <c r="F6" i="178" s="1"/>
  <c r="F9" i="167"/>
  <c r="F5" i="167" s="1"/>
  <c r="H19" i="167"/>
  <c r="H13" i="167"/>
  <c r="I15" i="155"/>
  <c r="I16" i="155" s="1"/>
  <c r="I20" i="155" s="1"/>
  <c r="R14" i="167"/>
  <c r="G23" i="179" l="1"/>
  <c r="H21" i="155"/>
  <c r="F23" i="179"/>
  <c r="H23" i="155"/>
  <c r="H5" i="178" s="1"/>
  <c r="H6" i="178" s="1"/>
  <c r="H9" i="167"/>
  <c r="H5" i="167" s="1"/>
  <c r="I21" i="155"/>
  <c r="I23" i="155"/>
  <c r="I17" i="155"/>
  <c r="R15" i="167"/>
  <c r="I16" i="167" s="1"/>
  <c r="I6" i="167"/>
  <c r="C25" i="179" l="1"/>
  <c r="C26" i="179" s="1"/>
  <c r="H24" i="155"/>
  <c r="I24" i="155"/>
  <c r="I5" i="178"/>
  <c r="I6" i="178" s="1"/>
  <c r="I19" i="167"/>
  <c r="I13" i="167"/>
  <c r="I9" i="167" l="1"/>
  <c r="I5" i="167" s="1"/>
  <c r="C7" i="178"/>
  <c r="C9" i="178" l="1"/>
  <c r="D7" i="178" l="1"/>
  <c r="D9" i="178" s="1"/>
  <c r="D13" i="178" s="1"/>
  <c r="E6" i="212" l="1"/>
  <c r="F6" i="212" l="1"/>
  <c r="H6" i="212" l="1"/>
  <c r="G6" i="212"/>
  <c r="I7" i="178"/>
  <c r="I9" i="178" s="1"/>
  <c r="I13" i="178" s="1"/>
  <c r="G7" i="178"/>
  <c r="G9" i="178" s="1"/>
  <c r="G13" i="178" s="1"/>
  <c r="G6" i="179" l="1"/>
  <c r="G7" i="179"/>
  <c r="G10" i="179" s="1"/>
  <c r="I6" i="179"/>
  <c r="I7" i="179"/>
  <c r="H7" i="178"/>
  <c r="H9" i="178" s="1"/>
  <c r="H13" i="178" s="1"/>
  <c r="I6" i="212"/>
  <c r="I10" i="179" l="1"/>
  <c r="I8" i="179"/>
  <c r="H6" i="179"/>
  <c r="H7" i="179"/>
  <c r="H10" i="179" s="1"/>
  <c r="J6" i="212"/>
  <c r="F15" i="179" l="1"/>
  <c r="I11" i="179"/>
  <c r="F16" i="179" s="1"/>
  <c r="K6" i="212"/>
  <c r="F7" i="178" l="1"/>
  <c r="F9" i="178" s="1"/>
  <c r="F13" i="178" s="1"/>
  <c r="E7" i="178"/>
  <c r="E9" i="178" s="1"/>
  <c r="E13" i="178" s="1"/>
  <c r="E7" i="179" s="1"/>
  <c r="E10" i="179" s="1"/>
  <c r="E6" i="179" l="1"/>
  <c r="F6" i="179"/>
  <c r="F7" i="179"/>
  <c r="F10" i="179" s="1"/>
  <c r="F14" i="179" s="1"/>
  <c r="F17" i="179" l="1"/>
  <c r="F20" i="179" l="1"/>
  <c r="C35" i="214"/>
  <c r="C11" i="197"/>
</calcChain>
</file>

<file path=xl/sharedStrings.xml><?xml version="1.0" encoding="utf-8"?>
<sst xmlns="http://schemas.openxmlformats.org/spreadsheetml/2006/main" count="388" uniqueCount="206">
  <si>
    <t>EBIT</t>
  </si>
  <si>
    <t>n.a.</t>
  </si>
  <si>
    <t>Input --&gt;</t>
  </si>
  <si>
    <t>Output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</si>
  <si>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</si>
  <si>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</si>
  <si>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</si>
  <si>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</si>
  <si>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</si>
  <si>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</si>
  <si>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</si>
  <si>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</si>
  <si>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</si>
  <si>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Capex</t>
  </si>
  <si>
    <t>Working capital</t>
  </si>
  <si>
    <t>Revenues</t>
  </si>
  <si>
    <t>Operating expenses</t>
  </si>
  <si>
    <t>Corporate tax rate</t>
  </si>
  <si>
    <t>Cash Flow</t>
  </si>
  <si>
    <t>NOPAT</t>
  </si>
  <si>
    <t>Unlevered Free Cash Flow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</si>
  <si>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</si>
  <si>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</si>
  <si>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</si>
  <si>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</si>
  <si>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</si>
  <si>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</si>
  <si>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</si>
  <si>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</si>
  <si>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</si>
  <si>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</si>
  <si>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</si>
  <si>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</si>
  <si>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</si>
  <si>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Expected inflation</t>
  </si>
  <si>
    <t>Gross Cash Flow</t>
  </si>
  <si>
    <t>P&amp;L Input</t>
  </si>
  <si>
    <t>Vehicle</t>
  </si>
  <si>
    <t>2022
Fcst</t>
  </si>
  <si>
    <t>2023
Fcst</t>
  </si>
  <si>
    <t>Currency</t>
  </si>
  <si>
    <t>Domestic country</t>
  </si>
  <si>
    <t>Comparable companies</t>
  </si>
  <si>
    <t>Average</t>
  </si>
  <si>
    <t>Comparables</t>
  </si>
  <si>
    <t xml:space="preserve">  </t>
  </si>
  <si>
    <t>GP %
Comp. 1</t>
  </si>
  <si>
    <t>GP %
Comp. 2</t>
  </si>
  <si>
    <t>GP %
Comp. 3</t>
  </si>
  <si>
    <t>GP%</t>
  </si>
  <si>
    <t>Opex %</t>
  </si>
  <si>
    <t>Opex as a % of revenue</t>
  </si>
  <si>
    <t>Opex comparables</t>
  </si>
  <si>
    <t>Income Statement items</t>
  </si>
  <si>
    <t>($ in million)</t>
  </si>
  <si>
    <t>Continuing value</t>
  </si>
  <si>
    <t>Present value of CV</t>
  </si>
  <si>
    <t>Company</t>
  </si>
  <si>
    <t>X-Phone</t>
  </si>
  <si>
    <t>EUR</t>
  </si>
  <si>
    <t xml:space="preserve">10-year treasury yield </t>
  </si>
  <si>
    <t>Bond Yield of similar companies</t>
  </si>
  <si>
    <t xml:space="preserve">Market risk premium </t>
  </si>
  <si>
    <t>TRS5</t>
  </si>
  <si>
    <t>SS83</t>
  </si>
  <si>
    <t>Accessories</t>
  </si>
  <si>
    <t xml:space="preserve">   TRS5 price</t>
  </si>
  <si>
    <t xml:space="preserve">   SS83 price</t>
  </si>
  <si>
    <t xml:space="preserve">   Accessories price</t>
  </si>
  <si>
    <t>Turkey</t>
  </si>
  <si>
    <t>€ in millions</t>
  </si>
  <si>
    <t>Net Sales</t>
  </si>
  <si>
    <t>Cost of Goods Sold</t>
  </si>
  <si>
    <t>Gross Margin</t>
  </si>
  <si>
    <t>Personnel Expenses</t>
  </si>
  <si>
    <t>Marketing Expenses</t>
  </si>
  <si>
    <t>Rental Expenses</t>
  </si>
  <si>
    <t>Insurance Expenses</t>
  </si>
  <si>
    <t>Other Expenses</t>
  </si>
  <si>
    <t>Total General Expenses</t>
  </si>
  <si>
    <t>Operating Income</t>
  </si>
  <si>
    <t>Claim Payments</t>
  </si>
  <si>
    <t>Materials Replacement</t>
  </si>
  <si>
    <t>EBITDA</t>
  </si>
  <si>
    <t>D&amp;A</t>
  </si>
  <si>
    <t>Cash</t>
  </si>
  <si>
    <t>Total Debt</t>
  </si>
  <si>
    <t xml:space="preserve">  % Gross Margin</t>
  </si>
  <si>
    <t xml:space="preserve">  % Operating Income Margin</t>
  </si>
  <si>
    <t xml:space="preserve">  % EBITDA Margin</t>
  </si>
  <si>
    <t xml:space="preserve">  % EBIT Margin</t>
  </si>
  <si>
    <t>TRS</t>
  </si>
  <si>
    <t>SS</t>
  </si>
  <si>
    <t xml:space="preserve">Europe Mobile Phones 2014-2022 </t>
  </si>
  <si>
    <t xml:space="preserve"> Units Sold (x1000)</t>
  </si>
  <si>
    <t xml:space="preserve"> CAGR</t>
  </si>
  <si>
    <r>
      <t>Market Value (</t>
    </r>
    <r>
      <rPr>
        <b/>
        <sz val="12"/>
        <color theme="1"/>
        <rFont val="Calibri"/>
        <family val="2"/>
        <charset val="162"/>
      </rPr>
      <t>€ in millions)</t>
    </r>
  </si>
  <si>
    <t>2020E</t>
  </si>
  <si>
    <t>2021E</t>
  </si>
  <si>
    <t>2022E</t>
  </si>
  <si>
    <t>2023E</t>
  </si>
  <si>
    <t>2024E</t>
  </si>
  <si>
    <t>Percentage</t>
  </si>
  <si>
    <t>Units</t>
  </si>
  <si>
    <t>Comparables prices</t>
  </si>
  <si>
    <t>OnePlus 7T</t>
  </si>
  <si>
    <t>Redmi Note 8 Pro</t>
  </si>
  <si>
    <t>OPPO Reno2</t>
  </si>
  <si>
    <t>Mi 9T</t>
  </si>
  <si>
    <t>Samsung A80</t>
  </si>
  <si>
    <t>Mi 9 SE</t>
  </si>
  <si>
    <t>realme XT</t>
  </si>
  <si>
    <t>realme Q</t>
  </si>
  <si>
    <t>Mi 9 Lite</t>
  </si>
  <si>
    <t>Redmi Note 7 Pro</t>
  </si>
  <si>
    <t>Vsmart Live</t>
  </si>
  <si>
    <t>iPhone 11</t>
  </si>
  <si>
    <t>Samsung Galaxy S10</t>
  </si>
  <si>
    <t>Huawei p30</t>
  </si>
  <si>
    <t>Samsung Galaxt Note10</t>
  </si>
  <si>
    <t>Google Pixel 4</t>
  </si>
  <si>
    <t>Xiaomi Mi 9T Pro</t>
  </si>
  <si>
    <t>Sony Xperia 5</t>
  </si>
  <si>
    <t>Avg. Price</t>
  </si>
  <si>
    <t>Total Units</t>
  </si>
  <si>
    <t>TRS Revenues</t>
  </si>
  <si>
    <t>SS Revenues</t>
  </si>
  <si>
    <t>Solver Result</t>
  </si>
  <si>
    <t>Constraints</t>
  </si>
  <si>
    <t xml:space="preserve">*But that information contradicts with the information on the 6th page, so we assumed that the information on the 4th page is related to 2018 sales. </t>
  </si>
  <si>
    <t>*Then we derived the number of units sold in 2018.</t>
  </si>
  <si>
    <t>*Based on the information on the 4th page, it is written that 83% of the sales in 2019 are from mobile phones sales and 39% of them are from TRS sales.</t>
  </si>
  <si>
    <t>Mobile Phones Sold</t>
  </si>
  <si>
    <t>Brand</t>
  </si>
  <si>
    <t>Apple</t>
  </si>
  <si>
    <t>Samsung</t>
  </si>
  <si>
    <t>Xiaomi</t>
  </si>
  <si>
    <t>Huawei</t>
  </si>
  <si>
    <t>Oppo</t>
  </si>
  <si>
    <t>n.a</t>
  </si>
  <si>
    <t>Unit Growth</t>
  </si>
  <si>
    <t xml:space="preserve">Average Growth in the first 3 years of data </t>
  </si>
  <si>
    <t xml:space="preserve">Average Growth in the last 3 years of data </t>
  </si>
  <si>
    <t>Worst growth of 3 companies in the first 3 years of growth</t>
  </si>
  <si>
    <t>Worst growth of 3 companies in the last 3 years of growth</t>
  </si>
  <si>
    <t>Best growth of 3 companies in the first 3 years of growth</t>
  </si>
  <si>
    <t>Best growth of 3 companies in the last 3 years of growth</t>
  </si>
  <si>
    <t>Gross Profit %</t>
  </si>
  <si>
    <t>Mobile Phone</t>
  </si>
  <si>
    <t>iPhone 11, Samsung S10,  Google Pixel 4</t>
  </si>
  <si>
    <t>Mi 9, realme XT, OPPO Reno2</t>
  </si>
  <si>
    <t>Device</t>
  </si>
  <si>
    <t xml:space="preserve">  TSR</t>
  </si>
  <si>
    <t xml:space="preserve">  SS</t>
  </si>
  <si>
    <t xml:space="preserve">  Accessories</t>
  </si>
  <si>
    <t>Gross Profit of Device</t>
  </si>
  <si>
    <t xml:space="preserve">Cost of goods sold </t>
  </si>
  <si>
    <t>*based on excel solver</t>
  </si>
  <si>
    <t>Adjustments for our strategy&amp;calculation</t>
  </si>
  <si>
    <t>Thousands of items in different industries</t>
  </si>
  <si>
    <t>Revenue</t>
  </si>
  <si>
    <t xml:space="preserve">Revenue and Gross Profit </t>
  </si>
  <si>
    <t>(€ in million)</t>
  </si>
  <si>
    <t xml:space="preserve">       % of revenues</t>
  </si>
  <si>
    <t>Opex as a % of revenues scenario</t>
  </si>
  <si>
    <t xml:space="preserve">Opex as a % of revenues </t>
  </si>
  <si>
    <t>Total Revenue (€ thousands)</t>
  </si>
  <si>
    <t xml:space="preserve">Revenue </t>
  </si>
  <si>
    <t>General Operations Expenses / Company</t>
  </si>
  <si>
    <t>Personnel Expenses / Company</t>
  </si>
  <si>
    <t>Debt/Equity ratio of comparables</t>
  </si>
  <si>
    <t xml:space="preserve">  Units (in th.)</t>
  </si>
  <si>
    <t xml:space="preserve">  Avg. Price (in €)</t>
  </si>
  <si>
    <t>Operating taxes (22%)</t>
  </si>
  <si>
    <t>WC forecast($ in million)</t>
  </si>
  <si>
    <t>Change in WC (based on NWC/Sales ratio)</t>
  </si>
  <si>
    <t xml:space="preserve">    Debt (x)</t>
  </si>
  <si>
    <t xml:space="preserve">    Equity (x)</t>
  </si>
  <si>
    <t>x</t>
  </si>
  <si>
    <t xml:space="preserve">Equity beta </t>
  </si>
  <si>
    <t xml:space="preserve">   Asset beta</t>
  </si>
  <si>
    <t>*Equal to market growth</t>
  </si>
  <si>
    <t>From the data we derived the following, using linear equiations</t>
  </si>
  <si>
    <t>Price</t>
  </si>
  <si>
    <t>CAGR</t>
  </si>
  <si>
    <t xml:space="preserve">  X-Phone's Mobile Phone Sales (TSS+SS)</t>
  </si>
  <si>
    <t xml:space="preserve">  X-Phone's Mobile Phone Units sold (TSS+SS)</t>
  </si>
  <si>
    <t xml:space="preserve">  X-Phone's Mobile Phone Sales Share  (TSS+SS)</t>
  </si>
  <si>
    <t xml:space="preserve">  X-Phone's Mobile Phone Units sold share (TSS+SS)</t>
  </si>
  <si>
    <t>Average market price growth rate</t>
  </si>
  <si>
    <t xml:space="preserve">Average market price  </t>
  </si>
  <si>
    <t xml:space="preserve">  X-Phone's average selling price (TSS+SS)</t>
  </si>
  <si>
    <t xml:space="preserve">  X-Phone's selling price growth  (TSS+SS)</t>
  </si>
  <si>
    <t>Annual Growth Rate of X-Phone Units sold market share</t>
  </si>
  <si>
    <t>Annual Growth Rate of X-Phone  market share</t>
  </si>
  <si>
    <t>Other Expenses (severance, R&amp;D etc.)</t>
  </si>
  <si>
    <t>SOME REMARKABLE HEADLINES</t>
  </si>
  <si>
    <t>*With the expansion in the market R&amp;D expenses gets closer to industry average over years</t>
  </si>
  <si>
    <t>*Personnel expenses decreases towards the industrial average over years</t>
  </si>
  <si>
    <t>*The company is not able to reach industry average by opex margin</t>
  </si>
  <si>
    <t xml:space="preserve">*Marketing expenses rises during the year that new product with new technology takes place in the market </t>
  </si>
  <si>
    <t xml:space="preserve">  TRS</t>
  </si>
  <si>
    <t>EBITDA Growth in 5 Years</t>
  </si>
  <si>
    <t xml:space="preserve">EBITDA over 50 years </t>
  </si>
  <si>
    <t>EBITDA perpetuity growth estimate</t>
  </si>
  <si>
    <t>EBITDA perpetual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</si>
</sst>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₺&quot;_-;\-* #,##0\ &quot;₺&quot;_-;_-* &quot;-&quot;\ &quot;₺&quot;_-;_-@_-"/>
    <numFmt numFmtId="41" formatCode="_-* #,##0_-;\-* #,##0_-;_-* &quot;-&quot;_-;_-@_-"/>
    <numFmt numFmtId="44" formatCode="_-* #,##0.00\ &quot;₺&quot;_-;\-* #,##0.00\ &quot;₺&quot;_-;_-* &quot;-&quot;??\ &quot;₺&quot;_-;_-@_-"/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_(* #,##0.0_);_(* \(#,##0.0\);_(* &quot;-&quot;?_);@_l"/>
    <numFmt numFmtId="169" formatCode="_(* #,##0.0_);_(* \(#,##0.0\);_(* &quot;-&quot;?_);@_)"/>
    <numFmt numFmtId="170" formatCode="_(* #,##0_);_(* \(#,##0\);_(* &quot;-&quot;?_);@_)"/>
    <numFmt numFmtId="171" formatCode="0.0"/>
    <numFmt numFmtId="172" formatCode="#,##0\ [$€-1];[Red]\-#,##0\ [$€-1]"/>
    <numFmt numFmtId="173" formatCode="[$€-1809]#,##0"/>
    <numFmt numFmtId="174" formatCode="#,##0.##"/>
    <numFmt numFmtId="175" formatCode="_(* #,##0.00_);_(* \(#,##0.00\);_(* &quot;-&quot;?_);@_)"/>
    <numFmt numFmtId="176" formatCode="#,##0.00\ [$€-483]"/>
    <numFmt numFmtId="177" formatCode="[$€-813]\ #,##0.00"/>
  </numFmts>
  <fonts count="55">
    <font>
      <sz val="10"/>
      <name val="Arial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i/>
      <sz val="8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sz val="8"/>
      <name val="Arial"/>
      <family val="2"/>
      <charset val="162"/>
    </font>
    <font>
      <sz val="9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i/>
      <sz val="9"/>
      <color theme="1"/>
      <name val="Arial"/>
      <family val="2"/>
      <charset val="162"/>
    </font>
    <font>
      <i/>
      <sz val="9"/>
      <name val="Arial"/>
      <family val="2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i/>
      <u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0"/>
      <name val="Calibri  "/>
      <charset val="162"/>
    </font>
    <font>
      <b/>
      <i/>
      <sz val="9"/>
      <name val="Arial"/>
      <family val="2"/>
      <charset val="162"/>
    </font>
    <font>
      <sz val="9"/>
      <name val="Arial"/>
      <family val="2"/>
    </font>
    <font>
      <b/>
      <sz val="8"/>
      <name val="Arial"/>
      <family val="2"/>
      <charset val="162"/>
    </font>
    <font>
      <sz val="7"/>
      <name val="Arial"/>
      <family val="2"/>
      <charset val="204"/>
    </font>
    <font>
      <b/>
      <sz val="9"/>
      <name val="Arial"/>
      <family val="2"/>
      <charset val="162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</font>
    <font>
      <b/>
      <u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i/>
      <sz val="12"/>
      <color theme="1"/>
      <name val="Calibri"/>
      <family val="2"/>
      <charset val="162"/>
      <scheme val="minor"/>
    </font>
    <font>
      <b/>
      <sz val="11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double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thin">
        <color theme="0"/>
      </right>
      <top style="double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">
    <xf numFmtId="0" fontId="0" fillId="0" borderId="0">
      <alignment vertical="top"/>
    </xf>
    <xf numFmtId="164" fontId="3" fillId="0" borderId="0">
      <alignment vertical="top"/>
    </xf>
    <xf numFmtId="9" fontId="3" fillId="0" borderId="0">
      <alignment vertical="top"/>
    </xf>
    <xf numFmtId="0" fontId="18" fillId="0" borderId="0" applyNumberFormat="0" applyFill="0" applyBorder="0" applyAlignment="0" applyProtection="0"/>
    <xf numFmtId="0" fontId="2" fillId="0" borderId="0"/>
    <xf numFmtId="0" fontId="18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</cellStyleXfs>
  <cellXfs count="306">
    <xf numFmtId="0" fontId="0" fillId="0" borderId="0" xfId="0">
      <alignment vertical="top"/>
    </xf>
    <xf numFmtId="0" fontId="0" fillId="2" borderId="0" xfId="0" applyFill="1">
      <alignment vertical="top"/>
    </xf>
    <xf numFmtId="0" fontId="7" fillId="2" borderId="0" xfId="0" applyFont="1" applyFill="1">
      <alignment vertical="top"/>
    </xf>
    <xf numFmtId="0" fontId="4" fillId="2" borderId="0" xfId="0" applyFont="1" applyFill="1">
      <alignment vertical="top"/>
    </xf>
    <xf numFmtId="166" fontId="3" fillId="2" borderId="0" xfId="1" applyNumberFormat="1" applyFill="1">
      <alignment vertical="top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horizontal="right" vertical="top" wrapText="1"/>
    </xf>
    <xf numFmtId="0" fontId="6" fillId="2" borderId="0" xfId="0" applyFont="1" applyFill="1" applyBorder="1">
      <alignment vertical="top"/>
    </xf>
    <xf numFmtId="0" fontId="6" fillId="2" borderId="0" xfId="0" applyFont="1" applyFill="1">
      <alignment vertical="top"/>
    </xf>
    <xf numFmtId="0" fontId="5" fillId="2" borderId="1" xfId="0" applyFont="1" applyFill="1" applyBorder="1">
      <alignment vertical="top"/>
    </xf>
    <xf numFmtId="0" fontId="9" fillId="2" borderId="0" xfId="0" applyFont="1" applyFill="1">
      <alignment vertical="top"/>
    </xf>
    <xf numFmtId="0" fontId="10" fillId="5" borderId="0" xfId="0" applyFont="1" applyFill="1">
      <alignment vertical="top"/>
    </xf>
    <xf numFmtId="166" fontId="6" fillId="2" borderId="0" xfId="1" applyNumberFormat="1" applyFont="1" applyFill="1">
      <alignment vertical="top"/>
    </xf>
    <xf numFmtId="9" fontId="6" fillId="4" borderId="0" xfId="2" applyFont="1" applyFill="1">
      <alignment vertical="top"/>
    </xf>
    <xf numFmtId="167" fontId="6" fillId="2" borderId="0" xfId="2" applyNumberFormat="1" applyFont="1" applyFill="1">
      <alignment vertical="top"/>
    </xf>
    <xf numFmtId="0" fontId="7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6" fillId="2" borderId="0" xfId="0" applyFont="1" applyFill="1" applyAlignment="1"/>
    <xf numFmtId="165" fontId="11" fillId="2" borderId="0" xfId="1" applyNumberFormat="1" applyFont="1" applyFill="1" applyBorder="1" applyAlignment="1"/>
    <xf numFmtId="10" fontId="11" fillId="2" borderId="0" xfId="0" applyNumberFormat="1" applyFont="1" applyFill="1" applyAlignment="1"/>
    <xf numFmtId="9" fontId="6" fillId="2" borderId="0" xfId="0" applyNumberFormat="1" applyFont="1" applyFill="1">
      <alignment vertical="top"/>
    </xf>
    <xf numFmtId="0" fontId="12" fillId="2" borderId="0" xfId="0" applyFont="1" applyFill="1">
      <alignment vertical="top"/>
    </xf>
    <xf numFmtId="0" fontId="5" fillId="2" borderId="3" xfId="0" applyFont="1" applyFill="1" applyBorder="1" applyAlignment="1">
      <alignment horizontal="left" wrapText="1"/>
    </xf>
    <xf numFmtId="169" fontId="5" fillId="2" borderId="5" xfId="0" applyNumberFormat="1" applyFont="1" applyFill="1" applyBorder="1" applyAlignment="1"/>
    <xf numFmtId="169" fontId="5" fillId="2" borderId="1" xfId="0" applyNumberFormat="1" applyFont="1" applyFill="1" applyBorder="1" applyAlignment="1"/>
    <xf numFmtId="168" fontId="11" fillId="2" borderId="0" xfId="0" applyNumberFormat="1" applyFont="1" applyFill="1" applyAlignment="1"/>
    <xf numFmtId="169" fontId="10" fillId="5" borderId="2" xfId="0" applyNumberFormat="1" applyFont="1" applyFill="1" applyBorder="1" applyAlignment="1"/>
    <xf numFmtId="169" fontId="15" fillId="2" borderId="0" xfId="0" applyNumberFormat="1" applyFont="1" applyFill="1" applyAlignment="1"/>
    <xf numFmtId="169" fontId="8" fillId="2" borderId="0" xfId="0" applyNumberFormat="1" applyFont="1" applyFill="1" applyAlignment="1"/>
    <xf numFmtId="169" fontId="16" fillId="2" borderId="0" xfId="0" applyNumberFormat="1" applyFont="1" applyFill="1" applyBorder="1" applyAlignment="1"/>
    <xf numFmtId="9" fontId="17" fillId="6" borderId="6" xfId="0" applyNumberFormat="1" applyFont="1" applyFill="1" applyBorder="1" applyAlignment="1">
      <alignment horizontal="center"/>
    </xf>
    <xf numFmtId="170" fontId="8" fillId="7" borderId="0" xfId="0" applyNumberFormat="1" applyFont="1" applyFill="1" applyAlignment="1"/>
    <xf numFmtId="169" fontId="16" fillId="2" borderId="5" xfId="0" applyNumberFormat="1" applyFont="1" applyFill="1" applyBorder="1" applyAlignment="1"/>
    <xf numFmtId="170" fontId="8" fillId="2" borderId="0" xfId="0" applyNumberFormat="1" applyFont="1" applyFill="1" applyAlignment="1"/>
    <xf numFmtId="170" fontId="16" fillId="2" borderId="5" xfId="0" applyNumberFormat="1" applyFont="1" applyFill="1" applyBorder="1" applyAlignment="1"/>
    <xf numFmtId="169" fontId="8" fillId="2" borderId="0" xfId="0" quotePrefix="1" applyNumberFormat="1" applyFont="1" applyFill="1" applyAlignment="1"/>
    <xf numFmtId="169" fontId="16" fillId="2" borderId="1" xfId="0" applyNumberFormat="1" applyFont="1" applyFill="1" applyBorder="1" applyAlignment="1"/>
    <xf numFmtId="170" fontId="8" fillId="7" borderId="1" xfId="0" applyNumberFormat="1" applyFont="1" applyFill="1" applyBorder="1" applyAlignment="1"/>
    <xf numFmtId="0" fontId="5" fillId="2" borderId="3" xfId="0" applyFont="1" applyFill="1" applyBorder="1" applyAlignment="1">
      <alignment horizontal="right" wrapText="1"/>
    </xf>
    <xf numFmtId="170" fontId="6" fillId="2" borderId="0" xfId="0" applyNumberFormat="1" applyFont="1" applyFill="1" applyAlignment="1">
      <alignment horizontal="right" vertical="top"/>
    </xf>
    <xf numFmtId="9" fontId="12" fillId="3" borderId="0" xfId="2" applyFont="1" applyFill="1">
      <alignment vertical="top"/>
    </xf>
    <xf numFmtId="170" fontId="6" fillId="2" borderId="0" xfId="0" applyNumberFormat="1" applyFont="1" applyFill="1">
      <alignment vertical="top"/>
    </xf>
    <xf numFmtId="170" fontId="6" fillId="9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2" fillId="3" borderId="0" xfId="0" applyFont="1" applyFill="1">
      <alignment vertical="top"/>
    </xf>
    <xf numFmtId="9" fontId="12" fillId="3" borderId="0" xfId="0" applyNumberFormat="1" applyFont="1" applyFill="1">
      <alignment vertical="top"/>
    </xf>
    <xf numFmtId="9" fontId="12" fillId="3" borderId="0" xfId="2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9" fontId="12" fillId="3" borderId="0" xfId="0" applyNumberFormat="1" applyFont="1" applyFill="1" applyAlignment="1">
      <alignment horizontal="right" vertical="top"/>
    </xf>
    <xf numFmtId="0" fontId="5" fillId="9" borderId="3" xfId="0" applyFont="1" applyFill="1" applyBorder="1" applyAlignment="1">
      <alignment horizontal="right" vertical="top" wrapText="1"/>
    </xf>
    <xf numFmtId="0" fontId="6" fillId="2" borderId="0" xfId="0" applyFont="1" applyFill="1" applyAlignment="1">
      <alignment horizontal="right" vertical="top"/>
    </xf>
    <xf numFmtId="10" fontId="6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167" fontId="6" fillId="2" borderId="0" xfId="0" applyNumberFormat="1" applyFont="1" applyFill="1" applyAlignment="1">
      <alignment horizontal="right" vertical="top"/>
    </xf>
    <xf numFmtId="170" fontId="5" fillId="2" borderId="1" xfId="0" applyNumberFormat="1" applyFont="1" applyFill="1" applyBorder="1">
      <alignment vertical="top"/>
    </xf>
    <xf numFmtId="0" fontId="22" fillId="3" borderId="0" xfId="0" applyFont="1" applyFill="1">
      <alignment vertical="top"/>
    </xf>
    <xf numFmtId="9" fontId="6" fillId="3" borderId="0" xfId="2" applyFont="1" applyFill="1">
      <alignment vertical="top"/>
    </xf>
    <xf numFmtId="167" fontId="6" fillId="9" borderId="0" xfId="2" applyNumberFormat="1" applyFont="1" applyFill="1">
      <alignment vertical="top"/>
    </xf>
    <xf numFmtId="9" fontId="6" fillId="2" borderId="0" xfId="0" applyNumberFormat="1" applyFont="1" applyFill="1" applyAlignment="1">
      <alignment horizontal="right" vertical="top"/>
    </xf>
    <xf numFmtId="0" fontId="5" fillId="2" borderId="4" xfId="0" applyFont="1" applyFill="1" applyBorder="1" applyAlignment="1"/>
    <xf numFmtId="166" fontId="5" fillId="2" borderId="4" xfId="0" applyNumberFormat="1" applyFont="1" applyFill="1" applyBorder="1" applyAlignment="1"/>
    <xf numFmtId="165" fontId="11" fillId="9" borderId="0" xfId="1" applyNumberFormat="1" applyFont="1" applyFill="1" applyBorder="1" applyAlignment="1"/>
    <xf numFmtId="170" fontId="8" fillId="9" borderId="0" xfId="0" applyNumberFormat="1" applyFont="1" applyFill="1" applyAlignment="1"/>
    <xf numFmtId="165" fontId="11" fillId="2" borderId="0" xfId="1" applyNumberFormat="1" applyFont="1" applyFill="1" applyBorder="1" applyAlignment="1">
      <alignment horizontal="right"/>
    </xf>
    <xf numFmtId="166" fontId="5" fillId="2" borderId="1" xfId="1" applyNumberFormat="1" applyFont="1" applyFill="1" applyBorder="1">
      <alignment vertical="top"/>
    </xf>
    <xf numFmtId="166" fontId="6" fillId="2" borderId="0" xfId="0" applyNumberFormat="1" applyFont="1" applyFill="1" applyAlignment="1">
      <alignment horizontal="right"/>
    </xf>
    <xf numFmtId="166" fontId="6" fillId="2" borderId="0" xfId="0" applyNumberFormat="1" applyFont="1" applyFill="1" applyAlignment="1"/>
    <xf numFmtId="166" fontId="6" fillId="9" borderId="0" xfId="0" applyNumberFormat="1" applyFont="1" applyFill="1" applyAlignment="1"/>
    <xf numFmtId="166" fontId="14" fillId="5" borderId="2" xfId="0" applyNumberFormat="1" applyFont="1" applyFill="1" applyBorder="1" applyAlignment="1">
      <alignment horizontal="right"/>
    </xf>
    <xf numFmtId="2" fontId="6" fillId="2" borderId="0" xfId="0" applyNumberFormat="1" applyFont="1" applyFill="1">
      <alignment vertical="top"/>
    </xf>
    <xf numFmtId="2" fontId="5" fillId="2" borderId="1" xfId="0" applyNumberFormat="1" applyFont="1" applyFill="1" applyBorder="1" applyAlignment="1">
      <alignment horizontal="right" vertical="top"/>
    </xf>
    <xf numFmtId="0" fontId="24" fillId="2" borderId="0" xfId="0" applyFont="1" applyFill="1">
      <alignment vertical="top"/>
    </xf>
    <xf numFmtId="0" fontId="26" fillId="2" borderId="0" xfId="0" applyFont="1" applyFill="1">
      <alignment vertical="top"/>
    </xf>
    <xf numFmtId="0" fontId="30" fillId="0" borderId="8" xfId="0" applyFont="1" applyBorder="1" applyAlignment="1">
      <alignment horizontal="left" vertical="center" indent="1"/>
    </xf>
    <xf numFmtId="171" fontId="30" fillId="0" borderId="8" xfId="0" applyNumberFormat="1" applyFont="1" applyBorder="1" applyAlignment="1">
      <alignment horizontal="right" vertical="center"/>
    </xf>
    <xf numFmtId="0" fontId="30" fillId="0" borderId="9" xfId="0" applyFont="1" applyBorder="1" applyAlignment="1">
      <alignment horizontal="left" vertical="center" indent="1"/>
    </xf>
    <xf numFmtId="171" fontId="30" fillId="0" borderId="9" xfId="0" applyNumberFormat="1" applyFont="1" applyBorder="1" applyAlignment="1">
      <alignment horizontal="right" vertical="center"/>
    </xf>
    <xf numFmtId="0" fontId="31" fillId="0" borderId="9" xfId="0" applyFont="1" applyBorder="1" applyAlignment="1">
      <alignment horizontal="left" vertical="center" indent="1"/>
    </xf>
    <xf numFmtId="0" fontId="29" fillId="0" borderId="9" xfId="0" applyFont="1" applyBorder="1" applyAlignment="1">
      <alignment horizontal="left" vertical="center" indent="1"/>
    </xf>
    <xf numFmtId="0" fontId="29" fillId="0" borderId="10" xfId="0" applyFont="1" applyBorder="1" applyAlignment="1">
      <alignment horizontal="left" vertical="center" indent="1"/>
    </xf>
    <xf numFmtId="0" fontId="30" fillId="0" borderId="11" xfId="0" applyFont="1" applyBorder="1" applyAlignment="1">
      <alignment horizontal="left" vertical="center" indent="1"/>
    </xf>
    <xf numFmtId="0" fontId="31" fillId="0" borderId="11" xfId="0" applyFont="1" applyBorder="1" applyAlignment="1">
      <alignment horizontal="left" vertical="center" indent="1"/>
    </xf>
    <xf numFmtId="0" fontId="29" fillId="0" borderId="12" xfId="0" applyFont="1" applyBorder="1" applyAlignment="1">
      <alignment horizontal="left" vertical="center" indent="1"/>
    </xf>
    <xf numFmtId="0" fontId="29" fillId="0" borderId="13" xfId="0" applyFont="1" applyBorder="1" applyAlignment="1">
      <alignment horizontal="left" vertical="center" indent="1"/>
    </xf>
    <xf numFmtId="0" fontId="29" fillId="0" borderId="13" xfId="0" applyFont="1" applyBorder="1" applyAlignment="1">
      <alignment horizontal="right" vertical="center"/>
    </xf>
    <xf numFmtId="1" fontId="29" fillId="0" borderId="13" xfId="0" applyNumberFormat="1" applyFont="1" applyBorder="1" applyAlignment="1">
      <alignment horizontal="right" vertical="center"/>
    </xf>
    <xf numFmtId="2" fontId="30" fillId="0" borderId="9" xfId="0" applyNumberFormat="1" applyFont="1" applyBorder="1" applyAlignment="1">
      <alignment horizontal="right" vertical="center"/>
    </xf>
    <xf numFmtId="2" fontId="30" fillId="0" borderId="8" xfId="0" applyNumberFormat="1" applyFont="1" applyBorder="1" applyAlignment="1">
      <alignment horizontal="right" vertical="center"/>
    </xf>
    <xf numFmtId="2" fontId="30" fillId="0" borderId="11" xfId="0" applyNumberFormat="1" applyFont="1" applyBorder="1" applyAlignment="1">
      <alignment horizontal="right" vertical="center"/>
    </xf>
    <xf numFmtId="2" fontId="29" fillId="0" borderId="12" xfId="0" applyNumberFormat="1" applyFont="1" applyBorder="1" applyAlignment="1">
      <alignment horizontal="right" vertical="center"/>
    </xf>
    <xf numFmtId="2" fontId="29" fillId="0" borderId="9" xfId="0" applyNumberFormat="1" applyFont="1" applyBorder="1" applyAlignment="1">
      <alignment horizontal="right" vertical="center"/>
    </xf>
    <xf numFmtId="10" fontId="32" fillId="0" borderId="0" xfId="2" applyNumberFormat="1" applyFont="1">
      <alignment vertical="top"/>
    </xf>
    <xf numFmtId="10" fontId="32" fillId="0" borderId="15" xfId="2" applyNumberFormat="1" applyFont="1" applyBorder="1">
      <alignment vertical="top"/>
    </xf>
    <xf numFmtId="0" fontId="2" fillId="0" borderId="0" xfId="4"/>
    <xf numFmtId="0" fontId="34" fillId="0" borderId="0" xfId="4" applyFont="1"/>
    <xf numFmtId="0" fontId="28" fillId="0" borderId="0" xfId="4" applyFont="1" applyAlignment="1">
      <alignment horizontal="right"/>
    </xf>
    <xf numFmtId="0" fontId="27" fillId="0" borderId="0" xfId="4" applyFont="1"/>
    <xf numFmtId="2" fontId="26" fillId="2" borderId="0" xfId="0" applyNumberFormat="1" applyFont="1" applyFill="1">
      <alignment vertical="top"/>
    </xf>
    <xf numFmtId="173" fontId="6" fillId="2" borderId="0" xfId="0" applyNumberFormat="1" applyFont="1" applyFill="1">
      <alignment vertical="top"/>
    </xf>
    <xf numFmtId="173" fontId="6" fillId="9" borderId="0" xfId="0" applyNumberFormat="1" applyFont="1" applyFill="1">
      <alignment vertical="top"/>
    </xf>
    <xf numFmtId="0" fontId="40" fillId="2" borderId="3" xfId="0" applyFont="1" applyFill="1" applyBorder="1" applyAlignment="1">
      <alignment horizontal="left" wrapText="1"/>
    </xf>
    <xf numFmtId="0" fontId="32" fillId="2" borderId="0" xfId="0" applyFont="1" applyFill="1">
      <alignment vertical="top"/>
    </xf>
    <xf numFmtId="0" fontId="6" fillId="2" borderId="0" xfId="0" applyFont="1" applyFill="1" applyAlignment="1">
      <alignment horizontal="center" vertical="top"/>
    </xf>
    <xf numFmtId="0" fontId="6" fillId="2" borderId="29" xfId="0" applyFont="1" applyFill="1" applyBorder="1" applyAlignment="1">
      <alignment horizontal="center" vertical="top"/>
    </xf>
    <xf numFmtId="0" fontId="6" fillId="2" borderId="30" xfId="0" applyFont="1" applyFill="1" applyBorder="1" applyAlignment="1">
      <alignment horizontal="left" vertical="top"/>
    </xf>
    <xf numFmtId="0" fontId="6" fillId="2" borderId="30" xfId="0" applyFont="1" applyFill="1" applyBorder="1" applyAlignment="1">
      <alignment horizontal="right" vertical="top"/>
    </xf>
    <xf numFmtId="0" fontId="6" fillId="2" borderId="30" xfId="0" applyFont="1" applyFill="1" applyBorder="1">
      <alignment vertical="top"/>
    </xf>
    <xf numFmtId="0" fontId="6" fillId="2" borderId="31" xfId="0" applyFont="1" applyFill="1" applyBorder="1" applyAlignment="1">
      <alignment horizontal="center" vertical="top"/>
    </xf>
    <xf numFmtId="0" fontId="6" fillId="2" borderId="32" xfId="0" applyFont="1" applyFill="1" applyBorder="1" applyAlignment="1">
      <alignment horizontal="left" vertical="top"/>
    </xf>
    <xf numFmtId="0" fontId="6" fillId="2" borderId="32" xfId="0" applyFont="1" applyFill="1" applyBorder="1" applyAlignment="1">
      <alignment horizontal="right" vertical="top"/>
    </xf>
    <xf numFmtId="0" fontId="6" fillId="2" borderId="32" xfId="0" applyFont="1" applyFill="1" applyBorder="1">
      <alignment vertical="top"/>
    </xf>
    <xf numFmtId="10" fontId="32" fillId="0" borderId="23" xfId="2" applyNumberFormat="1" applyFont="1" applyBorder="1" applyAlignment="1">
      <alignment horizontal="right" vertical="top"/>
    </xf>
    <xf numFmtId="10" fontId="32" fillId="0" borderId="24" xfId="2" applyNumberFormat="1" applyFont="1" applyBorder="1" applyAlignment="1">
      <alignment horizontal="right" vertical="top"/>
    </xf>
    <xf numFmtId="10" fontId="32" fillId="0" borderId="0" xfId="2" applyNumberFormat="1" applyFont="1" applyAlignment="1">
      <alignment horizontal="right" vertical="top"/>
    </xf>
    <xf numFmtId="10" fontId="32" fillId="0" borderId="8" xfId="2" applyNumberFormat="1" applyFont="1" applyBorder="1" applyAlignment="1">
      <alignment horizontal="right" vertical="top"/>
    </xf>
    <xf numFmtId="10" fontId="32" fillId="0" borderId="21" xfId="2" applyNumberFormat="1" applyFont="1" applyBorder="1" applyAlignment="1">
      <alignment horizontal="right" vertical="top"/>
    </xf>
    <xf numFmtId="10" fontId="32" fillId="0" borderId="22" xfId="2" applyNumberFormat="1" applyFont="1" applyBorder="1" applyAlignment="1">
      <alignment horizontal="right" vertical="top"/>
    </xf>
    <xf numFmtId="10" fontId="32" fillId="0" borderId="9" xfId="2" applyNumberFormat="1" applyFont="1" applyBorder="1" applyAlignment="1">
      <alignment horizontal="right" vertical="top"/>
    </xf>
    <xf numFmtId="10" fontId="32" fillId="0" borderId="7" xfId="2" applyNumberFormat="1" applyFont="1" applyBorder="1" applyAlignment="1">
      <alignment horizontal="right" vertical="top"/>
    </xf>
    <xf numFmtId="10" fontId="32" fillId="0" borderId="20" xfId="2" applyNumberFormat="1" applyFont="1" applyBorder="1" applyAlignment="1">
      <alignment horizontal="right" vertical="top"/>
    </xf>
    <xf numFmtId="10" fontId="32" fillId="0" borderId="25" xfId="2" applyNumberFormat="1" applyFont="1" applyBorder="1" applyAlignment="1">
      <alignment horizontal="right" vertical="top"/>
    </xf>
    <xf numFmtId="10" fontId="32" fillId="0" borderId="26" xfId="2" applyNumberFormat="1" applyFont="1" applyBorder="1" applyAlignment="1">
      <alignment horizontal="right" vertical="top"/>
    </xf>
    <xf numFmtId="10" fontId="32" fillId="0" borderId="19" xfId="2" applyNumberFormat="1" applyFont="1" applyBorder="1" applyAlignment="1">
      <alignment horizontal="right" vertical="top"/>
    </xf>
    <xf numFmtId="9" fontId="32" fillId="0" borderId="7" xfId="2" applyFont="1" applyBorder="1">
      <alignment vertical="top"/>
    </xf>
    <xf numFmtId="9" fontId="32" fillId="0" borderId="26" xfId="2" applyFont="1" applyBorder="1">
      <alignment vertical="top"/>
    </xf>
    <xf numFmtId="9" fontId="32" fillId="0" borderId="34" xfId="2" applyFont="1" applyBorder="1" applyAlignment="1">
      <alignment horizontal="right" vertical="top"/>
    </xf>
    <xf numFmtId="9" fontId="32" fillId="0" borderId="33" xfId="2" applyFont="1" applyBorder="1" applyAlignment="1">
      <alignment horizontal="right" vertical="top"/>
    </xf>
    <xf numFmtId="9" fontId="32" fillId="0" borderId="35" xfId="2" applyFont="1" applyBorder="1">
      <alignment vertical="top"/>
    </xf>
    <xf numFmtId="9" fontId="32" fillId="0" borderId="0" xfId="2" applyFont="1">
      <alignment vertical="top"/>
    </xf>
    <xf numFmtId="166" fontId="6" fillId="2" borderId="0" xfId="1" applyNumberFormat="1" applyFont="1" applyFill="1" applyAlignment="1">
      <alignment horizontal="right" vertical="top"/>
    </xf>
    <xf numFmtId="174" fontId="41" fillId="0" borderId="0" xfId="5" applyNumberFormat="1" applyFont="1" applyFill="1" applyBorder="1" applyAlignment="1" applyProtection="1">
      <alignment horizontal="right" vertical="center"/>
    </xf>
    <xf numFmtId="167" fontId="6" fillId="0" borderId="0" xfId="2" applyNumberFormat="1" applyFont="1">
      <alignment vertical="top"/>
    </xf>
    <xf numFmtId="167" fontId="6" fillId="0" borderId="7" xfId="2" applyNumberFormat="1" applyFont="1" applyBorder="1">
      <alignment vertical="top"/>
    </xf>
    <xf numFmtId="0" fontId="5" fillId="2" borderId="3" xfId="0" applyFont="1" applyFill="1" applyBorder="1" applyAlignment="1">
      <alignment horizontal="center" wrapText="1"/>
    </xf>
    <xf numFmtId="9" fontId="42" fillId="3" borderId="0" xfId="2" applyFont="1" applyFill="1" applyAlignment="1">
      <alignment horizontal="right" vertical="top"/>
    </xf>
    <xf numFmtId="0" fontId="43" fillId="3" borderId="0" xfId="0" applyFont="1" applyFill="1" applyAlignment="1">
      <alignment horizontal="right" vertical="top"/>
    </xf>
    <xf numFmtId="167" fontId="6" fillId="2" borderId="0" xfId="0" applyNumberFormat="1" applyFont="1" applyFill="1" applyAlignment="1">
      <alignment horizontal="center" vertical="top"/>
    </xf>
    <xf numFmtId="167" fontId="12" fillId="3" borderId="0" xfId="2" applyNumberFormat="1" applyFont="1" applyFill="1" applyAlignment="1">
      <alignment horizontal="right" vertical="top"/>
    </xf>
    <xf numFmtId="9" fontId="12" fillId="3" borderId="0" xfId="2" applyFont="1" applyFill="1" applyAlignment="1">
      <alignment horizontal="left" vertical="top"/>
    </xf>
    <xf numFmtId="9" fontId="12" fillId="3" borderId="0" xfId="2" applyNumberFormat="1" applyFont="1" applyFill="1" applyAlignment="1">
      <alignment horizontal="right" vertical="top"/>
    </xf>
    <xf numFmtId="175" fontId="30" fillId="0" borderId="11" xfId="0" applyNumberFormat="1" applyFont="1" applyBorder="1" applyAlignment="1">
      <alignment horizontal="right" vertical="center"/>
    </xf>
    <xf numFmtId="175" fontId="26" fillId="2" borderId="0" xfId="0" applyNumberFormat="1" applyFont="1" applyFill="1">
      <alignment vertical="top"/>
    </xf>
    <xf numFmtId="175" fontId="30" fillId="0" borderId="17" xfId="0" applyNumberFormat="1" applyFont="1" applyBorder="1" applyAlignment="1">
      <alignment horizontal="right" vertical="center"/>
    </xf>
    <xf numFmtId="175" fontId="30" fillId="0" borderId="36" xfId="0" applyNumberFormat="1" applyFont="1" applyBorder="1" applyAlignment="1">
      <alignment horizontal="right" vertical="center"/>
    </xf>
    <xf numFmtId="175" fontId="30" fillId="0" borderId="8" xfId="0" applyNumberFormat="1" applyFont="1" applyBorder="1" applyAlignment="1">
      <alignment horizontal="right" vertical="center"/>
    </xf>
    <xf numFmtId="175" fontId="30" fillId="0" borderId="9" xfId="0" applyNumberFormat="1" applyFont="1" applyBorder="1" applyAlignment="1">
      <alignment horizontal="right" vertical="center"/>
    </xf>
    <xf numFmtId="10" fontId="32" fillId="0" borderId="37" xfId="2" applyNumberFormat="1" applyFont="1" applyBorder="1">
      <alignment vertical="top"/>
    </xf>
    <xf numFmtId="10" fontId="32" fillId="0" borderId="38" xfId="2" applyNumberFormat="1" applyFont="1" applyBorder="1">
      <alignment vertical="top"/>
    </xf>
    <xf numFmtId="10" fontId="23" fillId="2" borderId="0" xfId="2" applyNumberFormat="1" applyFont="1" applyFill="1">
      <alignment vertical="top"/>
    </xf>
    <xf numFmtId="10" fontId="23" fillId="9" borderId="0" xfId="0" applyNumberFormat="1" applyFont="1" applyFill="1">
      <alignment vertical="top"/>
    </xf>
    <xf numFmtId="167" fontId="5" fillId="2" borderId="1" xfId="0" applyNumberFormat="1" applyFont="1" applyFill="1" applyBorder="1">
      <alignment vertical="top"/>
    </xf>
    <xf numFmtId="175" fontId="29" fillId="0" borderId="10" xfId="0" applyNumberFormat="1" applyFont="1" applyBorder="1" applyAlignment="1">
      <alignment horizontal="right" vertical="center"/>
    </xf>
    <xf numFmtId="10" fontId="32" fillId="0" borderId="11" xfId="2" applyNumberFormat="1" applyFont="1" applyBorder="1">
      <alignment vertical="top"/>
    </xf>
    <xf numFmtId="0" fontId="44" fillId="2" borderId="16" xfId="0" applyFont="1" applyFill="1" applyBorder="1">
      <alignment vertical="top"/>
    </xf>
    <xf numFmtId="164" fontId="6" fillId="2" borderId="0" xfId="1" applyNumberFormat="1" applyFont="1" applyFill="1">
      <alignment vertical="top"/>
    </xf>
    <xf numFmtId="164" fontId="6" fillId="9" borderId="0" xfId="0" applyNumberFormat="1" applyFont="1" applyFill="1" applyAlignment="1">
      <alignment horizontal="right" vertical="top"/>
    </xf>
    <xf numFmtId="167" fontId="32" fillId="0" borderId="0" xfId="2" applyNumberFormat="1" applyFont="1">
      <alignment vertical="top"/>
    </xf>
    <xf numFmtId="175" fontId="30" fillId="0" borderId="0" xfId="0" applyNumberFormat="1" applyFont="1" applyBorder="1" applyAlignment="1">
      <alignment horizontal="right" vertical="center"/>
    </xf>
    <xf numFmtId="0" fontId="30" fillId="0" borderId="28" xfId="0" applyFont="1" applyBorder="1" applyAlignment="1">
      <alignment horizontal="left" vertical="center" indent="1"/>
    </xf>
    <xf numFmtId="0" fontId="30" fillId="0" borderId="25" xfId="0" applyFont="1" applyBorder="1" applyAlignment="1">
      <alignment horizontal="left" vertical="center" indent="1"/>
    </xf>
    <xf numFmtId="175" fontId="29" fillId="0" borderId="36" xfId="0" applyNumberFormat="1" applyFont="1" applyBorder="1" applyAlignment="1">
      <alignment horizontal="right" vertical="center"/>
    </xf>
    <xf numFmtId="175" fontId="30" fillId="0" borderId="18" xfId="0" applyNumberFormat="1" applyFont="1" applyBorder="1" applyAlignment="1">
      <alignment horizontal="right" vertical="center"/>
    </xf>
    <xf numFmtId="0" fontId="32" fillId="2" borderId="26" xfId="0" applyFont="1" applyFill="1" applyBorder="1">
      <alignment vertical="top"/>
    </xf>
    <xf numFmtId="0" fontId="30" fillId="0" borderId="26" xfId="0" applyFont="1" applyBorder="1" applyAlignment="1">
      <alignment horizontal="left" vertical="center" indent="1"/>
    </xf>
    <xf numFmtId="0" fontId="30" fillId="0" borderId="27" xfId="0" applyFont="1" applyBorder="1" applyAlignment="1">
      <alignment horizontal="left" vertical="center" indent="1"/>
    </xf>
    <xf numFmtId="0" fontId="32" fillId="2" borderId="39" xfId="0" applyFont="1" applyFill="1" applyBorder="1">
      <alignment vertical="top"/>
    </xf>
    <xf numFmtId="0" fontId="32" fillId="2" borderId="28" xfId="0" applyFont="1" applyFill="1" applyBorder="1">
      <alignment vertical="top"/>
    </xf>
    <xf numFmtId="175" fontId="30" fillId="0" borderId="28" xfId="0" applyNumberFormat="1" applyFont="1" applyBorder="1" applyAlignment="1">
      <alignment horizontal="right" vertical="center"/>
    </xf>
    <xf numFmtId="175" fontId="30" fillId="0" borderId="25" xfId="0" applyNumberFormat="1" applyFont="1" applyBorder="1" applyAlignment="1">
      <alignment horizontal="right" vertical="center"/>
    </xf>
    <xf numFmtId="167" fontId="32" fillId="0" borderId="21" xfId="2" applyNumberFormat="1" applyFont="1" applyBorder="1">
      <alignment vertical="top"/>
    </xf>
    <xf numFmtId="0" fontId="5" fillId="2" borderId="16" xfId="0" applyFont="1" applyFill="1" applyBorder="1" applyAlignment="1">
      <alignment horizontal="right" vertical="top" wrapText="1"/>
    </xf>
    <xf numFmtId="167" fontId="32" fillId="0" borderId="22" xfId="2" applyNumberFormat="1" applyFont="1" applyBorder="1">
      <alignment vertical="top"/>
    </xf>
    <xf numFmtId="167" fontId="32" fillId="0" borderId="8" xfId="2" applyNumberFormat="1" applyFont="1" applyBorder="1">
      <alignment vertical="top"/>
    </xf>
    <xf numFmtId="167" fontId="32" fillId="0" borderId="15" xfId="2" applyNumberFormat="1" applyFont="1" applyBorder="1">
      <alignment vertical="top"/>
    </xf>
    <xf numFmtId="167" fontId="32" fillId="0" borderId="14" xfId="2" applyNumberFormat="1" applyFont="1" applyBorder="1">
      <alignment vertical="top"/>
    </xf>
    <xf numFmtId="175" fontId="5" fillId="2" borderId="1" xfId="0" applyNumberFormat="1" applyFont="1" applyFill="1" applyBorder="1">
      <alignment vertical="top"/>
    </xf>
    <xf numFmtId="175" fontId="5" fillId="9" borderId="1" xfId="0" applyNumberFormat="1" applyFont="1" applyFill="1" applyBorder="1" applyAlignment="1">
      <alignment horizontal="right" vertical="top"/>
    </xf>
    <xf numFmtId="167" fontId="26" fillId="0" borderId="0" xfId="2" applyNumberFormat="1" applyFont="1">
      <alignment vertical="top"/>
    </xf>
    <xf numFmtId="167" fontId="26" fillId="0" borderId="40" xfId="2" applyNumberFormat="1" applyFont="1" applyBorder="1">
      <alignment vertical="top"/>
    </xf>
    <xf numFmtId="166" fontId="5" fillId="2" borderId="4" xfId="0" applyNumberFormat="1" applyFont="1" applyFill="1" applyBorder="1" applyAlignment="1">
      <alignment horizontal="right"/>
    </xf>
    <xf numFmtId="167" fontId="6" fillId="0" borderId="17" xfId="2" applyNumberFormat="1" applyFont="1" applyBorder="1">
      <alignment vertical="top"/>
    </xf>
    <xf numFmtId="167" fontId="6" fillId="2" borderId="9" xfId="0" applyNumberFormat="1" applyFont="1" applyFill="1" applyBorder="1" applyAlignment="1">
      <alignment horizontal="right" vertical="top"/>
    </xf>
    <xf numFmtId="175" fontId="30" fillId="9" borderId="0" xfId="0" applyNumberFormat="1" applyFont="1" applyFill="1" applyBorder="1" applyAlignment="1">
      <alignment horizontal="right" vertical="center"/>
    </xf>
    <xf numFmtId="167" fontId="32" fillId="0" borderId="39" xfId="2" applyNumberFormat="1" applyFont="1" applyBorder="1">
      <alignment vertical="top"/>
    </xf>
    <xf numFmtId="167" fontId="32" fillId="0" borderId="7" xfId="2" applyNumberFormat="1" applyFont="1" applyBorder="1">
      <alignment vertical="top"/>
    </xf>
    <xf numFmtId="175" fontId="29" fillId="0" borderId="41" xfId="0" applyNumberFormat="1" applyFont="1" applyBorder="1" applyAlignment="1">
      <alignment horizontal="right" vertical="center"/>
    </xf>
    <xf numFmtId="167" fontId="32" fillId="9" borderId="0" xfId="0" applyNumberFormat="1" applyFont="1" applyFill="1" applyBorder="1">
      <alignment vertical="top"/>
    </xf>
    <xf numFmtId="167" fontId="32" fillId="9" borderId="0" xfId="2" applyNumberFormat="1" applyFont="1" applyFill="1" applyBorder="1">
      <alignment vertical="top"/>
    </xf>
    <xf numFmtId="167" fontId="26" fillId="9" borderId="0" xfId="2" applyNumberFormat="1" applyFont="1" applyFill="1" applyBorder="1">
      <alignment vertical="top"/>
    </xf>
    <xf numFmtId="0" fontId="5" fillId="9" borderId="16" xfId="0" applyFont="1" applyFill="1" applyBorder="1" applyAlignment="1">
      <alignment horizontal="right" vertical="top" wrapText="1"/>
    </xf>
    <xf numFmtId="167" fontId="32" fillId="9" borderId="16" xfId="2" applyNumberFormat="1" applyFont="1" applyFill="1" applyBorder="1">
      <alignment vertical="top"/>
    </xf>
    <xf numFmtId="175" fontId="29" fillId="9" borderId="42" xfId="0" applyNumberFormat="1" applyFont="1" applyFill="1" applyBorder="1" applyAlignment="1">
      <alignment horizontal="right" vertical="center"/>
    </xf>
    <xf numFmtId="168" fontId="44" fillId="2" borderId="0" xfId="0" applyNumberFormat="1" applyFont="1" applyFill="1" applyAlignment="1"/>
    <xf numFmtId="171" fontId="6" fillId="2" borderId="0" xfId="0" applyNumberFormat="1" applyFont="1" applyFill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5" xfId="0" applyNumberFormat="1" applyFont="1" applyFill="1" applyBorder="1" applyAlignment="1"/>
    <xf numFmtId="165" fontId="5" fillId="9" borderId="5" xfId="0" applyNumberFormat="1" applyFont="1" applyFill="1" applyBorder="1" applyAlignment="1"/>
    <xf numFmtId="165" fontId="5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 applyAlignment="1"/>
    <xf numFmtId="165" fontId="5" fillId="9" borderId="1" xfId="0" applyNumberFormat="1" applyFont="1" applyFill="1" applyBorder="1" applyAlignment="1"/>
    <xf numFmtId="169" fontId="31" fillId="2" borderId="0" xfId="0" applyNumberFormat="1" applyFont="1" applyFill="1" applyAlignme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 applyAlignment="1">
      <alignment vertical="center"/>
    </xf>
    <xf numFmtId="2" fontId="32" fillId="2" borderId="0" xfId="0" applyNumberFormat="1" applyFont="1" applyFill="1">
      <alignment vertical="top"/>
    </xf>
    <xf numFmtId="169" fontId="13" fillId="2" borderId="0" xfId="0" applyNumberFormat="1" applyFont="1" applyFill="1" applyAlignment="1"/>
    <xf numFmtId="170" fontId="8" fillId="7" borderId="0" xfId="0" applyNumberFormat="1" applyFont="1" applyFill="1" applyAlignment="1">
      <alignment horizontal="right" vertical="center"/>
    </xf>
    <xf numFmtId="170" fontId="8" fillId="9" borderId="0" xfId="0" applyNumberFormat="1" applyFont="1" applyFill="1" applyAlignment="1">
      <alignment horizontal="right" vertical="center"/>
    </xf>
    <xf numFmtId="171" fontId="29" fillId="9" borderId="0" xfId="1" applyNumberFormat="1" applyFont="1" applyFill="1" applyAlignment="1"/>
    <xf numFmtId="167" fontId="8" fillId="9" borderId="16" xfId="1" applyNumberFormat="1" applyFont="1" applyFill="1" applyBorder="1" applyAlignment="1"/>
    <xf numFmtId="0" fontId="6" fillId="2" borderId="0" xfId="0" applyFont="1" applyFill="1" applyAlignment="1">
      <alignment vertical="center"/>
    </xf>
    <xf numFmtId="0" fontId="34" fillId="0" borderId="46" xfId="4" applyFont="1" applyBorder="1" applyAlignment="1">
      <alignment vertical="center"/>
    </xf>
    <xf numFmtId="0" fontId="33" fillId="0" borderId="46" xfId="4" applyFont="1" applyBorder="1" applyAlignment="1">
      <alignment vertical="center"/>
    </xf>
    <xf numFmtId="3" fontId="34" fillId="0" borderId="0" xfId="4" applyNumberFormat="1" applyFont="1" applyBorder="1" applyAlignment="1">
      <alignment horizontal="right" vertical="center"/>
    </xf>
    <xf numFmtId="3" fontId="34" fillId="0" borderId="47" xfId="4" applyNumberFormat="1" applyFont="1" applyBorder="1" applyAlignment="1">
      <alignment horizontal="right" vertical="center"/>
    </xf>
    <xf numFmtId="0" fontId="34" fillId="0" borderId="0" xfId="4" applyFont="1" applyBorder="1" applyAlignment="1">
      <alignment vertical="center"/>
    </xf>
    <xf numFmtId="10" fontId="34" fillId="0" borderId="0" xfId="4" applyNumberFormat="1" applyFont="1" applyBorder="1" applyAlignment="1">
      <alignment vertical="center"/>
    </xf>
    <xf numFmtId="0" fontId="34" fillId="0" borderId="47" xfId="4" applyFont="1" applyBorder="1"/>
    <xf numFmtId="4" fontId="34" fillId="0" borderId="0" xfId="4" applyNumberFormat="1" applyFont="1" applyBorder="1" applyAlignment="1">
      <alignment vertical="center"/>
    </xf>
    <xf numFmtId="10" fontId="34" fillId="0" borderId="47" xfId="4" applyNumberFormat="1" applyFont="1" applyBorder="1" applyAlignment="1">
      <alignment vertical="center"/>
    </xf>
    <xf numFmtId="0" fontId="2" fillId="0" borderId="0" xfId="4" applyBorder="1"/>
    <xf numFmtId="0" fontId="2" fillId="0" borderId="47" xfId="4" applyBorder="1"/>
    <xf numFmtId="0" fontId="2" fillId="0" borderId="49" xfId="4" applyBorder="1"/>
    <xf numFmtId="0" fontId="46" fillId="10" borderId="43" xfId="4" applyFont="1" applyFill="1" applyBorder="1" applyAlignment="1">
      <alignment vertical="center"/>
    </xf>
    <xf numFmtId="0" fontId="47" fillId="10" borderId="44" xfId="4" applyFont="1" applyFill="1" applyBorder="1" applyAlignment="1">
      <alignment vertical="center"/>
    </xf>
    <xf numFmtId="0" fontId="47" fillId="10" borderId="44" xfId="4" applyFont="1" applyFill="1" applyBorder="1"/>
    <xf numFmtId="0" fontId="47" fillId="10" borderId="45" xfId="4" applyFont="1" applyFill="1" applyBorder="1"/>
    <xf numFmtId="0" fontId="2" fillId="0" borderId="46" xfId="4" applyFont="1" applyBorder="1" applyAlignment="1">
      <alignment horizontal="center"/>
    </xf>
    <xf numFmtId="0" fontId="36" fillId="0" borderId="0" xfId="0" applyFont="1" applyBorder="1" applyAlignment="1">
      <alignment horizontal="center" vertical="center"/>
    </xf>
    <xf numFmtId="0" fontId="2" fillId="0" borderId="46" xfId="4" applyBorder="1" applyAlignment="1">
      <alignment horizontal="center"/>
    </xf>
    <xf numFmtId="0" fontId="2" fillId="0" borderId="0" xfId="4" applyBorder="1" applyAlignment="1">
      <alignment horizontal="center"/>
    </xf>
    <xf numFmtId="0" fontId="37" fillId="0" borderId="48" xfId="4" applyFont="1" applyBorder="1" applyAlignment="1">
      <alignment horizontal="center"/>
    </xf>
    <xf numFmtId="0" fontId="38" fillId="0" borderId="49" xfId="4" applyFont="1" applyBorder="1" applyAlignment="1">
      <alignment horizontal="center"/>
    </xf>
    <xf numFmtId="0" fontId="45" fillId="10" borderId="43" xfId="4" applyFont="1" applyFill="1" applyBorder="1" applyAlignment="1">
      <alignment horizontal="center"/>
    </xf>
    <xf numFmtId="172" fontId="27" fillId="0" borderId="0" xfId="4" applyNumberFormat="1" applyFont="1" applyBorder="1" applyAlignment="1">
      <alignment horizontal="center"/>
    </xf>
    <xf numFmtId="172" fontId="48" fillId="0" borderId="49" xfId="4" applyNumberFormat="1" applyFont="1" applyBorder="1" applyAlignment="1">
      <alignment horizontal="center"/>
    </xf>
    <xf numFmtId="172" fontId="49" fillId="0" borderId="47" xfId="0" applyNumberFormat="1" applyFont="1" applyBorder="1" applyAlignment="1">
      <alignment horizontal="center" vertical="center"/>
    </xf>
    <xf numFmtId="0" fontId="27" fillId="0" borderId="47" xfId="4" applyFont="1" applyBorder="1" applyAlignment="1">
      <alignment horizontal="center"/>
    </xf>
    <xf numFmtId="172" fontId="50" fillId="0" borderId="50" xfId="4" applyNumberFormat="1" applyFont="1" applyBorder="1" applyAlignment="1">
      <alignment horizontal="center"/>
    </xf>
    <xf numFmtId="0" fontId="28" fillId="0" borderId="46" xfId="4" applyFont="1" applyBorder="1" applyAlignment="1">
      <alignment horizontal="right"/>
    </xf>
    <xf numFmtId="9" fontId="28" fillId="0" borderId="0" xfId="4" applyNumberFormat="1" applyFont="1" applyBorder="1"/>
    <xf numFmtId="2" fontId="2" fillId="0" borderId="0" xfId="4" applyNumberFormat="1" applyBorder="1"/>
    <xf numFmtId="0" fontId="2" fillId="0" borderId="48" xfId="4" applyBorder="1" applyAlignment="1">
      <alignment horizontal="right"/>
    </xf>
    <xf numFmtId="9" fontId="28" fillId="0" borderId="49" xfId="4" applyNumberFormat="1" applyFont="1" applyBorder="1"/>
    <xf numFmtId="0" fontId="2" fillId="0" borderId="50" xfId="4" applyBorder="1"/>
    <xf numFmtId="0" fontId="45" fillId="10" borderId="43" xfId="4" applyFont="1" applyFill="1" applyBorder="1"/>
    <xf numFmtId="0" fontId="2" fillId="10" borderId="44" xfId="4" applyFill="1" applyBorder="1"/>
    <xf numFmtId="0" fontId="2" fillId="10" borderId="45" xfId="4" applyFill="1" applyBorder="1"/>
    <xf numFmtId="0" fontId="27" fillId="9" borderId="51" xfId="4" applyFont="1" applyFill="1" applyBorder="1" applyAlignment="1">
      <alignment horizontal="center"/>
    </xf>
    <xf numFmtId="172" fontId="27" fillId="9" borderId="52" xfId="4" applyNumberFormat="1" applyFont="1" applyFill="1" applyBorder="1" applyAlignment="1">
      <alignment horizontal="center"/>
    </xf>
    <xf numFmtId="0" fontId="27" fillId="9" borderId="52" xfId="4" applyFont="1" applyFill="1" applyBorder="1" applyAlignment="1">
      <alignment horizontal="center"/>
    </xf>
    <xf numFmtId="0" fontId="1" fillId="9" borderId="52" xfId="4" applyFont="1" applyFill="1" applyBorder="1" applyAlignment="1">
      <alignment horizontal="center"/>
    </xf>
    <xf numFmtId="0" fontId="27" fillId="9" borderId="53" xfId="4" applyFont="1" applyFill="1" applyBorder="1" applyAlignment="1">
      <alignment horizontal="center"/>
    </xf>
    <xf numFmtId="0" fontId="27" fillId="0" borderId="46" xfId="4" applyFont="1" applyBorder="1"/>
    <xf numFmtId="0" fontId="27" fillId="0" borderId="48" xfId="4" applyFont="1" applyBorder="1"/>
    <xf numFmtId="0" fontId="27" fillId="9" borderId="54" xfId="4" applyFont="1" applyFill="1" applyBorder="1" applyAlignment="1">
      <alignment horizontal="center"/>
    </xf>
    <xf numFmtId="0" fontId="2" fillId="0" borderId="55" xfId="4" applyBorder="1"/>
    <xf numFmtId="0" fontId="34" fillId="9" borderId="53" xfId="4" applyFont="1" applyFill="1" applyBorder="1" applyAlignment="1">
      <alignment vertical="center"/>
    </xf>
    <xf numFmtId="0" fontId="33" fillId="9" borderId="53" xfId="4" applyFont="1" applyFill="1" applyBorder="1" applyAlignment="1">
      <alignment horizontal="center" vertical="center"/>
    </xf>
    <xf numFmtId="0" fontId="53" fillId="0" borderId="46" xfId="4" applyFont="1" applyBorder="1" applyAlignment="1">
      <alignment vertical="center"/>
    </xf>
    <xf numFmtId="4" fontId="34" fillId="0" borderId="47" xfId="4" applyNumberFormat="1" applyFont="1" applyBorder="1" applyAlignment="1">
      <alignment horizontal="right" vertical="center"/>
    </xf>
    <xf numFmtId="167" fontId="51" fillId="0" borderId="0" xfId="2" applyNumberFormat="1" applyFont="1" applyAlignment="1">
      <alignment vertical="center"/>
    </xf>
    <xf numFmtId="10" fontId="52" fillId="0" borderId="47" xfId="4" applyNumberFormat="1" applyFont="1" applyBorder="1" applyAlignment="1">
      <alignment vertical="center"/>
    </xf>
    <xf numFmtId="10" fontId="52" fillId="0" borderId="0" xfId="4" applyNumberFormat="1" applyFont="1" applyBorder="1" applyAlignment="1">
      <alignment vertical="center"/>
    </xf>
    <xf numFmtId="2" fontId="34" fillId="0" borderId="0" xfId="4" applyNumberFormat="1" applyFont="1" applyBorder="1" applyAlignment="1">
      <alignment vertical="center"/>
    </xf>
    <xf numFmtId="10" fontId="51" fillId="0" borderId="0" xfId="2" applyNumberFormat="1" applyFont="1" applyBorder="1">
      <alignment vertical="top"/>
    </xf>
    <xf numFmtId="10" fontId="51" fillId="0" borderId="47" xfId="2" applyNumberFormat="1" applyFont="1" applyBorder="1">
      <alignment vertical="top"/>
    </xf>
    <xf numFmtId="167" fontId="3" fillId="0" borderId="0" xfId="2" applyNumberFormat="1" applyFont="1" applyAlignment="1">
      <alignment vertical="center"/>
    </xf>
    <xf numFmtId="10" fontId="3" fillId="0" borderId="47" xfId="2" applyNumberFormat="1" applyFont="1" applyBorder="1" applyAlignment="1">
      <alignment vertical="center"/>
    </xf>
    <xf numFmtId="0" fontId="33" fillId="0" borderId="46" xfId="4" applyFont="1" applyBorder="1"/>
    <xf numFmtId="0" fontId="33" fillId="0" borderId="56" xfId="4" applyFont="1" applyBorder="1"/>
    <xf numFmtId="0" fontId="2" fillId="0" borderId="57" xfId="4" applyBorder="1"/>
    <xf numFmtId="10" fontId="39" fillId="0" borderId="0" xfId="2" applyNumberFormat="1" applyFont="1" applyBorder="1" applyAlignment="1">
      <alignment vertical="center"/>
    </xf>
    <xf numFmtId="10" fontId="39" fillId="0" borderId="47" xfId="2" applyNumberFormat="1" applyFont="1" applyBorder="1" applyAlignment="1">
      <alignment vertical="center"/>
    </xf>
    <xf numFmtId="0" fontId="2" fillId="0" borderId="58" xfId="4" applyBorder="1"/>
    <xf numFmtId="0" fontId="2" fillId="0" borderId="59" xfId="4" applyBorder="1"/>
    <xf numFmtId="0" fontId="53" fillId="0" borderId="60" xfId="4" applyFont="1" applyBorder="1" applyAlignment="1">
      <alignment vertical="center"/>
    </xf>
    <xf numFmtId="0" fontId="2" fillId="0" borderId="61" xfId="4" applyBorder="1"/>
    <xf numFmtId="176" fontId="2" fillId="0" borderId="59" xfId="4" applyNumberFormat="1" applyBorder="1"/>
    <xf numFmtId="177" fontId="2" fillId="0" borderId="47" xfId="4" applyNumberFormat="1" applyBorder="1"/>
    <xf numFmtId="167" fontId="3" fillId="0" borderId="61" xfId="2" applyNumberFormat="1" applyBorder="1">
      <alignment vertical="top"/>
    </xf>
    <xf numFmtId="10" fontId="39" fillId="0" borderId="62" xfId="2" applyNumberFormat="1" applyFont="1" applyBorder="1" applyAlignment="1">
      <alignment vertical="center"/>
    </xf>
    <xf numFmtId="0" fontId="51" fillId="0" borderId="0" xfId="0" applyFont="1">
      <alignment vertical="top"/>
    </xf>
    <xf numFmtId="0" fontId="54" fillId="2" borderId="0" xfId="0" applyFont="1" applyFill="1">
      <alignment vertical="top"/>
    </xf>
    <xf numFmtId="10" fontId="32" fillId="0" borderId="63" xfId="2" applyNumberFormat="1" applyFont="1" applyBorder="1">
      <alignment vertical="top"/>
    </xf>
    <xf numFmtId="0" fontId="2" fillId="0" borderId="64" xfId="4" applyBorder="1"/>
    <xf numFmtId="0" fontId="2" fillId="0" borderId="67" xfId="4" applyBorder="1"/>
    <xf numFmtId="0" fontId="2" fillId="0" borderId="68" xfId="4" applyBorder="1"/>
    <xf numFmtId="0" fontId="2" fillId="0" borderId="69" xfId="4" applyBorder="1"/>
    <xf numFmtId="0" fontId="34" fillId="0" borderId="69" xfId="4" applyFont="1" applyBorder="1"/>
    <xf numFmtId="0" fontId="34" fillId="0" borderId="28" xfId="4" applyFont="1" applyBorder="1"/>
    <xf numFmtId="0" fontId="2" fillId="0" borderId="8" xfId="4" applyBorder="1"/>
    <xf numFmtId="0" fontId="34" fillId="0" borderId="25" xfId="4" applyFont="1" applyBorder="1"/>
    <xf numFmtId="0" fontId="34" fillId="0" borderId="21" xfId="4" applyFont="1" applyBorder="1"/>
    <xf numFmtId="0" fontId="34" fillId="0" borderId="8" xfId="4" applyFont="1" applyBorder="1"/>
    <xf numFmtId="0" fontId="34" fillId="0" borderId="19" xfId="4" applyFont="1" applyBorder="1"/>
    <xf numFmtId="0" fontId="34" fillId="0" borderId="17" xfId="4" applyFont="1" applyBorder="1"/>
    <xf numFmtId="0" fontId="34" fillId="0" borderId="66" xfId="4" applyFont="1" applyBorder="1"/>
    <xf numFmtId="167" fontId="6" fillId="2" borderId="7" xfId="0" applyNumberFormat="1" applyFont="1" applyFill="1" applyBorder="1" applyAlignment="1">
      <alignment horizontal="right" vertical="top"/>
    </xf>
    <xf numFmtId="167" fontId="6" fillId="0" borderId="19" xfId="2" applyNumberFormat="1" applyFont="1" applyBorder="1">
      <alignment vertical="top"/>
    </xf>
    <xf numFmtId="167" fontId="6" fillId="0" borderId="65" xfId="2" applyNumberFormat="1" applyFont="1" applyBorder="1">
      <alignment vertical="top"/>
    </xf>
    <xf numFmtId="167" fontId="32" fillId="0" borderId="25" xfId="2" applyNumberFormat="1" applyFont="1" applyBorder="1">
      <alignment vertical="top"/>
    </xf>
    <xf numFmtId="167" fontId="31" fillId="2" borderId="0" xfId="0" applyNumberFormat="1" applyFont="1" applyFill="1" applyAlignment="1"/>
    <xf numFmtId="167" fontId="31" fillId="2" borderId="9" xfId="0" applyNumberFormat="1" applyFont="1" applyFill="1" applyBorder="1" applyAlignment="1"/>
    <xf numFmtId="167" fontId="32" fillId="0" borderId="28" xfId="2" applyNumberFormat="1" applyFont="1" applyBorder="1">
      <alignment vertical="top"/>
    </xf>
    <xf numFmtId="0" fontId="19" fillId="8" borderId="0" xfId="3" applyNumberFormat="1" applyFont="1" applyFill="1" applyBorder="1" applyAlignment="1">
      <alignment horizontal="center"/>
    </xf>
  </cellXfs>
  <cellStyles count="11">
    <cellStyle name="Comma" xfId="1" builtinId="3"/>
    <cellStyle name="Comma [0] 2" xfId="10" xr:uid="{B3B8BB56-972F-4A3D-855E-7401647303C8}"/>
    <cellStyle name="Comma 2" xfId="9" xr:uid="{0B0D2FA5-31D1-42B1-AA76-9FAB4AAEB421}"/>
    <cellStyle name="Currency [0] 2" xfId="8" xr:uid="{78461536-3EF4-494B-95D7-8EFDFC2E7BCB}"/>
    <cellStyle name="Currency 2" xfId="7" xr:uid="{5ADD3766-51C5-4A34-9178-9EA58D923F78}"/>
    <cellStyle name="Normal" xfId="0" builtinId="0"/>
    <cellStyle name="Normal 2" xfId="4" xr:uid="{7B2BDC3F-0DDB-41BC-82F3-185AAE39A5A7}"/>
    <cellStyle name="Normal 3" xfId="5" xr:uid="{12765DA8-0EDD-47A4-A4CB-994AE4938901}"/>
    <cellStyle name="Normal_Project Accel Valuation v56" xfId="3" xr:uid="{00000000-0005-0000-0000-000002000000}"/>
    <cellStyle name="Percent" xfId="2" builtinId="5"/>
    <cellStyle name="Percent 2" xfId="6" xr:uid="{8CE2873E-38BD-460E-8DE6-5ED00E986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X-Phone Sales Market Overview</a:t>
            </a:r>
          </a:p>
        </c:rich>
      </c:tx>
      <c:layout>
        <c:manualLayout>
          <c:xMode val="edge"/>
          <c:yMode val="edge"/>
          <c:x val="0.24306922572178477"/>
          <c:y val="2.5773299719114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TSR+SS Total Sales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Overview'!$G$10:$M$10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2020E</c:v>
                </c:pt>
                <c:pt idx="3">
                  <c:v>2021E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</c:strCache>
            </c:strRef>
          </c:cat>
          <c:val>
            <c:numRef>
              <c:f>'Market Overview'!$G$13:$M$13</c:f>
              <c:numCache>
                <c:formatCode>#,##0.00</c:formatCode>
                <c:ptCount val="7"/>
                <c:pt idx="0">
                  <c:v>709.98199999999997</c:v>
                </c:pt>
                <c:pt idx="1">
                  <c:v>831.69999999999982</c:v>
                </c:pt>
                <c:pt idx="2">
                  <c:v>1272.5009999999995</c:v>
                </c:pt>
                <c:pt idx="3">
                  <c:v>1946.9265299999995</c:v>
                </c:pt>
                <c:pt idx="4">
                  <c:v>2492.260651052999</c:v>
                </c:pt>
                <c:pt idx="5">
                  <c:v>2567.5269227147996</c:v>
                </c:pt>
                <c:pt idx="6">
                  <c:v>2645.0662357807864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4-42F2-8E8C-5011B297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36520"/>
        <c:axId val="606235864"/>
      </c:barChart>
      <c:lineChart>
        <c:grouping val="standard"/>
        <c:varyColors val="0"/>
        <c:ser>
          <c:idx val="1"/>
          <c:order val="1"/>
          <c:tx>
            <c:v>TSR+SS Sales Market Share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'Market Overview'!$G$14:$M$14</c:f>
              <c:numCache>
                <c:formatCode>0.0%</c:formatCode>
                <c:ptCount val="7"/>
                <c:pt idx="0">
                  <c:v>1.0222481390292715E-2</c:v>
                </c:pt>
                <c:pt idx="1">
                  <c:v>1.162631402370834E-2</c:v>
                </c:pt>
                <c:pt idx="2">
                  <c:v>1.730375719006241E-2</c:v>
                </c:pt>
                <c:pt idx="3">
                  <c:v>2.5879312118674475E-2</c:v>
                </c:pt>
                <c:pt idx="4">
                  <c:v>3.2478799127555864E-2</c:v>
                </c:pt>
                <c:pt idx="5">
                  <c:v>3.2803852163778492E-2</c:v>
                </c:pt>
                <c:pt idx="6" formatCode="0.00%">
                  <c:v>3.3132158382975736E-2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4-42F2-8E8C-5011B2972912}"/>
            </c:ext>
          </c:extLst>
        </c:ser>
        <c:ser>
          <c:idx val="2"/>
          <c:order val="2"/>
          <c:tx>
            <c:v>Total Units Sold Market Share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'Market Overview'!$G$7:$M$7</c:f>
              <c:numCache>
                <c:formatCode>0.0%</c:formatCode>
                <c:ptCount val="7"/>
                <c:pt idx="0">
                  <c:v>8.1569637429195641E-3</c:v>
                </c:pt>
                <c:pt idx="1">
                  <c:v>8.0670053487773858E-3</c:v>
                </c:pt>
                <c:pt idx="2">
                  <c:v>1.1524297819131607E-2</c:v>
                </c:pt>
                <c:pt idx="3">
                  <c:v>1.6621585869164148E-2</c:v>
                </c:pt>
                <c:pt idx="4">
                  <c:v>2.0252521411922155E-2</c:v>
                </c:pt>
                <c:pt idx="5">
                  <c:v>1.9859275031754598E-2</c:v>
                </c:pt>
                <c:pt idx="6" formatCode="0.00%">
                  <c:v>1.9473664378140274E-2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F4-42F2-8E8C-5011B297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36848"/>
        <c:axId val="606232912"/>
      </c:lineChart>
      <c:catAx>
        <c:axId val="606236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5864"/>
        <c:crosses val="autoZero"/>
        <c:auto val="1"/>
        <c:lblAlgn val="ctr"/>
        <c:lblOffset val="100"/>
        <c:noMultiLvlLbl val="0"/>
      </c:catAx>
      <c:valAx>
        <c:axId val="606235864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Total Mobile</a:t>
                </a:r>
                <a:r>
                  <a:rPr lang="tr-TR" baseline="0"/>
                  <a:t> Phone Sales (in €m)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6520"/>
        <c:crosses val="autoZero"/>
        <c:crossBetween val="between"/>
        <c:majorUnit val="1000"/>
        <c:minorUnit val="500"/>
      </c:valAx>
      <c:valAx>
        <c:axId val="60623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Market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6848"/>
        <c:crosses val="max"/>
        <c:crossBetween val="between"/>
      </c:valAx>
      <c:catAx>
        <c:axId val="60623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62329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EBITDA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'P&amp;L Input'!$C$3:$I$3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2020E</c:v>
                </c:pt>
                <c:pt idx="3">
                  <c:v>2021E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</c:strCache>
            </c:strRef>
          </c:cat>
          <c:val>
            <c:numRef>
              <c:f>'P&amp;L Input'!$C$20:$I$20</c:f>
              <c:numCache>
                <c:formatCode>0.00</c:formatCode>
                <c:ptCount val="7"/>
                <c:pt idx="0">
                  <c:v>84.399999999999949</c:v>
                </c:pt>
                <c:pt idx="1">
                  <c:v>102.09999999999994</c:v>
                </c:pt>
                <c:pt idx="2">
                  <c:v>131.20943013768516</c:v>
                </c:pt>
                <c:pt idx="3">
                  <c:v>201.32985305625499</c:v>
                </c:pt>
                <c:pt idx="4">
                  <c:v>245.15472138424434</c:v>
                </c:pt>
                <c:pt idx="5">
                  <c:v>220.86236269202425</c:v>
                </c:pt>
                <c:pt idx="6">
                  <c:v>214.09480783005222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D-44EC-A951-D5430D62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437512"/>
        <c:axId val="594434560"/>
      </c:barChart>
      <c:lineChart>
        <c:grouping val="standard"/>
        <c:varyColors val="0"/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'P&amp;L Input'!$C$3:$I$3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2020E</c:v>
                </c:pt>
                <c:pt idx="3">
                  <c:v>2021E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</c:strCache>
            </c:strRef>
          </c:cat>
          <c:val>
            <c:numRef>
              <c:f>'P&amp;L Input'!$C$21:$I$21</c:f>
              <c:numCache>
                <c:formatCode>0.00%</c:formatCode>
                <c:ptCount val="7"/>
                <c:pt idx="0">
                  <c:v>9.8667290156651807E-2</c:v>
                </c:pt>
                <c:pt idx="1">
                  <c:v>0.11129278395465439</c:v>
                </c:pt>
                <c:pt idx="2">
                  <c:v>9.6359674278420057E-2</c:v>
                </c:pt>
                <c:pt idx="3">
                  <c:v>9.8706057143560372E-2</c:v>
                </c:pt>
                <c:pt idx="4">
                  <c:v>9.4699204267312723E-2</c:v>
                </c:pt>
                <c:pt idx="5">
                  <c:v>8.2783914690723603E-2</c:v>
                </c:pt>
                <c:pt idx="6">
                  <c:v>7.7865850484837573E-2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D-44EC-A951-D5430D62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42704"/>
        <c:axId val="316744344"/>
      </c:lineChart>
      <c:catAx>
        <c:axId val="59443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4560"/>
        <c:crosses val="autoZero"/>
        <c:auto val="1"/>
        <c:lblAlgn val="ctr"/>
        <c:lblOffset val="100"/>
        <c:noMultiLvlLbl val="0"/>
      </c:catAx>
      <c:valAx>
        <c:axId val="594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EBITDA</a:t>
                </a:r>
                <a:r>
                  <a:rPr lang="tr-TR" baseline="0"/>
                  <a:t> (in €m)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7512"/>
        <c:crosses val="autoZero"/>
        <c:crossBetween val="between"/>
        <c:majorUnit val="200"/>
      </c:valAx>
      <c:valAx>
        <c:axId val="316744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EBITDA</a:t>
                </a:r>
                <a:r>
                  <a:rPr lang="tr-TR" baseline="0"/>
                  <a:t>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42704"/>
        <c:crosses val="max"/>
        <c:crossBetween val="between"/>
      </c:valAx>
      <c:catAx>
        <c:axId val="31674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744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</a:t>
            </a:r>
            <a:r>
              <a:rPr lang="tr-TR" b="1">
                <a:solidFill>
                  <a:srgbClr val="002060"/>
                </a:solidFill>
              </a:rPr>
              <a:t>Profit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GP'!$B$4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GP'!$C$3:$K$3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2020E</c:v>
                </c:pt>
                <c:pt idx="3">
                  <c:v>2021E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</c:strCache>
            </c:strRef>
          </c:cat>
          <c:val>
            <c:numRef>
              <c:f>'Revenue &amp; GP'!$C$4:$K$4</c:f>
              <c:numCache>
                <c:formatCode>_(* #,##0_);_(* \(#,##0\);_(* "-"?_);@_)</c:formatCode>
                <c:ptCount val="7"/>
                <c:pt idx="0">
                  <c:v>855.4</c:v>
                </c:pt>
                <c:pt idx="1">
                  <c:v>917.4</c:v>
                </c:pt>
                <c:pt idx="2">
                  <c:v>1361.6632800000007</c:v>
                </c:pt>
                <c:pt idx="3">
                  <c:v>2039.6909661120005</c:v>
                </c:pt>
                <c:pt idx="4">
                  <c:v>2588.7727703839246</c:v>
                </c:pt>
                <c:pt idx="5">
                  <c:v>2667.9381316666954</c:v>
                </c:pt>
                <c:pt idx="6">
                  <c:v>2749.5340575743385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GP'!$B$5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GP'!$C$3:$K$3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2020E</c:v>
                </c:pt>
                <c:pt idx="3">
                  <c:v>2021E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</c:strCache>
            </c:strRef>
          </c:cat>
          <c:val>
            <c:numRef>
              <c:f>'Revenue &amp; GP'!$C$5:$K$5</c:f>
              <c:numCache>
                <c:formatCode>_(* #,##0_);_(* \(#,##0\);_(* "-"?_);@_)</c:formatCode>
                <c:ptCount val="7"/>
                <c:pt idx="0">
                  <c:v>279.59999999998911</c:v>
                </c:pt>
                <c:pt idx="1">
                  <c:v>307.20000000000141</c:v>
                </c:pt>
                <c:pt idx="2">
                  <c:v>433.52672400000012</c:v>
                </c:pt>
                <c:pt idx="3">
                  <c:v>650.19973203359996</c:v>
                </c:pt>
                <c:pt idx="4">
                  <c:v>825.64998637539725</c:v>
                </c:pt>
                <c:pt idx="5">
                  <c:v>850.87994304908682</c:v>
                </c:pt>
                <c:pt idx="6">
                  <c:v>876.88377562856192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GP'!$C$3:$K$3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2020E</c:v>
                </c:pt>
                <c:pt idx="3">
                  <c:v>2021E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</c:strCache>
            </c:strRef>
          </c:cat>
          <c:val>
            <c:numRef>
              <c:f>'Revenue &amp; GP'!$C$6:$K$6</c:f>
              <c:numCache>
                <c:formatCode>0.00%</c:formatCode>
                <c:ptCount val="7"/>
                <c:pt idx="0">
                  <c:v>0.32686462473695244</c:v>
                </c:pt>
                <c:pt idx="1">
                  <c:v>0.33485938521909897</c:v>
                </c:pt>
                <c:pt idx="2">
                  <c:v>0.31838027092865417</c:v>
                </c:pt>
                <c:pt idx="3">
                  <c:v>0.31877364896751575</c:v>
                </c:pt>
                <c:pt idx="4">
                  <c:v>0.31893490066837743</c:v>
                </c:pt>
                <c:pt idx="5">
                  <c:v>0.31892791401333248</c:v>
                </c:pt>
                <c:pt idx="6">
                  <c:v>0.31892086341427461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tr-TR"/>
                  <a:t>€</a:t>
                </a:r>
                <a:r>
                  <a:rPr lang="en-US"/>
                  <a:t>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121920</xdr:rowOff>
    </xdr:from>
    <xdr:to>
      <xdr:col>11</xdr:col>
      <xdr:colOff>0</xdr:colOff>
      <xdr:row>23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49274F-9A2D-4CA6-813A-665CAA3F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0</xdr:row>
      <xdr:rowOff>160020</xdr:rowOff>
    </xdr:from>
    <xdr:to>
      <xdr:col>22</xdr:col>
      <xdr:colOff>601980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AEC98-165F-4B81-BD16-F09F6D742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441961</xdr:colOff>
      <xdr:row>19</xdr:row>
      <xdr:rowOff>99060</xdr:rowOff>
    </xdr:from>
    <xdr:ext cx="127254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D8C081-621D-4358-BF93-D5A4529B91DD}"/>
            </a:ext>
          </a:extLst>
        </xdr:cNvPr>
        <xdr:cNvSpPr txBox="1"/>
      </xdr:nvSpPr>
      <xdr:spPr>
        <a:xfrm>
          <a:off x="1920241" y="3147060"/>
          <a:ext cx="127254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800"/>
            <a:t>*Scenarios</a:t>
          </a:r>
          <a:r>
            <a:rPr lang="tr-TR" sz="800" baseline="0"/>
            <a:t> derived based on our historical gross profits</a:t>
          </a:r>
          <a:endParaRPr lang="en-US" sz="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14</xdr:row>
      <xdr:rowOff>99060</xdr:rowOff>
    </xdr:from>
    <xdr:to>
      <xdr:col>5</xdr:col>
      <xdr:colOff>1714500</xdr:colOff>
      <xdr:row>19</xdr:row>
      <xdr:rowOff>140251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B127B-1CCC-4B74-B572-F98D6DE6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506980"/>
          <a:ext cx="6858000" cy="765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19</xdr:row>
      <xdr:rowOff>81248</xdr:rowOff>
    </xdr:from>
    <xdr:to>
      <xdr:col>5</xdr:col>
      <xdr:colOff>53340</xdr:colOff>
      <xdr:row>28</xdr:row>
      <xdr:rowOff>60959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3DEABB-51C5-410D-9317-B99947F2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43548"/>
          <a:ext cx="5143500" cy="1282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4" sqref="C4"/>
    </sheetView>
  </sheetViews>
  <sheetFormatPr defaultColWidth="9.109375" defaultRowHeight="11.4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>
      <c r="A1" s="1"/>
      <c r="B1" s="2" t="s">
        <v>8</v>
      </c>
    </row>
    <row r="3" spans="1:6" ht="13.2">
      <c r="B3" s="8" t="s">
        <v>9</v>
      </c>
      <c r="C3" s="11">
        <v>3</v>
      </c>
      <c r="E3" s="4"/>
      <c r="F3" s="4"/>
    </row>
    <row r="4" spans="1:6" ht="13.2">
      <c r="B4" s="8" t="s">
        <v>57</v>
      </c>
      <c r="C4" s="59" t="s">
        <v>58</v>
      </c>
      <c r="E4" s="4"/>
      <c r="F4" s="4"/>
    </row>
    <row r="5" spans="1:6">
      <c r="B5" s="8" t="s">
        <v>40</v>
      </c>
      <c r="C5" s="51" t="s">
        <v>59</v>
      </c>
    </row>
    <row r="6" spans="1:6">
      <c r="B6" s="8" t="s">
        <v>41</v>
      </c>
      <c r="C6" s="51" t="s">
        <v>69</v>
      </c>
    </row>
    <row r="7" spans="1:6">
      <c r="B7" s="8" t="s">
        <v>60</v>
      </c>
      <c r="C7" s="52">
        <v>2.81E-3</v>
      </c>
    </row>
    <row r="8" spans="1:6">
      <c r="B8" s="8" t="s">
        <v>62</v>
      </c>
      <c r="C8" s="52">
        <f>(2.8)^(1/15)-1-0.0028</f>
        <v>6.8251947986871203E-2</v>
      </c>
    </row>
    <row r="9" spans="1:6">
      <c r="B9" s="8" t="s">
        <v>179</v>
      </c>
      <c r="C9" s="70">
        <f>C10*(1+(DCF!N13/DCF!N14)*(1-Information!C12))</f>
        <v>1.4213</v>
      </c>
    </row>
    <row r="10" spans="1:6">
      <c r="B10" s="102" t="s">
        <v>180</v>
      </c>
      <c r="C10" s="204">
        <f>(0.97+1.28+0.94+0.47)/4</f>
        <v>0.91500000000000004</v>
      </c>
    </row>
    <row r="11" spans="1:6">
      <c r="B11" s="17" t="s">
        <v>61</v>
      </c>
      <c r="C11" s="20">
        <v>6.5000000000000002E-2</v>
      </c>
    </row>
    <row r="12" spans="1:6">
      <c r="B12" s="8" t="s">
        <v>17</v>
      </c>
      <c r="C12" s="21">
        <v>0.22</v>
      </c>
    </row>
    <row r="13" spans="1:6">
      <c r="B13" s="8" t="s">
        <v>34</v>
      </c>
      <c r="C13" s="21">
        <v>1.9E-2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I29"/>
  <sheetViews>
    <sheetView workbookViewId="0">
      <selection activeCell="K12" sqref="K12"/>
    </sheetView>
  </sheetViews>
  <sheetFormatPr defaultColWidth="9.109375" defaultRowHeight="11.4" outlineLevelCol="1"/>
  <cols>
    <col min="1" max="1" width="2" style="8" customWidth="1"/>
    <col min="2" max="2" width="19.5546875" style="8" customWidth="1"/>
    <col min="3" max="3" width="11.33203125" style="8" bestFit="1" customWidth="1"/>
    <col min="4" max="4" width="12.109375" style="8" customWidth="1"/>
    <col min="5" max="5" width="9.109375" style="8"/>
    <col min="6" max="6" width="11.44140625" style="8" bestFit="1" customWidth="1"/>
    <col min="7" max="8" width="10.33203125" style="8" customWidth="1" outlineLevel="1"/>
    <col min="9" max="9" width="10.33203125" style="8" bestFit="1" customWidth="1"/>
    <col min="10" max="16384" width="9.109375" style="8"/>
  </cols>
  <sheetData>
    <row r="1" spans="1:9" ht="15.6">
      <c r="A1" s="1"/>
      <c r="B1" s="2" t="s">
        <v>11</v>
      </c>
    </row>
    <row r="2" spans="1:9" ht="15.6">
      <c r="A2" s="1"/>
      <c r="B2" s="2"/>
    </row>
    <row r="4" spans="1:9" ht="12">
      <c r="B4" s="23" t="s">
        <v>155</v>
      </c>
      <c r="C4" s="6">
        <v>2018</v>
      </c>
      <c r="D4" s="6">
        <v>2019</v>
      </c>
      <c r="E4" s="50" t="s">
        <v>97</v>
      </c>
      <c r="F4" s="50" t="s">
        <v>98</v>
      </c>
      <c r="G4" s="50" t="s">
        <v>99</v>
      </c>
      <c r="H4" s="50" t="s">
        <v>100</v>
      </c>
      <c r="I4" s="50" t="s">
        <v>101</v>
      </c>
    </row>
    <row r="5" spans="1:9">
      <c r="B5" s="8" t="s">
        <v>201</v>
      </c>
      <c r="C5" s="42">
        <f>C11*('Revenue mobile phones'!C5*'Revenue mobile phones'!C8)</f>
        <v>171385.6687482461</v>
      </c>
      <c r="D5" s="42">
        <f>D11*('Revenue mobile phones'!D5*'Revenue mobile phones'!D8)</f>
        <v>262911.26120644348</v>
      </c>
      <c r="E5" s="43">
        <f>E11*('Revenue mobile phones'!E5*'Revenue mobile phones'!E8)</f>
        <v>378200.69999999978</v>
      </c>
      <c r="F5" s="43">
        <f>F11*('Revenue mobile phones'!F5*'Revenue mobile phones'!F8)</f>
        <v>578647.07099999965</v>
      </c>
      <c r="G5" s="43">
        <f>G11*('Revenue mobile phones'!G5*'Revenue mobile phones'!G8)</f>
        <v>740726.11558709946</v>
      </c>
      <c r="H5" s="43">
        <f>H11*('Revenue mobile phones'!H5*'Revenue mobile phones'!H8)</f>
        <v>763096.04427782982</v>
      </c>
      <c r="I5" s="43">
        <f>I11*('Revenue mobile phones'!I5*'Revenue mobile phones'!I8)</f>
        <v>786141.54481502017</v>
      </c>
    </row>
    <row r="6" spans="1:9">
      <c r="B6" s="8" t="s">
        <v>153</v>
      </c>
      <c r="C6" s="42">
        <f>C12*('Revenue mobile phones'!C6*'Revenue mobile phones'!C9)</f>
        <v>32047.427241719295</v>
      </c>
      <c r="D6" s="42">
        <f>D12*('Revenue mobile phones'!D6*'Revenue mobile phones'!D9)</f>
        <v>18578.738793557601</v>
      </c>
      <c r="E6" s="43">
        <f>E12*('Revenue mobile phones'!E6*'Revenue mobile phones'!E9)</f>
        <v>28577.340000000004</v>
      </c>
      <c r="F6" s="43">
        <f>F12*('Revenue mobile phones'!F6*'Revenue mobile phones'!F9)</f>
        <v>43723.330200000011</v>
      </c>
      <c r="G6" s="43">
        <f>G12*('Revenue mobile phones'!G6*'Revenue mobile phones'!G9)</f>
        <v>55970.234989019998</v>
      </c>
      <c r="H6" s="43">
        <f>H12*('Revenue mobile phones'!H6*'Revenue mobile phones'!H9)</f>
        <v>57660.536085688414</v>
      </c>
      <c r="I6" s="43">
        <f>I12*('Revenue mobile phones'!I6*'Revenue mobile phones'!I9)</f>
        <v>59401.884275476208</v>
      </c>
    </row>
    <row r="7" spans="1:9">
      <c r="B7" s="8" t="s">
        <v>154</v>
      </c>
      <c r="C7" s="42">
        <f>C13*('Revenue mobile phones'!C7*'Revenue mobile phones'!C10)</f>
        <v>76166.904010023718</v>
      </c>
      <c r="D7" s="42">
        <f>D13*('Revenue mobile phones'!D7*'Revenue mobile phones'!D10)</f>
        <v>25710.000000000306</v>
      </c>
      <c r="E7" s="43">
        <f>E13*('Revenue mobile phones'!E7*'Revenue mobile phones'!E10)</f>
        <v>26748.684000000321</v>
      </c>
      <c r="F7" s="43">
        <f>F13*('Revenue mobile phones'!F7*'Revenue mobile phones'!F10)</f>
        <v>27829.330833600336</v>
      </c>
      <c r="G7" s="43">
        <f>G13*('Revenue mobile phones'!G7*'Revenue mobile phones'!G10)</f>
        <v>28953.635799277788</v>
      </c>
      <c r="H7" s="43">
        <f>H13*('Revenue mobile phones'!H7*'Revenue mobile phones'!H10)</f>
        <v>30123.362685568609</v>
      </c>
      <c r="I7" s="43">
        <f>I13*('Revenue mobile phones'!I7*'Revenue mobile phones'!I10)</f>
        <v>31340.346538065583</v>
      </c>
    </row>
    <row r="8" spans="1:9" ht="12.6" thickBot="1">
      <c r="B8" s="60" t="s">
        <v>4</v>
      </c>
      <c r="C8" s="61">
        <f t="shared" ref="C8:I8" si="0">SUM(C5:C7)</f>
        <v>279599.99999998912</v>
      </c>
      <c r="D8" s="61">
        <f t="shared" si="0"/>
        <v>307200.0000000014</v>
      </c>
      <c r="E8" s="61">
        <f t="shared" si="0"/>
        <v>433526.7240000001</v>
      </c>
      <c r="F8" s="61">
        <f t="shared" si="0"/>
        <v>650199.73203359998</v>
      </c>
      <c r="G8" s="61">
        <f t="shared" si="0"/>
        <v>825649.9863753973</v>
      </c>
      <c r="H8" s="61">
        <f t="shared" si="0"/>
        <v>850879.94304908684</v>
      </c>
      <c r="I8" s="61">
        <f t="shared" si="0"/>
        <v>876883.77562856197</v>
      </c>
    </row>
    <row r="10" spans="1:9">
      <c r="B10" s="44" t="s">
        <v>9</v>
      </c>
      <c r="C10" s="45"/>
      <c r="D10" s="45"/>
      <c r="E10" s="45"/>
      <c r="F10" s="45"/>
      <c r="G10" s="45"/>
      <c r="H10" s="45"/>
      <c r="I10" s="45"/>
    </row>
    <row r="11" spans="1:9">
      <c r="B11" s="45" t="s">
        <v>152</v>
      </c>
      <c r="C11" s="135">
        <v>0.51373676956723224</v>
      </c>
      <c r="D11" s="135">
        <v>0.50520995619993014</v>
      </c>
      <c r="E11" s="47">
        <f>CHOOSE(Information!$C$3,GP!E16,GP!E21,GP!E26)</f>
        <v>0.47499999999999998</v>
      </c>
      <c r="F11" s="47">
        <f>CHOOSE(Information!$C$3,GP!F16,GP!F21,GP!F26)</f>
        <v>0.47499999999999998</v>
      </c>
      <c r="G11" s="47">
        <f>CHOOSE(Information!$C$3,GP!G16,GP!G21,GP!G26)</f>
        <v>0.47499999999999998</v>
      </c>
      <c r="H11" s="47">
        <f>CHOOSE(Information!$C$3,GP!H16,GP!H21,GP!H26)</f>
        <v>0.47499999999999998</v>
      </c>
      <c r="I11" s="47">
        <f>CHOOSE(Information!$C$3,GP!I16,GP!I21,GP!I26)</f>
        <v>0.47499999999999998</v>
      </c>
    </row>
    <row r="12" spans="1:9" ht="12" customHeight="1">
      <c r="B12" s="45" t="s">
        <v>153</v>
      </c>
      <c r="C12" s="135">
        <v>8.5147371888003739E-2</v>
      </c>
      <c r="D12" s="135">
        <v>5.9681139715893353E-2</v>
      </c>
      <c r="E12" s="47">
        <f>CHOOSE(Information!$C$3,GP!E17,GP!E22,GP!E27)</f>
        <v>0.06</v>
      </c>
      <c r="F12" s="47">
        <f>CHOOSE(Information!$C$3,GP!F17,GP!F22,GP!F27)</f>
        <v>0.06</v>
      </c>
      <c r="G12" s="47">
        <f>CHOOSE(Information!$C$3,GP!G17,GP!G22,GP!G27)</f>
        <v>0.06</v>
      </c>
      <c r="H12" s="47">
        <f>CHOOSE(Information!$C$3,GP!H17,GP!H22,GP!H27)</f>
        <v>0.06</v>
      </c>
      <c r="I12" s="47">
        <f>CHOOSE(Information!$C$3,GP!I17,GP!I22,GP!I27)</f>
        <v>0.06</v>
      </c>
    </row>
    <row r="13" spans="1:9">
      <c r="B13" s="45" t="s">
        <v>154</v>
      </c>
      <c r="C13" s="135">
        <v>0.52377906455888357</v>
      </c>
      <c r="D13" s="135">
        <v>0.3</v>
      </c>
      <c r="E13" s="47">
        <f>CHOOSE(Information!$C$3,GP!E18,GP!E23,GP!E28)</f>
        <v>0.3</v>
      </c>
      <c r="F13" s="47">
        <f>CHOOSE(Information!$C$3,GP!F18,GP!F23,GP!F28)</f>
        <v>0.3</v>
      </c>
      <c r="G13" s="47">
        <f>CHOOSE(Information!$C$3,GP!G18,GP!G23,GP!G28)</f>
        <v>0.3</v>
      </c>
      <c r="H13" s="47">
        <f>CHOOSE(Information!$C$3,GP!H18,GP!H23,GP!H28)</f>
        <v>0.3</v>
      </c>
      <c r="I13" s="47">
        <f>CHOOSE(Information!$C$3,GP!I18,GP!I23,GP!I28)</f>
        <v>0.3</v>
      </c>
    </row>
    <row r="14" spans="1:9">
      <c r="B14" s="45"/>
      <c r="C14" s="48"/>
      <c r="D14" s="136" t="s">
        <v>157</v>
      </c>
      <c r="E14" s="48"/>
      <c r="F14" s="48"/>
      <c r="G14" s="48"/>
      <c r="H14" s="46"/>
      <c r="I14" s="46"/>
    </row>
    <row r="15" spans="1:9">
      <c r="B15" s="44" t="s">
        <v>5</v>
      </c>
      <c r="C15" s="45"/>
      <c r="D15" s="45"/>
      <c r="E15" s="45"/>
      <c r="F15" s="45"/>
      <c r="G15" s="45"/>
      <c r="H15" s="45"/>
      <c r="I15" s="45"/>
    </row>
    <row r="16" spans="1:9">
      <c r="B16" s="45" t="s">
        <v>152</v>
      </c>
      <c r="C16" s="47"/>
      <c r="D16" s="139"/>
      <c r="E16" s="47">
        <f>E21+3%</f>
        <v>0.54</v>
      </c>
      <c r="F16" s="47">
        <f>F21+3%</f>
        <v>0.54</v>
      </c>
      <c r="G16" s="47">
        <f>G21+3%</f>
        <v>0.54</v>
      </c>
      <c r="H16" s="47">
        <f>H21+3%</f>
        <v>0.54</v>
      </c>
      <c r="I16" s="47">
        <f>I21+3%</f>
        <v>0.54</v>
      </c>
    </row>
    <row r="17" spans="2:9">
      <c r="B17" s="45" t="s">
        <v>153</v>
      </c>
      <c r="C17" s="47"/>
      <c r="D17" s="47"/>
      <c r="E17" s="47">
        <f>E22+1.5%</f>
        <v>0.09</v>
      </c>
      <c r="F17" s="47">
        <f>F22+1.5%</f>
        <v>0.09</v>
      </c>
      <c r="G17" s="47">
        <f>G22+1.5%</f>
        <v>0.09</v>
      </c>
      <c r="H17" s="47">
        <f>H22+1.5%</f>
        <v>0.09</v>
      </c>
      <c r="I17" s="47">
        <f>I22+1.5%</f>
        <v>0.09</v>
      </c>
    </row>
    <row r="18" spans="2:9">
      <c r="B18" s="45" t="s">
        <v>154</v>
      </c>
      <c r="C18" s="47"/>
      <c r="D18" s="47"/>
      <c r="E18" s="47">
        <f>E23+11%</f>
        <v>0.52</v>
      </c>
      <c r="F18" s="47">
        <f>F23+11%</f>
        <v>0.52</v>
      </c>
      <c r="G18" s="47">
        <f>G23+11%</f>
        <v>0.52</v>
      </c>
      <c r="H18" s="47">
        <f>H23+11%</f>
        <v>0.52</v>
      </c>
      <c r="I18" s="47">
        <f>I23+11%</f>
        <v>0.52</v>
      </c>
    </row>
    <row r="19" spans="2:9">
      <c r="B19" s="45"/>
      <c r="C19" s="48"/>
      <c r="D19" s="48"/>
      <c r="E19" s="48"/>
      <c r="F19" s="48"/>
      <c r="G19" s="48"/>
      <c r="H19" s="46"/>
      <c r="I19" s="46"/>
    </row>
    <row r="20" spans="2:9">
      <c r="B20" s="44" t="s">
        <v>6</v>
      </c>
      <c r="C20" s="45"/>
      <c r="D20" s="45"/>
      <c r="E20" s="45"/>
      <c r="F20" s="45"/>
      <c r="G20" s="45"/>
      <c r="H20" s="45"/>
      <c r="I20" s="45"/>
    </row>
    <row r="21" spans="2:9">
      <c r="B21" s="45" t="s">
        <v>152</v>
      </c>
      <c r="C21" s="47"/>
      <c r="D21" s="47"/>
      <c r="E21" s="140">
        <f>'GP%'!$H6</f>
        <v>0.51</v>
      </c>
      <c r="F21" s="140">
        <f>'GP%'!$H6</f>
        <v>0.51</v>
      </c>
      <c r="G21" s="140">
        <f>'GP%'!$H6</f>
        <v>0.51</v>
      </c>
      <c r="H21" s="140">
        <f>'GP%'!$H6</f>
        <v>0.51</v>
      </c>
      <c r="I21" s="140">
        <f>'GP%'!$H6</f>
        <v>0.51</v>
      </c>
    </row>
    <row r="22" spans="2:9">
      <c r="B22" s="45" t="s">
        <v>153</v>
      </c>
      <c r="C22" s="47"/>
      <c r="D22" s="47"/>
      <c r="E22" s="138">
        <f>'GP%'!$H7</f>
        <v>7.4999999999999997E-2</v>
      </c>
      <c r="F22" s="138">
        <f>'GP%'!$H7</f>
        <v>7.4999999999999997E-2</v>
      </c>
      <c r="G22" s="138">
        <f>'GP%'!$H7</f>
        <v>7.4999999999999997E-2</v>
      </c>
      <c r="H22" s="138">
        <f>'GP%'!$H7</f>
        <v>7.4999999999999997E-2</v>
      </c>
      <c r="I22" s="138">
        <f>'GP%'!$H7</f>
        <v>7.4999999999999997E-2</v>
      </c>
    </row>
    <row r="23" spans="2:9">
      <c r="B23" s="45" t="s">
        <v>154</v>
      </c>
      <c r="C23" s="47"/>
      <c r="D23" s="47"/>
      <c r="E23" s="140">
        <f>'GP%'!$H8</f>
        <v>0.41</v>
      </c>
      <c r="F23" s="140">
        <f>'GP%'!$H8</f>
        <v>0.41</v>
      </c>
      <c r="G23" s="140">
        <f>'GP%'!$H8</f>
        <v>0.41</v>
      </c>
      <c r="H23" s="140">
        <f>'GP%'!$H8</f>
        <v>0.41</v>
      </c>
      <c r="I23" s="140">
        <f>'GP%'!$H8</f>
        <v>0.41</v>
      </c>
    </row>
    <row r="24" spans="2:9">
      <c r="B24" s="45"/>
      <c r="C24" s="48"/>
      <c r="D24" s="48"/>
      <c r="E24" s="48"/>
      <c r="F24" s="48"/>
      <c r="G24" s="48"/>
      <c r="H24" s="46"/>
      <c r="I24" s="46"/>
    </row>
    <row r="25" spans="2:9">
      <c r="B25" s="44" t="s">
        <v>7</v>
      </c>
      <c r="C25" s="45"/>
      <c r="D25" s="45"/>
      <c r="E25" s="45"/>
      <c r="F25" s="45"/>
      <c r="G25" s="45"/>
      <c r="H25" s="45"/>
      <c r="I25" s="45"/>
    </row>
    <row r="26" spans="2:9">
      <c r="B26" s="45" t="s">
        <v>152</v>
      </c>
      <c r="C26" s="47"/>
      <c r="D26" s="47"/>
      <c r="E26" s="47">
        <f>E21-3.5%</f>
        <v>0.47499999999999998</v>
      </c>
      <c r="F26" s="47">
        <f>F21-3.5%</f>
        <v>0.47499999999999998</v>
      </c>
      <c r="G26" s="47">
        <f>G21-3.5%</f>
        <v>0.47499999999999998</v>
      </c>
      <c r="H26" s="47">
        <f>H21-3.5%</f>
        <v>0.47499999999999998</v>
      </c>
      <c r="I26" s="47">
        <f>I21-3.5%</f>
        <v>0.47499999999999998</v>
      </c>
    </row>
    <row r="27" spans="2:9">
      <c r="B27" s="45" t="s">
        <v>153</v>
      </c>
      <c r="C27" s="47"/>
      <c r="D27" s="47"/>
      <c r="E27" s="47">
        <f>E22-1.5%</f>
        <v>0.06</v>
      </c>
      <c r="F27" s="47">
        <f>F22-1.5%</f>
        <v>0.06</v>
      </c>
      <c r="G27" s="47">
        <f>G22-1.5%</f>
        <v>0.06</v>
      </c>
      <c r="H27" s="47">
        <f>H22-1.5%</f>
        <v>0.06</v>
      </c>
      <c r="I27" s="47">
        <f>I22-1.5%</f>
        <v>0.06</v>
      </c>
    </row>
    <row r="28" spans="2:9">
      <c r="B28" s="45" t="s">
        <v>154</v>
      </c>
      <c r="C28" s="47"/>
      <c r="D28" s="47"/>
      <c r="E28" s="47">
        <f>E23-11%</f>
        <v>0.3</v>
      </c>
      <c r="F28" s="47">
        <f>F23-11%</f>
        <v>0.3</v>
      </c>
      <c r="G28" s="47">
        <f>G23-11%</f>
        <v>0.3</v>
      </c>
      <c r="H28" s="47">
        <f>H23-11%</f>
        <v>0.3</v>
      </c>
      <c r="I28" s="47">
        <f>I23-11%</f>
        <v>0.3</v>
      </c>
    </row>
    <row r="29" spans="2:9">
      <c r="B29" s="45"/>
      <c r="C29" s="48"/>
      <c r="D29" s="45"/>
      <c r="E29" s="45"/>
      <c r="F29" s="48"/>
      <c r="G29" s="48"/>
      <c r="H29" s="46"/>
      <c r="I29" s="46"/>
    </row>
  </sheetData>
  <pageMargins left="0.7" right="0.7" top="0.75" bottom="0.75" header="0.3" footer="0.3"/>
  <pageSetup orientation="portrait" r:id="rId1"/>
  <ignoredErrors>
    <ignoredError sqref="E17:I17 F27:I27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I7"/>
  <sheetViews>
    <sheetView workbookViewId="0">
      <selection activeCell="B3" sqref="B3"/>
    </sheetView>
  </sheetViews>
  <sheetFormatPr defaultColWidth="9.109375" defaultRowHeight="11.4" outlineLevelCol="1"/>
  <cols>
    <col min="1" max="1" width="2" style="8" customWidth="1"/>
    <col min="2" max="2" width="15.109375" style="8" customWidth="1"/>
    <col min="3" max="4" width="11.33203125" style="8" bestFit="1" customWidth="1"/>
    <col min="5" max="5" width="9.5546875" style="8" bestFit="1" customWidth="1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9" ht="15.6">
      <c r="A1" s="1"/>
      <c r="B1" s="2" t="s">
        <v>156</v>
      </c>
    </row>
    <row r="2" spans="1:9" ht="15.6">
      <c r="A2" s="1"/>
      <c r="B2" s="2"/>
    </row>
    <row r="3" spans="1:9" ht="12">
      <c r="B3" s="23" t="s">
        <v>151</v>
      </c>
      <c r="C3" s="6">
        <v>2018</v>
      </c>
      <c r="D3" s="6">
        <v>2019</v>
      </c>
      <c r="E3" s="50" t="s">
        <v>97</v>
      </c>
      <c r="F3" s="50" t="s">
        <v>98</v>
      </c>
      <c r="G3" s="50" t="s">
        <v>99</v>
      </c>
      <c r="H3" s="50" t="s">
        <v>100</v>
      </c>
      <c r="I3" s="50" t="s">
        <v>101</v>
      </c>
    </row>
    <row r="4" spans="1:9">
      <c r="B4" s="8" t="s">
        <v>201</v>
      </c>
      <c r="C4" s="40">
        <f>('Revenue mobile phones'!C5*'Revenue mobile phones'!C8)-GP!C5</f>
        <v>162220.33125175396</v>
      </c>
      <c r="D4" s="40">
        <f>('Revenue mobile phones'!D5*'Revenue mobile phones'!D8)-GP!D5</f>
        <v>257488.73879355623</v>
      </c>
      <c r="E4" s="43">
        <f>('Revenue mobile phones'!E5*'Revenue mobile phones'!E8)-GP!E5</f>
        <v>418011.29999999976</v>
      </c>
      <c r="F4" s="43">
        <f>('Revenue mobile phones'!F5*'Revenue mobile phones'!F8)-GP!F5</f>
        <v>639557.28899999976</v>
      </c>
      <c r="G4" s="43">
        <f>('Revenue mobile phones'!G5*'Revenue mobile phones'!G8)-GP!G5</f>
        <v>818697.28564889939</v>
      </c>
      <c r="H4" s="43">
        <f>('Revenue mobile phones'!H5*'Revenue mobile phones'!H8)-GP!H5</f>
        <v>843421.94367549615</v>
      </c>
      <c r="I4" s="43">
        <f>('Revenue mobile phones'!I5*'Revenue mobile phones'!I8)-GP!I5</f>
        <v>868893.28637449606</v>
      </c>
    </row>
    <row r="5" spans="1:9">
      <c r="B5" s="8" t="s">
        <v>153</v>
      </c>
      <c r="C5" s="40">
        <f>('Revenue mobile phones'!C6*'Revenue mobile phones'!C9)-GP!C6</f>
        <v>344328.57275828073</v>
      </c>
      <c r="D5" s="40">
        <f>('Revenue mobile phones'!D6*'Revenue mobile phones'!D9)-GP!D6</f>
        <v>292721.26120644237</v>
      </c>
      <c r="E5" s="43">
        <f>('Revenue mobile phones'!E6*'Revenue mobile phones'!E9)-GP!E6</f>
        <v>447711.66000000003</v>
      </c>
      <c r="F5" s="43">
        <f>('Revenue mobile phones'!F6*'Revenue mobile phones'!F9)-GP!F6</f>
        <v>684998.83980000019</v>
      </c>
      <c r="G5" s="43">
        <f>('Revenue mobile phones'!G6*'Revenue mobile phones'!G9)-GP!G6</f>
        <v>876867.01482797996</v>
      </c>
      <c r="H5" s="43">
        <f>('Revenue mobile phones'!H6*'Revenue mobile phones'!H9)-GP!H6</f>
        <v>903348.39867578517</v>
      </c>
      <c r="I5" s="43">
        <f>('Revenue mobile phones'!I6*'Revenue mobile phones'!I9)-GP!I6</f>
        <v>930629.52031579392</v>
      </c>
    </row>
    <row r="6" spans="1:9">
      <c r="B6" s="8" t="s">
        <v>154</v>
      </c>
      <c r="C6" s="40">
        <f>('Revenue mobile phones'!C7*'Revenue mobile phones'!C10)-GP!C7</f>
        <v>69251.095989976253</v>
      </c>
      <c r="D6" s="40">
        <f>('Revenue mobile phones'!D7*'Revenue mobile phones'!D10)-GP!D7</f>
        <v>59990.000000000713</v>
      </c>
      <c r="E6" s="43">
        <f>('Revenue mobile phones'!E7*'Revenue mobile phones'!E10)-GP!E7</f>
        <v>62413.596000000754</v>
      </c>
      <c r="F6" s="43">
        <f>('Revenue mobile phones'!F7*'Revenue mobile phones'!F10)-GP!F7</f>
        <v>64935.105278400777</v>
      </c>
      <c r="G6" s="43">
        <f>('Revenue mobile phones'!G7*'Revenue mobile phones'!G10)-GP!G7</f>
        <v>67558.483531648177</v>
      </c>
      <c r="H6" s="43">
        <f>('Revenue mobile phones'!H7*'Revenue mobile phones'!H10)-GP!H7</f>
        <v>70287.846266326756</v>
      </c>
      <c r="I6" s="43">
        <f>('Revenue mobile phones'!I7*'Revenue mobile phones'!I10)-GP!I7</f>
        <v>73127.475255486366</v>
      </c>
    </row>
    <row r="7" spans="1:9" ht="12.6" thickBot="1">
      <c r="B7" s="60" t="s">
        <v>4</v>
      </c>
      <c r="C7" s="61">
        <f>-('Revenue mobile phones'!C11-GP!C8)</f>
        <v>-575800.00000001094</v>
      </c>
      <c r="D7" s="61">
        <f>-('Revenue mobile phones'!D11-GP!D8)</f>
        <v>-610199.99999999942</v>
      </c>
      <c r="E7" s="61">
        <f>-('Revenue mobile phones'!E11-GP!E8)</f>
        <v>-928136.55600000056</v>
      </c>
      <c r="F7" s="61">
        <f>-('Revenue mobile phones'!F11-GP!F8)</f>
        <v>-1389491.2340784008</v>
      </c>
      <c r="G7" s="61">
        <f>-('Revenue mobile phones'!G11-GP!G8)</f>
        <v>-1763122.7840085274</v>
      </c>
      <c r="H7" s="61">
        <f>-('Revenue mobile phones'!H11-GP!H8)</f>
        <v>-1817058.1886176085</v>
      </c>
      <c r="I7" s="61">
        <f>-('Revenue mobile phones'!I11-GP!I8)</f>
        <v>-1872650.2819457762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M10" sqref="M10"/>
    </sheetView>
  </sheetViews>
  <sheetFormatPr defaultColWidth="9.109375" defaultRowHeight="11.4" outlineLevelCol="1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>
      <c r="A1" s="1"/>
      <c r="B1" s="2" t="s">
        <v>161</v>
      </c>
    </row>
    <row r="2" spans="1:19" ht="15.6">
      <c r="A2" s="1"/>
      <c r="B2" s="2"/>
    </row>
    <row r="3" spans="1:19" ht="24">
      <c r="A3" s="1"/>
      <c r="B3" s="23" t="s">
        <v>37</v>
      </c>
      <c r="C3" s="6">
        <v>2018</v>
      </c>
      <c r="D3" s="6">
        <v>2019</v>
      </c>
      <c r="E3" s="50" t="s">
        <v>97</v>
      </c>
      <c r="F3" s="50" t="s">
        <v>98</v>
      </c>
      <c r="G3" s="50" t="s">
        <v>38</v>
      </c>
      <c r="H3" s="50" t="s">
        <v>39</v>
      </c>
      <c r="I3" s="50" t="s">
        <v>99</v>
      </c>
      <c r="J3" s="50" t="s">
        <v>100</v>
      </c>
      <c r="K3" s="50" t="s">
        <v>101</v>
      </c>
    </row>
    <row r="4" spans="1:19">
      <c r="B4" s="8" t="s">
        <v>160</v>
      </c>
      <c r="C4" s="42">
        <f>'P&amp;L Input'!C6</f>
        <v>855.4</v>
      </c>
      <c r="D4" s="42">
        <f>'P&amp;L Input'!D6</f>
        <v>917.4</v>
      </c>
      <c r="E4" s="43">
        <f>'P&amp;L Input'!E6</f>
        <v>1361.6632800000007</v>
      </c>
      <c r="F4" s="43">
        <f>'P&amp;L Input'!F6</f>
        <v>2039.6909661120005</v>
      </c>
      <c r="G4" s="43">
        <f>'P&amp;L Input'!G6</f>
        <v>2588.7727703839246</v>
      </c>
      <c r="H4" s="43">
        <f>'P&amp;L Input'!H6</f>
        <v>2667.9381316666954</v>
      </c>
      <c r="I4" s="43">
        <f>'P&amp;L Input'!G6</f>
        <v>2588.7727703839246</v>
      </c>
      <c r="J4" s="43">
        <f>'P&amp;L Input'!H6</f>
        <v>2667.9381316666954</v>
      </c>
      <c r="K4" s="43">
        <f>'P&amp;L Input'!I6</f>
        <v>2749.5340575743385</v>
      </c>
    </row>
    <row r="5" spans="1:19">
      <c r="B5" s="8" t="s">
        <v>11</v>
      </c>
      <c r="C5" s="42">
        <f>GP!C8/1000</f>
        <v>279.59999999998911</v>
      </c>
      <c r="D5" s="42">
        <f>GP!D8/1000</f>
        <v>307.20000000000141</v>
      </c>
      <c r="E5" s="43">
        <f>GP!E8/1000</f>
        <v>433.52672400000012</v>
      </c>
      <c r="F5" s="43">
        <f>GP!F8/1000</f>
        <v>650.19973203359996</v>
      </c>
      <c r="G5" s="43">
        <f>GP!G8/1000</f>
        <v>825.64998637539725</v>
      </c>
      <c r="H5" s="43">
        <f>GP!H8/1000</f>
        <v>850.87994304908682</v>
      </c>
      <c r="I5" s="43">
        <f>GP!G8/1000</f>
        <v>825.64998637539725</v>
      </c>
      <c r="J5" s="43">
        <f>GP!H8/1000</f>
        <v>850.87994304908682</v>
      </c>
      <c r="K5" s="43">
        <f>GP!I8/1000</f>
        <v>876.88377562856192</v>
      </c>
    </row>
    <row r="6" spans="1:19">
      <c r="B6" s="8" t="s">
        <v>49</v>
      </c>
      <c r="C6" s="149">
        <f t="shared" ref="C6:K6" si="0">C5/C4</f>
        <v>0.32686462473695244</v>
      </c>
      <c r="D6" s="149">
        <f t="shared" si="0"/>
        <v>0.33485938521909897</v>
      </c>
      <c r="E6" s="150">
        <f t="shared" si="0"/>
        <v>0.31838027092865417</v>
      </c>
      <c r="F6" s="150">
        <f t="shared" si="0"/>
        <v>0.31877364896751575</v>
      </c>
      <c r="G6" s="150">
        <f t="shared" si="0"/>
        <v>0.31893490066837743</v>
      </c>
      <c r="H6" s="150">
        <f t="shared" si="0"/>
        <v>0.31892791401333248</v>
      </c>
      <c r="I6" s="150">
        <f t="shared" si="0"/>
        <v>0.31893490066837743</v>
      </c>
      <c r="J6" s="150">
        <f t="shared" si="0"/>
        <v>0.31892791401333248</v>
      </c>
      <c r="K6" s="150">
        <f t="shared" si="0"/>
        <v>0.31892086341427461</v>
      </c>
    </row>
    <row r="7" spans="1:19">
      <c r="M7" s="21"/>
      <c r="N7" s="21"/>
      <c r="O7" s="21"/>
      <c r="P7" s="21"/>
      <c r="Q7" s="21"/>
      <c r="R7" s="21"/>
      <c r="S7" s="21"/>
    </row>
    <row r="8" spans="1:19">
      <c r="M8" s="21"/>
      <c r="N8" s="21"/>
      <c r="O8" s="21"/>
      <c r="P8" s="21"/>
      <c r="Q8" s="21"/>
      <c r="R8" s="21"/>
      <c r="S8" s="21"/>
    </row>
    <row r="9" spans="1:19">
      <c r="M9" s="21"/>
      <c r="N9" s="21"/>
      <c r="O9" s="21"/>
      <c r="P9" s="21"/>
      <c r="Q9" s="21"/>
      <c r="R9" s="21"/>
      <c r="S9" s="21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/>
  <cols>
    <col min="1" max="1" width="2" style="1" customWidth="1"/>
    <col min="2" max="16384" width="9.109375" style="1"/>
  </cols>
  <sheetData>
    <row r="14" spans="2:2" ht="50.4">
      <c r="B14" s="10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4"/>
  <sheetViews>
    <sheetView workbookViewId="0">
      <selection activeCell="D2" sqref="D2"/>
    </sheetView>
  </sheetViews>
  <sheetFormatPr defaultColWidth="9.109375" defaultRowHeight="11.4"/>
  <cols>
    <col min="1" max="1" width="2" style="8" customWidth="1"/>
    <col min="2" max="2" width="17.77734375" style="8" customWidth="1"/>
    <col min="3" max="3" width="33.33203125" style="8" customWidth="1"/>
    <col min="4" max="4" width="3.6640625" style="8" customWidth="1"/>
    <col min="5" max="5" width="18.5546875" style="8" customWidth="1"/>
    <col min="6" max="6" width="32.88671875" style="8" customWidth="1"/>
    <col min="7" max="7" width="2" style="8" customWidth="1"/>
    <col min="8" max="16384" width="9.109375" style="8"/>
  </cols>
  <sheetData>
    <row r="1" spans="1:6" ht="15.6">
      <c r="A1" s="1"/>
      <c r="B1" s="2" t="s">
        <v>52</v>
      </c>
    </row>
    <row r="2" spans="1:6" ht="15.6">
      <c r="A2" s="1"/>
      <c r="B2" s="2"/>
    </row>
    <row r="3" spans="1:6" ht="13.2">
      <c r="A3" s="1"/>
      <c r="B3" s="53"/>
    </row>
    <row r="5" spans="1:6">
      <c r="E5" s="22"/>
    </row>
    <row r="6" spans="1:6" ht="30.6" customHeight="1">
      <c r="B6" s="23" t="s">
        <v>168</v>
      </c>
      <c r="C6" s="39" t="s">
        <v>43</v>
      </c>
      <c r="E6" s="23" t="s">
        <v>169</v>
      </c>
      <c r="F6" s="39" t="s">
        <v>43</v>
      </c>
    </row>
    <row r="7" spans="1:6">
      <c r="B7" s="8" t="s">
        <v>134</v>
      </c>
      <c r="C7" s="132">
        <f>35425000/267683000</f>
        <v>0.13233937157010345</v>
      </c>
      <c r="E7" s="8" t="s">
        <v>134</v>
      </c>
      <c r="F7" s="132">
        <f>0.06</f>
        <v>0.06</v>
      </c>
    </row>
    <row r="8" spans="1:6">
      <c r="B8" s="8" t="s">
        <v>135</v>
      </c>
      <c r="C8" s="54">
        <f>0.1254</f>
        <v>0.12540000000000001</v>
      </c>
      <c r="E8" s="8" t="s">
        <v>135</v>
      </c>
      <c r="F8" s="181">
        <f>52290/243771</f>
        <v>0.21450459652706844</v>
      </c>
    </row>
    <row r="9" spans="1:6">
      <c r="B9" s="8" t="s">
        <v>136</v>
      </c>
      <c r="C9" s="54">
        <f>17289794/190975542</f>
        <v>9.0534074776968038E-2</v>
      </c>
      <c r="E9" s="8" t="s">
        <v>136</v>
      </c>
      <c r="F9" s="182">
        <f>(12+7.9)/175-0.025</f>
        <v>8.8714285714285718E-2</v>
      </c>
    </row>
    <row r="10" spans="1:6">
      <c r="B10" s="8" t="s">
        <v>137</v>
      </c>
      <c r="C10" s="54">
        <f>0.102</f>
        <v>0.10199999999999999</v>
      </c>
      <c r="E10" s="8" t="s">
        <v>137</v>
      </c>
      <c r="F10" s="54">
        <v>0.14599999999999999</v>
      </c>
    </row>
    <row r="11" spans="1:6" ht="12">
      <c r="B11" s="9" t="s">
        <v>43</v>
      </c>
      <c r="C11" s="151">
        <f ca="1">AVERAGE(C7:C11)</f>
        <v>0.11256836158676786</v>
      </c>
      <c r="E11" s="9" t="s">
        <v>43</v>
      </c>
      <c r="F11" s="151">
        <f>AVERAGE(F7:F10)</f>
        <v>0.12730472056033854</v>
      </c>
    </row>
    <row r="14" spans="1:6" ht="13.8">
      <c r="B14" s="283" t="s">
        <v>196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"/>
  <sheetViews>
    <sheetView zoomScaleNormal="100" workbookViewId="0">
      <selection activeCell="I27" sqref="I27"/>
    </sheetView>
  </sheetViews>
  <sheetFormatPr defaultColWidth="9.109375" defaultRowHeight="11.4" outlineLevelCol="1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9" width="9.77734375" style="8" customWidth="1"/>
    <col min="10" max="10" width="7.5546875" style="8" customWidth="1"/>
    <col min="11" max="11" width="30.6640625" style="8" customWidth="1"/>
    <col min="12" max="13" width="8.5546875" style="8" bestFit="1" customWidth="1"/>
    <col min="14" max="14" width="9.77734375" style="8" customWidth="1"/>
    <col min="15" max="15" width="10.44140625" style="8" bestFit="1" customWidth="1"/>
    <col min="16" max="16384" width="9.109375" style="8"/>
  </cols>
  <sheetData>
    <row r="1" spans="1:18" ht="15.6">
      <c r="A1" s="1"/>
      <c r="B1" s="2" t="s">
        <v>12</v>
      </c>
    </row>
    <row r="3" spans="1:18" ht="12.6" customHeight="1">
      <c r="B3" s="5" t="s">
        <v>162</v>
      </c>
      <c r="C3" s="6">
        <v>2018</v>
      </c>
      <c r="D3" s="6">
        <v>2019</v>
      </c>
      <c r="E3" s="50" t="s">
        <v>97</v>
      </c>
      <c r="F3" s="50" t="s">
        <v>98</v>
      </c>
      <c r="G3" s="50" t="s">
        <v>99</v>
      </c>
      <c r="H3" s="50" t="s">
        <v>100</v>
      </c>
      <c r="I3" s="50" t="s">
        <v>101</v>
      </c>
      <c r="K3" s="154" t="s">
        <v>162</v>
      </c>
      <c r="L3" s="171">
        <v>2018</v>
      </c>
      <c r="M3" s="171">
        <v>2019</v>
      </c>
      <c r="N3" s="190" t="s">
        <v>97</v>
      </c>
      <c r="O3" s="190" t="s">
        <v>98</v>
      </c>
      <c r="P3" s="190" t="s">
        <v>99</v>
      </c>
      <c r="Q3" s="190" t="s">
        <v>100</v>
      </c>
      <c r="R3" s="190" t="s">
        <v>101</v>
      </c>
    </row>
    <row r="4" spans="1:18">
      <c r="B4" s="7" t="s">
        <v>15</v>
      </c>
      <c r="C4" s="155">
        <f>'P&amp;L Input'!C6</f>
        <v>855.4</v>
      </c>
      <c r="D4" s="155">
        <f>'P&amp;L Input'!D6</f>
        <v>917.4</v>
      </c>
      <c r="E4" s="156">
        <f>'P&amp;L Input'!E6</f>
        <v>1361.6632800000007</v>
      </c>
      <c r="F4" s="156">
        <f>'P&amp;L Input'!F6</f>
        <v>2039.6909661120005</v>
      </c>
      <c r="G4" s="156">
        <f>'P&amp;L Input'!G6</f>
        <v>2588.7727703839246</v>
      </c>
      <c r="H4" s="156">
        <f>'P&amp;L Input'!H6</f>
        <v>2667.9381316666954</v>
      </c>
      <c r="I4" s="156">
        <f>'P&amp;L Input'!I6</f>
        <v>2749.5340575743385</v>
      </c>
      <c r="K4" s="165" t="s">
        <v>74</v>
      </c>
      <c r="L4" s="168">
        <v>-131.19999999999999</v>
      </c>
      <c r="M4" s="168">
        <v>-136.6</v>
      </c>
      <c r="N4" s="183">
        <f>-E4*N5</f>
        <v>-190.6328592000001</v>
      </c>
      <c r="O4" s="183">
        <f>-F4*O5</f>
        <v>-275.35828042512009</v>
      </c>
      <c r="P4" s="183">
        <f>-G4*P5</f>
        <v>-336.54046014991019</v>
      </c>
      <c r="Q4" s="183">
        <f>-H4*Q5</f>
        <v>-338.8281427216703</v>
      </c>
      <c r="R4" s="183">
        <f>-I4*R5</f>
        <v>-349.19082531194101</v>
      </c>
    </row>
    <row r="5" spans="1:18">
      <c r="B5" s="8" t="s">
        <v>164</v>
      </c>
      <c r="C5" s="14">
        <f>-('P&amp;L Input'!C15)/'P&amp;L Input'!C6</f>
        <v>0.21545475800794947</v>
      </c>
      <c r="D5" s="14">
        <f>-('P&amp;L Input'!D15)/'P&amp;L Input'!D6</f>
        <v>0.21811641595814257</v>
      </c>
      <c r="E5" s="58">
        <f>E9</f>
        <v>0.23614542903904609</v>
      </c>
      <c r="F5" s="58">
        <f>F9</f>
        <v>0.23614542903904606</v>
      </c>
      <c r="G5" s="58">
        <f>G9</f>
        <v>0.24114542903904607</v>
      </c>
      <c r="H5" s="58">
        <f>H9</f>
        <v>0.25314542903904608</v>
      </c>
      <c r="I5" s="58">
        <f>I9</f>
        <v>0.25814542903904608</v>
      </c>
      <c r="K5" s="166" t="s">
        <v>163</v>
      </c>
      <c r="L5" s="170">
        <f>-('P&amp;L Input'!C10/'P&amp;L Input'!C6)</f>
        <v>0.15337853635725976</v>
      </c>
      <c r="M5" s="184">
        <f>-('P&amp;L Input'!D10/'P&amp;L Input'!D6)</f>
        <v>0.14889906256812732</v>
      </c>
      <c r="N5" s="187">
        <f>0.14</f>
        <v>0.14000000000000001</v>
      </c>
      <c r="O5" s="187">
        <f>0.135</f>
        <v>0.13500000000000001</v>
      </c>
      <c r="P5" s="187">
        <v>0.13</v>
      </c>
      <c r="Q5" s="187">
        <f>0.127</f>
        <v>0.127</v>
      </c>
      <c r="R5" s="187">
        <f>0.127</f>
        <v>0.127</v>
      </c>
    </row>
    <row r="6" spans="1:18" ht="12">
      <c r="B6" s="55" t="s">
        <v>12</v>
      </c>
      <c r="C6" s="176">
        <f>'P&amp;L Input'!C15</f>
        <v>-184.29999999999998</v>
      </c>
      <c r="D6" s="176">
        <f>'P&amp;L Input'!D15</f>
        <v>-200.1</v>
      </c>
      <c r="E6" s="177">
        <f>N14</f>
        <v>-294.3172938623149</v>
      </c>
      <c r="F6" s="177">
        <f>O14</f>
        <v>-440.86987897734474</v>
      </c>
      <c r="G6" s="177">
        <f>P14</f>
        <v>-572.49526499115291</v>
      </c>
      <c r="H6" s="177">
        <f>Q14</f>
        <v>-622.01758035706268</v>
      </c>
      <c r="I6" s="177">
        <f>R14</f>
        <v>-654.78896779851004</v>
      </c>
      <c r="K6" s="160" t="s">
        <v>75</v>
      </c>
      <c r="L6" s="168">
        <v>-20</v>
      </c>
      <c r="M6" s="169">
        <v>-25.3</v>
      </c>
      <c r="N6" s="183">
        <f>-E4*N7</f>
        <v>-40.849898400000022</v>
      </c>
      <c r="O6" s="183">
        <f>-F4*O7</f>
        <v>-50.992274152800015</v>
      </c>
      <c r="P6" s="183">
        <f>-G4*P7</f>
        <v>-64.719319259598123</v>
      </c>
      <c r="Q6" s="183">
        <f>-H4*Q7</f>
        <v>-80.038143950000858</v>
      </c>
      <c r="R6" s="183">
        <f>-I4*R7</f>
        <v>-68.738351439358468</v>
      </c>
    </row>
    <row r="7" spans="1:18">
      <c r="D7" s="13"/>
      <c r="E7" s="13"/>
      <c r="F7" s="13"/>
      <c r="G7" s="13"/>
      <c r="H7" s="13"/>
      <c r="I7" s="13"/>
      <c r="K7" s="167" t="s">
        <v>163</v>
      </c>
      <c r="L7" s="172">
        <f>-L6/C4</f>
        <v>2.3380874444704231E-2</v>
      </c>
      <c r="M7" s="185">
        <f>-M6/D4</f>
        <v>2.7577937649880098E-2</v>
      </c>
      <c r="N7" s="187">
        <v>0.03</v>
      </c>
      <c r="O7" s="188">
        <v>2.5000000000000001E-2</v>
      </c>
      <c r="P7" s="188">
        <v>2.5000000000000001E-2</v>
      </c>
      <c r="Q7" s="188">
        <v>0.03</v>
      </c>
      <c r="R7" s="188">
        <v>2.5000000000000001E-2</v>
      </c>
    </row>
    <row r="8" spans="1:18">
      <c r="B8" s="44" t="s">
        <v>9</v>
      </c>
      <c r="C8" s="45"/>
      <c r="D8" s="45"/>
      <c r="E8" s="45"/>
      <c r="F8" s="45"/>
      <c r="G8" s="45"/>
      <c r="H8" s="45"/>
      <c r="I8" s="45"/>
      <c r="K8" s="159" t="s">
        <v>76</v>
      </c>
      <c r="L8" s="169">
        <v>-10.8</v>
      </c>
      <c r="M8" s="169">
        <v>-10.9</v>
      </c>
      <c r="N8" s="183">
        <f>-E4*N9</f>
        <v>-16.339959360000009</v>
      </c>
      <c r="O8" s="183">
        <f>-F4*O9</f>
        <v>-24.476291593344008</v>
      </c>
      <c r="P8" s="183">
        <f>-G4*P9</f>
        <v>-31.065273244607095</v>
      </c>
      <c r="Q8" s="183">
        <f>-H4*Q9</f>
        <v>-32.015257580000345</v>
      </c>
      <c r="R8" s="183">
        <f>-I4*R9</f>
        <v>-32.994408690892065</v>
      </c>
    </row>
    <row r="9" spans="1:18">
      <c r="B9" s="45" t="s">
        <v>51</v>
      </c>
      <c r="C9" s="57"/>
      <c r="D9" s="45"/>
      <c r="E9" s="138">
        <f>CHOOSE(Information!$C$3,Opex!E13,Opex!E16,Opex!E19)</f>
        <v>0.23614542903904609</v>
      </c>
      <c r="F9" s="138">
        <f>CHOOSE(Information!$C$3,Opex!F13,Opex!F16,Opex!F19)</f>
        <v>0.23614542903904606</v>
      </c>
      <c r="G9" s="138">
        <f>CHOOSE(Information!$C$3,Opex!G13,Opex!G16,Opex!G19)</f>
        <v>0.24114542903904607</v>
      </c>
      <c r="H9" s="138">
        <f>CHOOSE(Information!$C$3,Opex!H13,Opex!H16,Opex!H19)</f>
        <v>0.25314542903904608</v>
      </c>
      <c r="I9" s="138">
        <f>CHOOSE(Information!$C$3,Opex!I13,Opex!I16,Opex!I19)</f>
        <v>0.25814542903904608</v>
      </c>
      <c r="K9" s="102" t="s">
        <v>163</v>
      </c>
      <c r="L9" s="157">
        <f>-L8/C4</f>
        <v>1.2625672200140287E-2</v>
      </c>
      <c r="M9" s="184">
        <f>-M8/D4</f>
        <v>1.1881403967734903E-2</v>
      </c>
      <c r="N9" s="188">
        <v>1.2E-2</v>
      </c>
      <c r="O9" s="188">
        <v>1.2E-2</v>
      </c>
      <c r="P9" s="188">
        <v>1.2E-2</v>
      </c>
      <c r="Q9" s="188">
        <v>1.2E-2</v>
      </c>
      <c r="R9" s="188">
        <v>1.2E-2</v>
      </c>
    </row>
    <row r="10" spans="1:18">
      <c r="B10" s="45"/>
      <c r="C10" s="48"/>
      <c r="D10" s="45"/>
      <c r="E10" s="45"/>
      <c r="F10" s="48"/>
      <c r="G10" s="48"/>
      <c r="H10" s="46"/>
      <c r="I10" s="46"/>
      <c r="K10" s="74" t="s">
        <v>77</v>
      </c>
      <c r="L10" s="162">
        <v>-12.1</v>
      </c>
      <c r="M10" s="169">
        <v>-12.1</v>
      </c>
      <c r="N10" s="183">
        <f>-E4*N11</f>
        <v>-19.261311302314716</v>
      </c>
      <c r="O10" s="183">
        <f>-F4*O11</f>
        <v>-28.852303822720607</v>
      </c>
      <c r="P10" s="183">
        <f>-G4*P11</f>
        <v>-36.619301521680484</v>
      </c>
      <c r="Q10" s="183">
        <f>-H4*Q11</f>
        <v>-37.739129522056366</v>
      </c>
      <c r="R10" s="183">
        <f>-I4*R11</f>
        <v>-38.893338901858193</v>
      </c>
    </row>
    <row r="11" spans="1:18">
      <c r="B11" s="56" t="s">
        <v>50</v>
      </c>
      <c r="C11" s="48"/>
      <c r="D11" s="45"/>
      <c r="E11" s="45"/>
      <c r="F11" s="48"/>
      <c r="G11" s="48"/>
      <c r="H11" s="46"/>
      <c r="I11" s="46"/>
      <c r="K11" s="163" t="s">
        <v>163</v>
      </c>
      <c r="L11" s="173">
        <f>-L10/C4</f>
        <v>1.4145429039046061E-2</v>
      </c>
      <c r="M11" s="170">
        <f>-M10/D4</f>
        <v>1.3189448441247002E-2</v>
      </c>
      <c r="N11" s="188">
        <v>1.4145429039046061E-2</v>
      </c>
      <c r="O11" s="188">
        <v>1.4145429039046061E-2</v>
      </c>
      <c r="P11" s="188">
        <v>1.4145429039046061E-2</v>
      </c>
      <c r="Q11" s="188">
        <v>1.4145429039046061E-2</v>
      </c>
      <c r="R11" s="188">
        <v>1.4145429039046061E-2</v>
      </c>
    </row>
    <row r="12" spans="1:18">
      <c r="B12" s="44" t="s">
        <v>5</v>
      </c>
      <c r="C12" s="45"/>
      <c r="D12" s="45"/>
      <c r="E12" s="45"/>
      <c r="F12" s="46"/>
      <c r="G12" s="46"/>
      <c r="H12" s="46"/>
      <c r="I12" s="46"/>
      <c r="K12" s="164" t="s">
        <v>195</v>
      </c>
      <c r="L12" s="145">
        <v>-10.199999999999999</v>
      </c>
      <c r="M12" s="158">
        <v>-15.2</v>
      </c>
      <c r="N12" s="183">
        <f>-E4*N13</f>
        <v>-27.233265600000014</v>
      </c>
      <c r="O12" s="183">
        <f>-F4*O13</f>
        <v>-61.19072898336001</v>
      </c>
      <c r="P12" s="183">
        <f>-G4*P13</f>
        <v>-103.55091081535699</v>
      </c>
      <c r="Q12" s="183">
        <f>-H4*Q13</f>
        <v>-133.39690658333478</v>
      </c>
      <c r="R12" s="183">
        <f>-I4*R13</f>
        <v>-164.97204345446031</v>
      </c>
    </row>
    <row r="13" spans="1:18">
      <c r="B13" s="45" t="s">
        <v>51</v>
      </c>
      <c r="C13" s="41"/>
      <c r="D13" s="45"/>
      <c r="E13" s="138">
        <f>E16-2%</f>
        <v>0.19614542903904611</v>
      </c>
      <c r="F13" s="138">
        <f>F16-2%</f>
        <v>0.19614542903904608</v>
      </c>
      <c r="G13" s="138">
        <f>G16-2%</f>
        <v>0.20114542903904609</v>
      </c>
      <c r="H13" s="138">
        <f>H16-2%</f>
        <v>0.21314542903904607</v>
      </c>
      <c r="I13" s="138">
        <f>I16-2%</f>
        <v>0.21814542903904607</v>
      </c>
      <c r="K13" s="102" t="s">
        <v>163</v>
      </c>
      <c r="L13" s="174">
        <f>-L12/C4</f>
        <v>1.1924245966799158E-2</v>
      </c>
      <c r="M13" s="175">
        <f>-M12/D4</f>
        <v>1.6568563331153259E-2</v>
      </c>
      <c r="N13" s="191">
        <v>0.02</v>
      </c>
      <c r="O13" s="191">
        <v>0.03</v>
      </c>
      <c r="P13" s="191">
        <v>0.04</v>
      </c>
      <c r="Q13" s="191">
        <v>0.05</v>
      </c>
      <c r="R13" s="191">
        <v>0.06</v>
      </c>
    </row>
    <row r="14" spans="1:18" ht="12">
      <c r="B14" s="45"/>
      <c r="C14" s="48"/>
      <c r="D14" s="45"/>
      <c r="E14" s="45"/>
      <c r="F14" s="48"/>
      <c r="G14" s="48"/>
      <c r="H14" s="46"/>
      <c r="I14" s="46"/>
      <c r="K14" s="80" t="s">
        <v>79</v>
      </c>
      <c r="L14" s="161">
        <f t="shared" ref="L14:R14" si="0">L4+L6+L8+L10+L12</f>
        <v>-184.29999999999998</v>
      </c>
      <c r="M14" s="186">
        <f t="shared" si="0"/>
        <v>-200.1</v>
      </c>
      <c r="N14" s="192">
        <f t="shared" si="0"/>
        <v>-294.3172938623149</v>
      </c>
      <c r="O14" s="192">
        <f t="shared" si="0"/>
        <v>-440.86987897734474</v>
      </c>
      <c r="P14" s="192">
        <f t="shared" si="0"/>
        <v>-572.49526499115291</v>
      </c>
      <c r="Q14" s="192">
        <f t="shared" si="0"/>
        <v>-622.01758035706268</v>
      </c>
      <c r="R14" s="192">
        <f t="shared" si="0"/>
        <v>-654.78896779851004</v>
      </c>
    </row>
    <row r="15" spans="1:18">
      <c r="B15" s="44" t="s">
        <v>6</v>
      </c>
      <c r="C15" s="45"/>
      <c r="D15" s="45"/>
      <c r="E15" s="45"/>
      <c r="F15" s="46"/>
      <c r="G15" s="46"/>
      <c r="H15" s="46"/>
      <c r="I15" s="46"/>
      <c r="K15" s="8" t="s">
        <v>165</v>
      </c>
      <c r="L15" s="178">
        <f>-L14/C4</f>
        <v>0.21545475800794947</v>
      </c>
      <c r="M15" s="179">
        <f t="shared" ref="M15:R15" si="1">-M14/D4</f>
        <v>0.21811641595814257</v>
      </c>
      <c r="N15" s="189">
        <f t="shared" si="1"/>
        <v>0.2161454290390461</v>
      </c>
      <c r="O15" s="189">
        <f t="shared" si="1"/>
        <v>0.21614542903904607</v>
      </c>
      <c r="P15" s="189">
        <f t="shared" si="1"/>
        <v>0.22114542903904608</v>
      </c>
      <c r="Q15" s="189">
        <f t="shared" si="1"/>
        <v>0.23314542903904606</v>
      </c>
      <c r="R15" s="189">
        <f t="shared" si="1"/>
        <v>0.23814542903904606</v>
      </c>
    </row>
    <row r="16" spans="1:18">
      <c r="B16" s="45" t="s">
        <v>51</v>
      </c>
      <c r="C16" s="41"/>
      <c r="D16" s="45"/>
      <c r="E16" s="138">
        <f>N15</f>
        <v>0.2161454290390461</v>
      </c>
      <c r="F16" s="138">
        <f>O15</f>
        <v>0.21614542903904607</v>
      </c>
      <c r="G16" s="138">
        <f>P15</f>
        <v>0.22114542903904608</v>
      </c>
      <c r="H16" s="138">
        <f>Q15</f>
        <v>0.23314542903904606</v>
      </c>
      <c r="I16" s="138">
        <f>R15</f>
        <v>0.23814542903904606</v>
      </c>
    </row>
    <row r="17" spans="2:11">
      <c r="B17" s="45"/>
      <c r="C17" s="48"/>
      <c r="D17" s="45"/>
      <c r="E17" s="45"/>
      <c r="F17" s="48"/>
      <c r="G17" s="48"/>
      <c r="H17" s="46"/>
      <c r="I17" s="46"/>
      <c r="K17" s="8" t="s">
        <v>200</v>
      </c>
    </row>
    <row r="18" spans="2:11">
      <c r="B18" s="44" t="s">
        <v>7</v>
      </c>
      <c r="C18" s="45"/>
      <c r="D18" s="45"/>
      <c r="E18" s="45"/>
      <c r="F18" s="45"/>
      <c r="G18" s="45"/>
      <c r="H18" s="45"/>
      <c r="I18" s="45"/>
      <c r="K18" s="8" t="s">
        <v>198</v>
      </c>
    </row>
    <row r="19" spans="2:11">
      <c r="B19" s="45" t="s">
        <v>51</v>
      </c>
      <c r="C19" s="41"/>
      <c r="D19" s="45"/>
      <c r="E19" s="138">
        <f>E16+2%</f>
        <v>0.23614542903904609</v>
      </c>
      <c r="F19" s="138">
        <f>F16+2%</f>
        <v>0.23614542903904606</v>
      </c>
      <c r="G19" s="138">
        <f>G16+2%</f>
        <v>0.24114542903904607</v>
      </c>
      <c r="H19" s="138">
        <f>H16+2%</f>
        <v>0.25314542903904608</v>
      </c>
      <c r="I19" s="138">
        <f>I16+2%</f>
        <v>0.25814542903904608</v>
      </c>
      <c r="K19" s="8" t="s">
        <v>197</v>
      </c>
    </row>
    <row r="20" spans="2:11">
      <c r="K20" s="8" t="s">
        <v>199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/>
  <cols>
    <col min="1" max="1" width="2" style="1" customWidth="1"/>
    <col min="2" max="16384" width="9.109375" style="1"/>
  </cols>
  <sheetData>
    <row r="14" spans="2:2" ht="50.4">
      <c r="B14" s="10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I31"/>
  <sheetViews>
    <sheetView workbookViewId="0">
      <selection activeCell="D13" sqref="D13"/>
    </sheetView>
  </sheetViews>
  <sheetFormatPr defaultColWidth="9.109375" defaultRowHeight="13.2" outlineLevelRow="1"/>
  <cols>
    <col min="1" max="1" width="2" style="16" customWidth="1"/>
    <col min="2" max="2" width="33.33203125" style="16" customWidth="1"/>
    <col min="3" max="7" width="9.77734375" style="16" customWidth="1"/>
    <col min="8" max="8" width="9.6640625" style="16" customWidth="1"/>
    <col min="9" max="9" width="9.77734375" style="16" customWidth="1"/>
    <col min="10" max="10" width="2.6640625" style="16" customWidth="1"/>
    <col min="11" max="11" width="2.44140625" style="16" customWidth="1"/>
    <col min="12" max="12" width="13.44140625" style="16" customWidth="1"/>
    <col min="13" max="13" width="9.44140625" style="16" customWidth="1"/>
    <col min="14" max="14" width="7.5546875" style="16" customWidth="1"/>
    <col min="15" max="15" width="8.21875" style="16" customWidth="1"/>
    <col min="16" max="17" width="9.21875" style="16" bestFit="1" customWidth="1"/>
    <col min="18" max="19" width="10.109375" style="16" bestFit="1" customWidth="1"/>
    <col min="20" max="16384" width="9.109375" style="16"/>
  </cols>
  <sheetData>
    <row r="1" spans="2:9" ht="15.6">
      <c r="C1" s="15"/>
    </row>
    <row r="2" spans="2:9" ht="15.6">
      <c r="B2" s="15" t="s">
        <v>18</v>
      </c>
      <c r="C2" s="15"/>
    </row>
    <row r="4" spans="2:9" s="18" customFormat="1" ht="12">
      <c r="B4" s="5" t="s">
        <v>54</v>
      </c>
      <c r="C4" s="6">
        <v>2018</v>
      </c>
      <c r="D4" s="6">
        <v>2019</v>
      </c>
      <c r="E4" s="50" t="s">
        <v>97</v>
      </c>
      <c r="F4" s="50" t="s">
        <v>98</v>
      </c>
      <c r="G4" s="50" t="s">
        <v>99</v>
      </c>
      <c r="H4" s="50" t="s">
        <v>100</v>
      </c>
      <c r="I4" s="50" t="s">
        <v>101</v>
      </c>
    </row>
    <row r="5" spans="2:9" s="18" customFormat="1" ht="11.4">
      <c r="B5" s="26" t="s">
        <v>0</v>
      </c>
      <c r="C5" s="64">
        <f>'P&amp;L Input'!C23</f>
        <v>82.699999999999946</v>
      </c>
      <c r="D5" s="64">
        <f>'P&amp;L Input'!D23</f>
        <v>99.199999999999932</v>
      </c>
      <c r="E5" s="62">
        <f>'P&amp;L Input'!E23</f>
        <v>127.67623344995953</v>
      </c>
      <c r="F5" s="62">
        <f>'P&amp;L Input'!F23</f>
        <v>195.57234150213282</v>
      </c>
      <c r="G5" s="62">
        <f>'P&amp;L Input'!G23</f>
        <v>238.08355773183447</v>
      </c>
      <c r="H5" s="62">
        <f>'P&amp;L Input'!H23</f>
        <v>213.46766032190573</v>
      </c>
      <c r="I5" s="62">
        <f>'P&amp;L Input'!I23</f>
        <v>206.52840517973081</v>
      </c>
    </row>
    <row r="6" spans="2:9" s="18" customFormat="1" ht="10.8" customHeight="1">
      <c r="B6" s="26" t="s">
        <v>173</v>
      </c>
      <c r="C6" s="64">
        <f>IF(C5*Information!$C$12&gt;0,-C5*Information!$C$12,0)</f>
        <v>-18.193999999999988</v>
      </c>
      <c r="D6" s="64">
        <f>IF(D5*Information!$C$12&gt;0,-D5*Information!$C$12,0)</f>
        <v>-21.823999999999984</v>
      </c>
      <c r="E6" s="62">
        <f>IF(E5*Information!$C$12&gt;0,-E5*Information!$C$12,0)</f>
        <v>-28.088771358991096</v>
      </c>
      <c r="F6" s="62">
        <f>IF(F5*Information!$C$12&gt;0,-F5*Information!$C$12,0)</f>
        <v>-43.025915130469222</v>
      </c>
      <c r="G6" s="62">
        <f>IF(G5*Information!$C$12&gt;0,-G5*Information!$C$12,0)</f>
        <v>-52.378382701003588</v>
      </c>
      <c r="H6" s="62">
        <f>IF(H5*Information!$C$12&gt;0,-H5*Information!$C$12,0)</f>
        <v>-46.962885270819257</v>
      </c>
      <c r="I6" s="62">
        <f>IF(I5*Information!$C$12&gt;0,-I5*Information!$C$12,0)</f>
        <v>-45.436249139540777</v>
      </c>
    </row>
    <row r="7" spans="2:9" s="18" customFormat="1" ht="12">
      <c r="B7" s="24" t="s">
        <v>19</v>
      </c>
      <c r="C7" s="195">
        <f t="shared" ref="C7:I7" si="0">SUM(C5:C6)</f>
        <v>64.505999999999958</v>
      </c>
      <c r="D7" s="196">
        <f t="shared" si="0"/>
        <v>77.375999999999948</v>
      </c>
      <c r="E7" s="197">
        <f t="shared" si="0"/>
        <v>99.58746209096843</v>
      </c>
      <c r="F7" s="197">
        <f t="shared" si="0"/>
        <v>152.54642637166359</v>
      </c>
      <c r="G7" s="197">
        <f t="shared" si="0"/>
        <v>185.7051750308309</v>
      </c>
      <c r="H7" s="197">
        <f t="shared" si="0"/>
        <v>166.50477505108648</v>
      </c>
      <c r="I7" s="197">
        <f t="shared" si="0"/>
        <v>161.09215604019005</v>
      </c>
    </row>
    <row r="8" spans="2:9" s="18" customFormat="1" ht="11.4">
      <c r="B8" s="26" t="s">
        <v>21</v>
      </c>
      <c r="C8" s="64">
        <f>'P&amp;L Input'!C22</f>
        <v>-1.7</v>
      </c>
      <c r="D8" s="64">
        <f>'P&amp;L Input'!D22</f>
        <v>-2.9</v>
      </c>
      <c r="E8" s="62">
        <f>'P&amp;L Input'!E22</f>
        <v>-3.5331966877256331</v>
      </c>
      <c r="F8" s="62">
        <f>'P&amp;L Input'!F22</f>
        <v>-5.7575115541221891</v>
      </c>
      <c r="G8" s="62">
        <f>'P&amp;L Input'!G22</f>
        <v>-7.0711636524098669</v>
      </c>
      <c r="H8" s="62">
        <f>'P&amp;L Input'!H22</f>
        <v>-7.3947023701185097</v>
      </c>
      <c r="I8" s="62">
        <f>'P&amp;L Input'!I22</f>
        <v>-7.5664026503214004</v>
      </c>
    </row>
    <row r="9" spans="2:9" s="18" customFormat="1" ht="12" customHeight="1">
      <c r="B9" s="24" t="s">
        <v>35</v>
      </c>
      <c r="C9" s="195">
        <f t="shared" ref="C9:I9" si="1">C7-C8</f>
        <v>66.20599999999996</v>
      </c>
      <c r="D9" s="195">
        <f t="shared" si="1"/>
        <v>80.275999999999954</v>
      </c>
      <c r="E9" s="197">
        <f t="shared" si="1"/>
        <v>103.12065877869406</v>
      </c>
      <c r="F9" s="197">
        <f t="shared" si="1"/>
        <v>158.30393792578576</v>
      </c>
      <c r="G9" s="197">
        <f t="shared" si="1"/>
        <v>192.77633868324077</v>
      </c>
      <c r="H9" s="197">
        <f t="shared" si="1"/>
        <v>173.89947742120501</v>
      </c>
      <c r="I9" s="197">
        <f t="shared" si="1"/>
        <v>168.65855869051146</v>
      </c>
    </row>
    <row r="10" spans="2:9" s="18" customFormat="1" ht="1.8" customHeight="1">
      <c r="B10" s="26"/>
      <c r="C10" s="64"/>
      <c r="D10" s="19"/>
      <c r="E10" s="62"/>
      <c r="F10" s="62"/>
      <c r="G10" s="62"/>
      <c r="H10" s="62"/>
      <c r="I10" s="62"/>
    </row>
    <row r="11" spans="2:9" s="18" customFormat="1" ht="12">
      <c r="B11" s="25" t="s">
        <v>175</v>
      </c>
      <c r="C11" s="198"/>
      <c r="D11" s="199">
        <f t="shared" ref="D11:I11" si="2">-(D17-C17)</f>
        <v>-9.2999999999999829</v>
      </c>
      <c r="E11" s="200">
        <f t="shared" si="2"/>
        <v>-66.639492000000104</v>
      </c>
      <c r="F11" s="200">
        <f t="shared" si="2"/>
        <v>-101.70415291679996</v>
      </c>
      <c r="G11" s="200">
        <f t="shared" si="2"/>
        <v>-82.362270640788608</v>
      </c>
      <c r="H11" s="200">
        <f t="shared" si="2"/>
        <v>-11.874804192415638</v>
      </c>
      <c r="I11" s="200">
        <f t="shared" si="2"/>
        <v>-12.239388886146457</v>
      </c>
    </row>
    <row r="12" spans="2:9" s="18" customFormat="1" ht="12">
      <c r="B12" s="193" t="s">
        <v>13</v>
      </c>
      <c r="C12" s="64"/>
      <c r="D12" s="19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</row>
    <row r="13" spans="2:9" s="18" customFormat="1" ht="15.6" customHeight="1" thickBot="1">
      <c r="B13" s="27" t="s">
        <v>20</v>
      </c>
      <c r="C13" s="69">
        <v>0</v>
      </c>
      <c r="D13" s="69">
        <f t="shared" ref="D13:I13" si="3">D9+D11-D12</f>
        <v>70.975999999999971</v>
      </c>
      <c r="E13" s="69">
        <f t="shared" si="3"/>
        <v>36.481166778693961</v>
      </c>
      <c r="F13" s="69">
        <f t="shared" si="3"/>
        <v>56.599785008985805</v>
      </c>
      <c r="G13" s="69">
        <f t="shared" si="3"/>
        <v>110.41406804245216</v>
      </c>
      <c r="H13" s="69">
        <f t="shared" si="3"/>
        <v>162.02467322878937</v>
      </c>
      <c r="I13" s="69">
        <f t="shared" si="3"/>
        <v>156.419169804365</v>
      </c>
    </row>
    <row r="14" spans="2:9" s="18" customFormat="1" ht="2.4" customHeight="1">
      <c r="B14" s="26"/>
      <c r="C14" s="66"/>
      <c r="D14" s="67"/>
      <c r="E14" s="68"/>
      <c r="F14" s="68"/>
      <c r="G14" s="68"/>
      <c r="H14" s="68"/>
      <c r="I14" s="68"/>
    </row>
    <row r="15" spans="2:9" s="18" customFormat="1" ht="12.6" customHeight="1"/>
    <row r="16" spans="2:9" s="18" customFormat="1" ht="14.4" customHeight="1">
      <c r="B16" s="5" t="s">
        <v>174</v>
      </c>
      <c r="C16" s="6">
        <v>2018</v>
      </c>
      <c r="D16" s="6">
        <v>2019</v>
      </c>
      <c r="E16" s="50" t="s">
        <v>97</v>
      </c>
      <c r="F16" s="50" t="s">
        <v>98</v>
      </c>
      <c r="G16" s="50" t="s">
        <v>99</v>
      </c>
      <c r="H16" s="50" t="s">
        <v>100</v>
      </c>
      <c r="I16" s="50" t="s">
        <v>101</v>
      </c>
    </row>
    <row r="17" spans="2:9" s="18" customFormat="1" ht="13.2" customHeight="1">
      <c r="B17" s="18" t="s">
        <v>14</v>
      </c>
      <c r="C17" s="194">
        <f>0.15*'P&amp;L Input'!C6</f>
        <v>128.31</v>
      </c>
      <c r="D17" s="194">
        <f>0.15*'P&amp;L Input'!D6</f>
        <v>137.60999999999999</v>
      </c>
      <c r="E17" s="194">
        <f>0.15*'P&amp;L Input'!E6</f>
        <v>204.24949200000009</v>
      </c>
      <c r="F17" s="194">
        <f>0.15*'P&amp;L Input'!F6</f>
        <v>305.95364491680004</v>
      </c>
      <c r="G17" s="194">
        <f>0.15*'P&amp;L Input'!G6</f>
        <v>388.31591555758865</v>
      </c>
      <c r="H17" s="194">
        <f>0.15*'P&amp;L Input'!H6</f>
        <v>400.19071975000429</v>
      </c>
      <c r="I17" s="194">
        <f>0.15*'P&amp;L Input'!I6</f>
        <v>412.43010863615075</v>
      </c>
    </row>
    <row r="18" spans="2:9" s="18" customFormat="1" ht="12.6" customHeight="1">
      <c r="B18" s="16"/>
      <c r="C18" s="16"/>
      <c r="D18" s="16"/>
      <c r="E18" s="16"/>
      <c r="F18" s="16"/>
      <c r="G18" s="16"/>
      <c r="H18" s="16"/>
      <c r="I18" s="16"/>
    </row>
    <row r="19" spans="2:9" s="18" customFormat="1" ht="12" customHeight="1">
      <c r="B19" s="16"/>
      <c r="C19" s="16"/>
      <c r="D19" s="16"/>
      <c r="E19" s="16"/>
      <c r="F19" s="16"/>
      <c r="G19" s="16"/>
      <c r="H19" s="16"/>
      <c r="I19" s="16"/>
    </row>
    <row r="20" spans="2:9" s="18" customFormat="1" ht="4.8" customHeight="1">
      <c r="B20" s="16"/>
      <c r="C20" s="16"/>
      <c r="D20" s="16"/>
      <c r="E20" s="16"/>
      <c r="F20" s="16"/>
      <c r="G20" s="16"/>
      <c r="H20" s="16"/>
      <c r="I20" s="16"/>
    </row>
    <row r="21" spans="2:9" s="18" customFormat="1">
      <c r="B21" s="16"/>
      <c r="C21" s="16"/>
      <c r="D21" s="16"/>
      <c r="E21" s="16"/>
      <c r="F21" s="16"/>
      <c r="G21" s="16"/>
      <c r="H21" s="16"/>
      <c r="I21" s="16"/>
    </row>
    <row r="22" spans="2:9" s="18" customFormat="1">
      <c r="B22" s="16"/>
      <c r="C22" s="16"/>
      <c r="D22" s="16"/>
      <c r="E22" s="16"/>
      <c r="F22" s="16"/>
      <c r="G22" s="16"/>
      <c r="H22" s="16"/>
      <c r="I22" s="16"/>
    </row>
    <row r="23" spans="2:9" s="18" customFormat="1">
      <c r="B23" s="16"/>
      <c r="C23" s="16"/>
      <c r="D23" s="16"/>
      <c r="E23" s="16"/>
      <c r="F23" s="16"/>
      <c r="G23" s="16"/>
      <c r="H23" s="16"/>
      <c r="I23" s="16"/>
    </row>
    <row r="24" spans="2:9" s="18" customFormat="1">
      <c r="B24" s="16"/>
      <c r="C24" s="16"/>
      <c r="D24" s="16"/>
      <c r="E24" s="16"/>
      <c r="F24" s="16"/>
      <c r="G24" s="16"/>
      <c r="H24" s="16"/>
      <c r="I24" s="16"/>
    </row>
    <row r="25" spans="2:9" s="18" customFormat="1" ht="12" customHeight="1">
      <c r="B25" s="16"/>
      <c r="C25" s="16"/>
      <c r="D25" s="16"/>
      <c r="E25" s="16"/>
      <c r="F25" s="16"/>
      <c r="G25" s="16"/>
      <c r="H25" s="16"/>
      <c r="I25" s="16"/>
    </row>
    <row r="31" spans="2:9" outlineLevel="1"/>
  </sheetData>
  <pageMargins left="0.7" right="0.7" top="0.75" bottom="0.75" header="0.3" footer="0.3"/>
  <pageSetup paperSize="9" orientation="portrait" r:id="rId1"/>
  <ignoredErrors>
    <ignoredError sqref="D8:I8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O26"/>
  <sheetViews>
    <sheetView tabSelected="1"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7" sqref="F17"/>
    </sheetView>
  </sheetViews>
  <sheetFormatPr defaultColWidth="9.109375" defaultRowHeight="11.4" outlineLevelRow="1"/>
  <cols>
    <col min="1" max="1" width="2" style="29" customWidth="1"/>
    <col min="2" max="2" width="25.6640625" style="29" customWidth="1"/>
    <col min="3" max="6" width="9.77734375" style="29" customWidth="1"/>
    <col min="7" max="7" width="11.109375" style="29" customWidth="1"/>
    <col min="8" max="9" width="9.44140625" style="29" customWidth="1"/>
    <col min="10" max="11" width="9.77734375" style="29" customWidth="1"/>
    <col min="12" max="12" width="2" style="29" customWidth="1"/>
    <col min="13" max="13" width="31.5546875" style="29" customWidth="1"/>
    <col min="14" max="18" width="9.109375" style="29"/>
    <col min="19" max="19" width="9.77734375" style="29" bestFit="1" customWidth="1"/>
    <col min="20" max="16384" width="9.109375" style="29"/>
  </cols>
  <sheetData>
    <row r="1" spans="2:15" ht="15.6">
      <c r="B1" s="28" t="s">
        <v>22</v>
      </c>
    </row>
    <row r="2" spans="2:15" ht="12" thickBot="1"/>
    <row r="3" spans="2:15" ht="13.2" thickTop="1" thickBot="1">
      <c r="B3" s="30" t="s">
        <v>23</v>
      </c>
      <c r="C3" s="31">
        <f>Information!C13</f>
        <v>1.9E-2</v>
      </c>
      <c r="D3" s="205" t="s">
        <v>181</v>
      </c>
    </row>
    <row r="4" spans="2:15" ht="12" outlineLevel="1" thickTop="1">
      <c r="E4" s="34">
        <v>1</v>
      </c>
      <c r="F4" s="34">
        <v>2</v>
      </c>
      <c r="G4" s="34">
        <v>3</v>
      </c>
      <c r="H4" s="34">
        <v>4</v>
      </c>
      <c r="I4" s="34">
        <v>5</v>
      </c>
    </row>
    <row r="5" spans="2:15" ht="12">
      <c r="B5" s="5" t="s">
        <v>54</v>
      </c>
      <c r="C5" s="6">
        <v>2018</v>
      </c>
      <c r="D5" s="6">
        <v>2019</v>
      </c>
      <c r="E5" s="50" t="s">
        <v>97</v>
      </c>
      <c r="F5" s="50" t="s">
        <v>98</v>
      </c>
      <c r="G5" s="50" t="s">
        <v>99</v>
      </c>
      <c r="H5" s="50" t="s">
        <v>100</v>
      </c>
      <c r="I5" s="50" t="s">
        <v>101</v>
      </c>
    </row>
    <row r="6" spans="2:15" ht="1.8" customHeight="1">
      <c r="B6" s="29" t="s">
        <v>20</v>
      </c>
      <c r="C6" s="32"/>
      <c r="D6" s="32"/>
      <c r="E6" s="63">
        <f>'Cash Flow'!E13</f>
        <v>36.481166778693961</v>
      </c>
      <c r="F6" s="63">
        <f>'Cash Flow'!F13</f>
        <v>56.599785008985805</v>
      </c>
      <c r="G6" s="63">
        <f>'Cash Flow'!G13</f>
        <v>110.41406804245216</v>
      </c>
      <c r="H6" s="63">
        <f>'Cash Flow'!H13</f>
        <v>162.02467322878937</v>
      </c>
      <c r="I6" s="63">
        <f>'Cash Flow'!I13</f>
        <v>156.419169804365</v>
      </c>
    </row>
    <row r="7" spans="2:15" ht="13.2" customHeight="1">
      <c r="B7" s="29" t="s">
        <v>20</v>
      </c>
      <c r="C7" s="32"/>
      <c r="D7" s="32"/>
      <c r="E7" s="63">
        <f>'Cash Flow'!E13</f>
        <v>36.481166778693961</v>
      </c>
      <c r="F7" s="63">
        <f>'Cash Flow'!F13</f>
        <v>56.599785008985805</v>
      </c>
      <c r="G7" s="63">
        <f>'Cash Flow'!G13</f>
        <v>110.41406804245216</v>
      </c>
      <c r="H7" s="63">
        <f>'Cash Flow'!H13</f>
        <v>162.02467322878937</v>
      </c>
      <c r="I7" s="63">
        <f>'Cash Flow'!I13</f>
        <v>156.419169804365</v>
      </c>
      <c r="M7" s="23" t="s">
        <v>170</v>
      </c>
      <c r="N7" s="39" t="s">
        <v>43</v>
      </c>
    </row>
    <row r="8" spans="2:15" ht="13.2" customHeight="1">
      <c r="B8" s="203" t="s">
        <v>55</v>
      </c>
      <c r="C8" s="206"/>
      <c r="D8" s="206"/>
      <c r="E8" s="207"/>
      <c r="F8" s="207"/>
      <c r="G8" s="207"/>
      <c r="H8" s="207"/>
      <c r="I8" s="207">
        <f>I7*(1+C3)/(I9-C3)</f>
        <v>2626.2432024482496</v>
      </c>
      <c r="M8" s="210" t="s">
        <v>134</v>
      </c>
      <c r="N8" s="132">
        <f>(10224+93078)/89531</f>
        <v>1.1538126458991858</v>
      </c>
    </row>
    <row r="9" spans="2:15" ht="9.6" customHeight="1">
      <c r="B9" s="29" t="s">
        <v>24</v>
      </c>
      <c r="C9" s="32"/>
      <c r="D9" s="32"/>
      <c r="E9" s="209">
        <f>(($N$13/($N$13+$N$14))*Information!$C$11*(1-Information!$C$12)+($N$14/($N$13+$N$14))*((Information!$C$8-Information!$C$11)+(Information!$C$9*Information!$C$8)))</f>
        <v>7.969168837145757E-2</v>
      </c>
      <c r="F9" s="209">
        <f>(($N$13/($N$13+$N$14))*Information!$C$11*(1-Information!$C$12)+($N$14/($N$13+$N$14))*((Information!$C$8-Information!$C$11)+(Information!$C$9*Information!$C$8)))</f>
        <v>7.969168837145757E-2</v>
      </c>
      <c r="G9" s="209">
        <f>(($N$13/($N$13+$N$14))*Information!$C$11*(1-Information!$C$12)+($N$14/($N$13+$N$14))*((Information!$C$8-Information!$C$11)+(Information!$C$9*Information!$C$8)))</f>
        <v>7.969168837145757E-2</v>
      </c>
      <c r="H9" s="209">
        <f>(($N$13/($N$13+$N$14))*Information!$C$11*(1-Information!$C$12)+($N$14/($N$13+$N$14))*((Information!$C$8-Information!$C$11)+(Information!$C$9*Information!$C$8)))</f>
        <v>7.969168837145757E-2</v>
      </c>
      <c r="I9" s="209">
        <f>(($N$13/($N$13+$N$14))*Information!$C$11*(1-Information!$C$12)+($N$14/($N$13+$N$14))*((Information!$C$8-Information!$C$11)+(Information!$C$9*Information!$C$8)))</f>
        <v>7.969168837145757E-2</v>
      </c>
      <c r="M9" s="18" t="s">
        <v>135</v>
      </c>
      <c r="N9" s="54">
        <f>(13586660+85085)/(339357244-91604067)</f>
        <v>5.5182925060936756E-2</v>
      </c>
    </row>
    <row r="10" spans="2:15" ht="12">
      <c r="B10" s="37" t="s">
        <v>25</v>
      </c>
      <c r="C10" s="38"/>
      <c r="D10" s="38"/>
      <c r="E10" s="208">
        <f>E7/(1+E9)^E4</f>
        <v>33.78850385865244</v>
      </c>
      <c r="F10" s="208">
        <f>F7/(1+F9)^F4</f>
        <v>48.5529101128242</v>
      </c>
      <c r="G10" s="208">
        <f>G7/(1+G9)^G4</f>
        <v>87.72535548210459</v>
      </c>
      <c r="H10" s="208">
        <f>H7/(1+H9)^H4</f>
        <v>119.22906048277665</v>
      </c>
      <c r="I10" s="208">
        <f>I7/(1+I9)^I4</f>
        <v>106.60834121102747</v>
      </c>
      <c r="M10" s="210" t="s">
        <v>136</v>
      </c>
      <c r="N10" s="132">
        <f>(7.8+3)/(145.2-74)</f>
        <v>0.151685393258427</v>
      </c>
    </row>
    <row r="11" spans="2:15" ht="12">
      <c r="B11" s="29" t="s">
        <v>56</v>
      </c>
      <c r="C11" s="32"/>
      <c r="D11" s="32"/>
      <c r="E11" s="208"/>
      <c r="F11" s="208"/>
      <c r="G11" s="208"/>
      <c r="H11" s="208"/>
      <c r="I11" s="208">
        <f>I8/(1+I9)^I4</f>
        <v>1789.9304271971109</v>
      </c>
      <c r="M11" s="8" t="s">
        <v>137</v>
      </c>
      <c r="N11" s="54">
        <f>10201/33994</f>
        <v>0.30008236747661354</v>
      </c>
    </row>
    <row r="12" spans="2:15" ht="12">
      <c r="M12" s="9" t="s">
        <v>43</v>
      </c>
      <c r="N12" s="151">
        <f>AVERAGE(N8:N11)</f>
        <v>0.41519083292379078</v>
      </c>
    </row>
    <row r="13" spans="2:15" ht="12">
      <c r="B13" s="305" t="s">
        <v>26</v>
      </c>
      <c r="C13" s="305"/>
      <c r="D13" s="305"/>
      <c r="E13" s="305"/>
      <c r="F13" s="305"/>
      <c r="G13" s="305"/>
      <c r="H13" s="305"/>
      <c r="I13" s="305"/>
      <c r="J13" s="305"/>
      <c r="K13" s="305"/>
      <c r="M13" s="201" t="s">
        <v>176</v>
      </c>
      <c r="N13" s="202">
        <f>41.5</f>
        <v>41.5</v>
      </c>
      <c r="O13" s="29" t="s">
        <v>178</v>
      </c>
    </row>
    <row r="14" spans="2:15" ht="14.4" customHeight="1">
      <c r="B14" s="29" t="s">
        <v>27</v>
      </c>
      <c r="E14" s="34"/>
      <c r="F14" s="34">
        <f>SUM(E10:I10)</f>
        <v>395.90417114738534</v>
      </c>
      <c r="M14" s="201" t="s">
        <v>177</v>
      </c>
      <c r="N14" s="202">
        <f>100-41.5</f>
        <v>58.5</v>
      </c>
      <c r="O14" s="29" t="s">
        <v>178</v>
      </c>
    </row>
    <row r="15" spans="2:15">
      <c r="B15" s="29" t="s">
        <v>28</v>
      </c>
      <c r="E15" s="34"/>
      <c r="F15" s="34">
        <f>I8</f>
        <v>2626.2432024482496</v>
      </c>
    </row>
    <row r="16" spans="2:15">
      <c r="B16" s="29" t="s">
        <v>29</v>
      </c>
      <c r="E16" s="34"/>
      <c r="F16" s="34">
        <f>I11</f>
        <v>1789.9304271971109</v>
      </c>
    </row>
    <row r="17" spans="2:7" ht="12">
      <c r="B17" s="33" t="s">
        <v>30</v>
      </c>
      <c r="C17" s="33"/>
      <c r="D17" s="33"/>
      <c r="E17" s="35"/>
      <c r="F17" s="35">
        <f>F14+F16</f>
        <v>2185.834598344496</v>
      </c>
    </row>
    <row r="18" spans="2:7">
      <c r="B18" s="36" t="s">
        <v>31</v>
      </c>
      <c r="E18" s="34"/>
      <c r="F18" s="34">
        <f>'P&amp;L Input'!D26</f>
        <v>57.3</v>
      </c>
    </row>
    <row r="19" spans="2:7">
      <c r="B19" s="36" t="s">
        <v>32</v>
      </c>
      <c r="E19" s="34"/>
      <c r="F19" s="34">
        <f>-'P&amp;L Input'!D27</f>
        <v>-210.4</v>
      </c>
    </row>
    <row r="20" spans="2:7" ht="12">
      <c r="B20" s="33" t="s">
        <v>33</v>
      </c>
      <c r="C20" s="33"/>
      <c r="D20" s="33"/>
      <c r="E20" s="35"/>
      <c r="F20" s="35">
        <f>SUM(F17:F19)</f>
        <v>2032.7345983444961</v>
      </c>
    </row>
    <row r="23" spans="2:7">
      <c r="B23" s="29" t="s">
        <v>202</v>
      </c>
      <c r="C23" s="301">
        <f>'P&amp;L Input'!E20/'P&amp;L Input'!D20-1</f>
        <v>0.28510705325842545</v>
      </c>
      <c r="D23" s="173">
        <f>'P&amp;L Input'!F20/'P&amp;L Input'!E20-1</f>
        <v>0.53441603126382509</v>
      </c>
      <c r="E23" s="173">
        <f>'P&amp;L Input'!G20/'P&amp;L Input'!F20-1</f>
        <v>0.21767694985474373</v>
      </c>
      <c r="F23" s="173">
        <f>'P&amp;L Input'!H20/'P&amp;L Input'!G20-1</f>
        <v>-9.9089907610408035E-2</v>
      </c>
      <c r="G23" s="304">
        <f>'P&amp;L Input'!I20/'P&amp;L Input'!H20-1</f>
        <v>-3.0641503511437462E-2</v>
      </c>
    </row>
    <row r="24" spans="2:7">
      <c r="B24" s="29" t="s">
        <v>203</v>
      </c>
      <c r="C24" s="172">
        <v>0.08</v>
      </c>
      <c r="D24" s="172">
        <v>0.08</v>
      </c>
      <c r="E24" s="172">
        <v>0.08</v>
      </c>
      <c r="F24" s="172">
        <v>0.08</v>
      </c>
      <c r="G24" s="172">
        <v>0.08</v>
      </c>
    </row>
    <row r="25" spans="2:7">
      <c r="B25" s="29" t="s">
        <v>204</v>
      </c>
      <c r="C25" s="157">
        <f>(SUM(C23:G23)+C24*50)/55</f>
        <v>8.9226702241002695E-2</v>
      </c>
      <c r="D25" s="303"/>
      <c r="E25" s="302"/>
      <c r="F25" s="302"/>
      <c r="G25" s="302"/>
    </row>
    <row r="26" spans="2:7">
      <c r="B26" s="29" t="s">
        <v>205</v>
      </c>
      <c r="C26" s="29">
        <f>'P&amp;L Input'!D20/DCF!C25</f>
        <v>1144.2762921375966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E25" sqref="E25"/>
    </sheetView>
  </sheetViews>
  <sheetFormatPr defaultColWidth="9.109375" defaultRowHeight="13.2"/>
  <cols>
    <col min="1" max="1" width="2" style="1" customWidth="1"/>
    <col min="2" max="16384" width="9.109375" style="1"/>
  </cols>
  <sheetData>
    <row r="14" spans="2:2" ht="50.4">
      <c r="B14" s="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7"/>
  <sheetViews>
    <sheetView zoomScaleNormal="100" workbookViewId="0">
      <selection activeCell="C23" sqref="C23"/>
    </sheetView>
  </sheetViews>
  <sheetFormatPr defaultColWidth="9.109375" defaultRowHeight="13.2"/>
  <cols>
    <col min="1" max="1" width="2" style="1" customWidth="1"/>
    <col min="2" max="2" width="41.6640625" style="1" bestFit="1" customWidth="1"/>
    <col min="3" max="4" width="11.33203125" style="1" bestFit="1" customWidth="1"/>
    <col min="5" max="5" width="11.77734375" style="1" customWidth="1"/>
    <col min="6" max="6" width="10.88671875" style="1" customWidth="1"/>
    <col min="7" max="7" width="11.6640625" style="1" customWidth="1"/>
    <col min="8" max="8" width="12.109375" style="1" customWidth="1"/>
    <col min="9" max="9" width="12" style="1" customWidth="1"/>
    <col min="10" max="16384" width="9.109375" style="1"/>
  </cols>
  <sheetData>
    <row r="1" spans="2:9" ht="15.6">
      <c r="B1" s="2" t="s">
        <v>36</v>
      </c>
    </row>
    <row r="3" spans="2:9" ht="13.8" thickBot="1">
      <c r="B3" s="84" t="s">
        <v>70</v>
      </c>
      <c r="C3" s="85">
        <v>2018</v>
      </c>
      <c r="D3" s="85">
        <v>2019</v>
      </c>
      <c r="E3" s="85" t="s">
        <v>97</v>
      </c>
      <c r="F3" s="85" t="s">
        <v>98</v>
      </c>
      <c r="G3" s="85" t="s">
        <v>99</v>
      </c>
      <c r="H3" s="85" t="s">
        <v>100</v>
      </c>
      <c r="I3" s="85" t="s">
        <v>101</v>
      </c>
    </row>
    <row r="4" spans="2:9">
      <c r="B4" s="76" t="s">
        <v>171</v>
      </c>
      <c r="C4" s="87">
        <v>2613.4</v>
      </c>
      <c r="D4" s="87">
        <v>2759.7</v>
      </c>
      <c r="E4" s="98">
        <f>SUM('Revenue mobile phones'!E5:E7)</f>
        <v>3767.2950764006791</v>
      </c>
      <c r="F4" s="98">
        <f>SUM('Revenue mobile phones'!F5:F7)</f>
        <v>5270.7835925297104</v>
      </c>
      <c r="G4" s="98">
        <f>SUM('Revenue mobile phones'!G5:G7)</f>
        <v>6424.9914969779275</v>
      </c>
      <c r="H4" s="98">
        <f>SUM('Revenue mobile phones'!H5:H7)</f>
        <v>6497.4813587511017</v>
      </c>
      <c r="I4" s="98">
        <f>SUM('Revenue mobile phones'!I5:I7)</f>
        <v>6570.8609180780768</v>
      </c>
    </row>
    <row r="5" spans="2:9">
      <c r="B5" s="74" t="s">
        <v>172</v>
      </c>
      <c r="C5" s="88">
        <v>327.3</v>
      </c>
      <c r="D5" s="88">
        <v>332.4</v>
      </c>
      <c r="E5" s="98">
        <f>('Revenue mobile phones'!E5*'Revenue mobile phones'!E8+'Revenue mobile phones'!E6*'Revenue mobile phones'!E9+'Revenue mobile phones'!E7*'Revenue mobile phones'!E10)/SUM('Revenue mobile phones'!E5:E7)</f>
        <v>361.4432244848075</v>
      </c>
      <c r="F5" s="98">
        <f>('Revenue mobile phones'!F5*'Revenue mobile phones'!F8+'Revenue mobile phones'!F6*'Revenue mobile phones'!F9+'Revenue mobile phones'!F7*'Revenue mobile phones'!F10)/SUM('Revenue mobile phones'!F5:F7)</f>
        <v>386.98059411941284</v>
      </c>
      <c r="G5" s="98">
        <f>('Revenue mobile phones'!G5*'Revenue mobile phones'!G8+'Revenue mobile phones'!G6*'Revenue mobile phones'!G9+'Revenue mobile phones'!G7*'Revenue mobile phones'!G10)/SUM('Revenue mobile phones'!G5:G7)</f>
        <v>402.92236520493225</v>
      </c>
      <c r="H5" s="98">
        <f>('Revenue mobile phones'!H5*'Revenue mobile phones'!H8+'Revenue mobile phones'!H6*'Revenue mobile phones'!H9+'Revenue mobile phones'!H7*'Revenue mobile phones'!H10)/SUM('Revenue mobile phones'!H5:H7)</f>
        <v>410.61112519751913</v>
      </c>
      <c r="I5" s="98">
        <f>('Revenue mobile phones'!I5*'Revenue mobile phones'!I8+'Revenue mobile phones'!I6*'Revenue mobile phones'!I9+'Revenue mobile phones'!I7*'Revenue mobile phones'!I10)/SUM('Revenue mobile phones'!I5:I7)</f>
        <v>418.44350258726138</v>
      </c>
    </row>
    <row r="6" spans="2:9">
      <c r="B6" s="74" t="s">
        <v>71</v>
      </c>
      <c r="C6" s="88">
        <v>855.4</v>
      </c>
      <c r="D6" s="88">
        <v>917.4</v>
      </c>
      <c r="E6" s="98">
        <f>'Revenue mobile phones'!E11/1000</f>
        <v>1361.6632800000007</v>
      </c>
      <c r="F6" s="98">
        <f>'Revenue mobile phones'!F11/1000</f>
        <v>2039.6909661120005</v>
      </c>
      <c r="G6" s="98">
        <f>'Revenue mobile phones'!G11/1000</f>
        <v>2588.7727703839246</v>
      </c>
      <c r="H6" s="98">
        <f>'Revenue mobile phones'!H11/1000</f>
        <v>2667.9381316666954</v>
      </c>
      <c r="I6" s="98">
        <f>'Revenue mobile phones'!I11/1000</f>
        <v>2749.5340575743385</v>
      </c>
    </row>
    <row r="7" spans="2:9">
      <c r="B7" s="81" t="s">
        <v>72</v>
      </c>
      <c r="C7" s="141">
        <v>-575.70000000000005</v>
      </c>
      <c r="D7" s="141">
        <v>-610.20000000000005</v>
      </c>
      <c r="E7" s="142">
        <f>COGS!E7/1000</f>
        <v>-928.13655600000061</v>
      </c>
      <c r="F7" s="142">
        <f>COGS!F7/1000</f>
        <v>-1389.4912340784008</v>
      </c>
      <c r="G7" s="142">
        <f>COGS!G7/1000</f>
        <v>-1763.1227840085273</v>
      </c>
      <c r="H7" s="142">
        <f>COGS!H7/1000</f>
        <v>-1817.0581886176085</v>
      </c>
      <c r="I7" s="142">
        <f>COGS!I7/1000</f>
        <v>-1872.6502819457762</v>
      </c>
    </row>
    <row r="8" spans="2:9" ht="13.8" thickBot="1">
      <c r="B8" s="83" t="s">
        <v>73</v>
      </c>
      <c r="C8" s="90">
        <f t="shared" ref="C8:I8" si="0">C6+C7</f>
        <v>279.69999999999993</v>
      </c>
      <c r="D8" s="90">
        <f t="shared" si="0"/>
        <v>307.19999999999993</v>
      </c>
      <c r="E8" s="90">
        <f t="shared" si="0"/>
        <v>433.52672400000006</v>
      </c>
      <c r="F8" s="90">
        <f t="shared" si="0"/>
        <v>650.19973203359973</v>
      </c>
      <c r="G8" s="90">
        <f t="shared" si="0"/>
        <v>825.64998637539725</v>
      </c>
      <c r="H8" s="90">
        <f t="shared" si="0"/>
        <v>850.87994304908693</v>
      </c>
      <c r="I8" s="90">
        <f t="shared" si="0"/>
        <v>876.88377562856226</v>
      </c>
    </row>
    <row r="9" spans="2:9" ht="13.8" thickTop="1">
      <c r="B9" s="78" t="s">
        <v>87</v>
      </c>
      <c r="C9" s="147">
        <f t="shared" ref="C9:I9" si="1">(C8/C6)</f>
        <v>0.3269815291091886</v>
      </c>
      <c r="D9" s="147">
        <f t="shared" si="1"/>
        <v>0.33485938521909736</v>
      </c>
      <c r="E9" s="148">
        <f t="shared" si="1"/>
        <v>0.31838027092865412</v>
      </c>
      <c r="F9" s="148">
        <f t="shared" si="1"/>
        <v>0.31877364896751564</v>
      </c>
      <c r="G9" s="148">
        <f t="shared" si="1"/>
        <v>0.31893490066837743</v>
      </c>
      <c r="H9" s="148">
        <f t="shared" si="1"/>
        <v>0.31892791401333254</v>
      </c>
      <c r="I9" s="92">
        <f t="shared" si="1"/>
        <v>0.31892086341427478</v>
      </c>
    </row>
    <row r="10" spans="2:9">
      <c r="B10" s="74" t="s">
        <v>74</v>
      </c>
      <c r="C10" s="143">
        <v>-131.19999999999999</v>
      </c>
      <c r="D10" s="145">
        <v>-136.6</v>
      </c>
      <c r="E10" s="145">
        <f>Opex!N4</f>
        <v>-190.6328592000001</v>
      </c>
      <c r="F10" s="145">
        <f>Opex!O4</f>
        <v>-275.35828042512009</v>
      </c>
      <c r="G10" s="145">
        <f>Opex!P4</f>
        <v>-336.54046014991019</v>
      </c>
      <c r="H10" s="145">
        <f>Opex!Q4</f>
        <v>-338.8281427216703</v>
      </c>
      <c r="I10" s="145">
        <f>Opex!R4</f>
        <v>-349.19082531194101</v>
      </c>
    </row>
    <row r="11" spans="2:9">
      <c r="B11" s="74" t="s">
        <v>75</v>
      </c>
      <c r="C11" s="145">
        <v>-20</v>
      </c>
      <c r="D11" s="145">
        <v>-25.3</v>
      </c>
      <c r="E11" s="145">
        <f>Opex!N6</f>
        <v>-40.849898400000022</v>
      </c>
      <c r="F11" s="145">
        <f>Opex!O6</f>
        <v>-50.992274152800015</v>
      </c>
      <c r="G11" s="145">
        <f>Opex!P6</f>
        <v>-64.719319259598123</v>
      </c>
      <c r="H11" s="145">
        <f>Opex!Q6</f>
        <v>-80.038143950000858</v>
      </c>
      <c r="I11" s="145">
        <f>Opex!R6</f>
        <v>-68.738351439358468</v>
      </c>
    </row>
    <row r="12" spans="2:9">
      <c r="B12" s="74" t="s">
        <v>76</v>
      </c>
      <c r="C12" s="146">
        <v>-10.8</v>
      </c>
      <c r="D12" s="145">
        <v>-10.9</v>
      </c>
      <c r="E12" s="145">
        <f>Opex!N8</f>
        <v>-16.339959360000009</v>
      </c>
      <c r="F12" s="145">
        <f>Opex!O8</f>
        <v>-24.476291593344008</v>
      </c>
      <c r="G12" s="145">
        <f>Opex!P8</f>
        <v>-31.065273244607095</v>
      </c>
      <c r="H12" s="145">
        <f>Opex!Q8</f>
        <v>-32.015257580000345</v>
      </c>
      <c r="I12" s="145">
        <f>Opex!R8</f>
        <v>-32.994408690892065</v>
      </c>
    </row>
    <row r="13" spans="2:9">
      <c r="B13" s="74" t="s">
        <v>77</v>
      </c>
      <c r="C13" s="146">
        <v>-12.1</v>
      </c>
      <c r="D13" s="145">
        <v>-12.1</v>
      </c>
      <c r="E13" s="145">
        <f>Opex!N10</f>
        <v>-19.261311302314716</v>
      </c>
      <c r="F13" s="145">
        <f>Opex!O10</f>
        <v>-28.852303822720607</v>
      </c>
      <c r="G13" s="145">
        <f>Opex!P10</f>
        <v>-36.619301521680484</v>
      </c>
      <c r="H13" s="145">
        <f>Opex!Q10</f>
        <v>-37.739129522056366</v>
      </c>
      <c r="I13" s="145">
        <f>Opex!R10</f>
        <v>-38.893338901858193</v>
      </c>
    </row>
    <row r="14" spans="2:9">
      <c r="B14" s="81" t="s">
        <v>78</v>
      </c>
      <c r="C14" s="144">
        <v>-10.199999999999999</v>
      </c>
      <c r="D14" s="144">
        <v>-15.2</v>
      </c>
      <c r="E14" s="145">
        <f>Opex!N12</f>
        <v>-27.233265600000014</v>
      </c>
      <c r="F14" s="145">
        <f>Opex!O12</f>
        <v>-61.19072898336001</v>
      </c>
      <c r="G14" s="145">
        <f>Opex!P12</f>
        <v>-103.55091081535699</v>
      </c>
      <c r="H14" s="145">
        <f>Opex!Q12</f>
        <v>-133.39690658333478</v>
      </c>
      <c r="I14" s="145">
        <f>Opex!R12</f>
        <v>-164.97204345446031</v>
      </c>
    </row>
    <row r="15" spans="2:9">
      <c r="B15" s="80" t="s">
        <v>79</v>
      </c>
      <c r="C15" s="152">
        <f t="shared" ref="C15:I15" si="2">SUM(C10:C14)</f>
        <v>-184.29999999999998</v>
      </c>
      <c r="D15" s="152">
        <f t="shared" si="2"/>
        <v>-200.1</v>
      </c>
      <c r="E15" s="152">
        <f t="shared" si="2"/>
        <v>-294.3172938623149</v>
      </c>
      <c r="F15" s="152">
        <f t="shared" si="2"/>
        <v>-440.86987897734474</v>
      </c>
      <c r="G15" s="152">
        <f t="shared" si="2"/>
        <v>-572.49526499115291</v>
      </c>
      <c r="H15" s="152">
        <f t="shared" si="2"/>
        <v>-622.01758035706268</v>
      </c>
      <c r="I15" s="152">
        <f t="shared" si="2"/>
        <v>-654.78896779851004</v>
      </c>
    </row>
    <row r="16" spans="2:9" ht="13.8" thickBot="1">
      <c r="B16" s="83" t="s">
        <v>80</v>
      </c>
      <c r="C16" s="90">
        <f t="shared" ref="C16:I16" si="3">C8+C15</f>
        <v>95.399999999999949</v>
      </c>
      <c r="D16" s="90">
        <f t="shared" si="3"/>
        <v>107.09999999999994</v>
      </c>
      <c r="E16" s="90">
        <f t="shared" si="3"/>
        <v>139.20943013768516</v>
      </c>
      <c r="F16" s="90">
        <f t="shared" si="3"/>
        <v>209.32985305625499</v>
      </c>
      <c r="G16" s="90">
        <f t="shared" si="3"/>
        <v>253.15472138424434</v>
      </c>
      <c r="H16" s="90">
        <f t="shared" si="3"/>
        <v>228.86236269202425</v>
      </c>
      <c r="I16" s="90">
        <f t="shared" si="3"/>
        <v>222.09480783005222</v>
      </c>
    </row>
    <row r="17" spans="2:9" ht="13.8" thickTop="1">
      <c r="B17" s="78" t="s">
        <v>88</v>
      </c>
      <c r="C17" s="147">
        <f t="shared" ref="C17:I17" si="4">C16/C6</f>
        <v>0.11152677110123912</v>
      </c>
      <c r="D17" s="147">
        <f t="shared" si="4"/>
        <v>0.1167429692609548</v>
      </c>
      <c r="E17" s="284">
        <f t="shared" si="4"/>
        <v>0.10223484188960805</v>
      </c>
      <c r="F17" s="284">
        <f t="shared" si="4"/>
        <v>0.10262821992846959</v>
      </c>
      <c r="G17" s="284">
        <f t="shared" si="4"/>
        <v>9.7789471629331354E-2</v>
      </c>
      <c r="H17" s="147">
        <f t="shared" si="4"/>
        <v>8.5782484974286477E-2</v>
      </c>
      <c r="I17" s="92">
        <f t="shared" si="4"/>
        <v>8.0775434375228689E-2</v>
      </c>
    </row>
    <row r="18" spans="2:9">
      <c r="B18" s="74" t="s">
        <v>81</v>
      </c>
      <c r="C18" s="145">
        <v>-11</v>
      </c>
      <c r="D18" s="88"/>
      <c r="E18" s="145">
        <v>-5.5</v>
      </c>
      <c r="F18" s="145">
        <v>-5.5</v>
      </c>
      <c r="G18" s="145">
        <v>-5.5</v>
      </c>
      <c r="H18" s="145">
        <v>-5.5</v>
      </c>
      <c r="I18" s="145">
        <v>-5.5</v>
      </c>
    </row>
    <row r="19" spans="2:9">
      <c r="B19" s="81" t="s">
        <v>82</v>
      </c>
      <c r="C19" s="89"/>
      <c r="D19" s="141">
        <v>-5</v>
      </c>
      <c r="E19" s="141">
        <v>-2.5</v>
      </c>
      <c r="F19" s="141">
        <v>-2.5</v>
      </c>
      <c r="G19" s="141">
        <v>-2.5</v>
      </c>
      <c r="H19" s="141">
        <v>-2.5</v>
      </c>
      <c r="I19" s="141">
        <v>-2.5</v>
      </c>
    </row>
    <row r="20" spans="2:9" ht="13.8" thickBot="1">
      <c r="B20" s="83" t="s">
        <v>83</v>
      </c>
      <c r="C20" s="90">
        <f>C16+C18+C19</f>
        <v>84.399999999999949</v>
      </c>
      <c r="D20" s="90">
        <f t="shared" ref="D20:I20" si="5">D16+D18+D19</f>
        <v>102.09999999999994</v>
      </c>
      <c r="E20" s="90">
        <f t="shared" si="5"/>
        <v>131.20943013768516</v>
      </c>
      <c r="F20" s="90">
        <f t="shared" si="5"/>
        <v>201.32985305625499</v>
      </c>
      <c r="G20" s="90">
        <f t="shared" si="5"/>
        <v>245.15472138424434</v>
      </c>
      <c r="H20" s="90">
        <f t="shared" si="5"/>
        <v>220.86236269202425</v>
      </c>
      <c r="I20" s="90">
        <f t="shared" si="5"/>
        <v>214.09480783005222</v>
      </c>
    </row>
    <row r="21" spans="2:9" ht="13.8" thickTop="1">
      <c r="B21" s="78" t="s">
        <v>89</v>
      </c>
      <c r="C21" s="147">
        <f t="shared" ref="C21:I21" si="6">C20/C6</f>
        <v>9.8667290156651807E-2</v>
      </c>
      <c r="D21" s="147">
        <f t="shared" si="6"/>
        <v>0.11129278395465439</v>
      </c>
      <c r="E21" s="284">
        <f t="shared" si="6"/>
        <v>9.6359674278420057E-2</v>
      </c>
      <c r="F21" s="147">
        <f t="shared" si="6"/>
        <v>9.8706057143560372E-2</v>
      </c>
      <c r="G21" s="147">
        <f t="shared" si="6"/>
        <v>9.4699204267312723E-2</v>
      </c>
      <c r="H21" s="147">
        <f t="shared" si="6"/>
        <v>8.2783914690723603E-2</v>
      </c>
      <c r="I21" s="92">
        <f t="shared" si="6"/>
        <v>7.7865850484837573E-2</v>
      </c>
    </row>
    <row r="22" spans="2:9" s="3" customFormat="1">
      <c r="B22" s="81" t="s">
        <v>84</v>
      </c>
      <c r="C22" s="141">
        <v>-1.7</v>
      </c>
      <c r="D22" s="141">
        <v>-2.9</v>
      </c>
      <c r="E22" s="141">
        <f>E6*(C22+D22)/(C6+D6)</f>
        <v>-3.5331966877256331</v>
      </c>
      <c r="F22" s="141">
        <f>F6*(D22+E22)/(D6+E6)</f>
        <v>-5.7575115541221891</v>
      </c>
      <c r="G22" s="141">
        <f>G6*(E22+F22)/(E6+F6)</f>
        <v>-7.0711636524098669</v>
      </c>
      <c r="H22" s="141">
        <f>H6*(F22+G22)/(F6+G6)</f>
        <v>-7.3947023701185097</v>
      </c>
      <c r="I22" s="141">
        <f>I6*(G22+H22)/(G6+H6)</f>
        <v>-7.5664026503214004</v>
      </c>
    </row>
    <row r="23" spans="2:9" s="3" customFormat="1">
      <c r="B23" s="79" t="s">
        <v>0</v>
      </c>
      <c r="C23" s="91">
        <f t="shared" ref="C23:I23" si="7">C20+C22</f>
        <v>82.699999999999946</v>
      </c>
      <c r="D23" s="91">
        <f t="shared" si="7"/>
        <v>99.199999999999932</v>
      </c>
      <c r="E23" s="91">
        <f t="shared" si="7"/>
        <v>127.67623344995953</v>
      </c>
      <c r="F23" s="91">
        <f t="shared" si="7"/>
        <v>195.57234150213282</v>
      </c>
      <c r="G23" s="91">
        <f t="shared" si="7"/>
        <v>238.08355773183447</v>
      </c>
      <c r="H23" s="91">
        <f t="shared" si="7"/>
        <v>213.46766032190573</v>
      </c>
      <c r="I23" s="91">
        <f t="shared" si="7"/>
        <v>206.52840517973081</v>
      </c>
    </row>
    <row r="24" spans="2:9">
      <c r="B24" s="82" t="s">
        <v>90</v>
      </c>
      <c r="C24" s="153">
        <f t="shared" ref="C24:I24" si="8">C23/C6</f>
        <v>9.6679915828851937E-2</v>
      </c>
      <c r="D24" s="153">
        <f t="shared" si="8"/>
        <v>0.10813167647700014</v>
      </c>
      <c r="E24" s="153">
        <f t="shared" si="8"/>
        <v>9.3764908935459773E-2</v>
      </c>
      <c r="F24" s="153">
        <f t="shared" si="8"/>
        <v>9.5883319949652532E-2</v>
      </c>
      <c r="G24" s="153">
        <f t="shared" si="8"/>
        <v>9.1967730986495896E-2</v>
      </c>
      <c r="H24" s="153">
        <f t="shared" si="8"/>
        <v>8.0012222842869948E-2</v>
      </c>
      <c r="I24" s="93">
        <f t="shared" si="8"/>
        <v>7.51139650773891E-2</v>
      </c>
    </row>
    <row r="25" spans="2:9" ht="13.8" thickBot="1">
      <c r="B25" s="84" t="s">
        <v>70</v>
      </c>
      <c r="C25" s="86">
        <v>2018</v>
      </c>
      <c r="D25" s="86">
        <v>2019</v>
      </c>
      <c r="E25" s="85" t="s">
        <v>97</v>
      </c>
      <c r="F25" s="85" t="s">
        <v>98</v>
      </c>
      <c r="G25" s="85" t="s">
        <v>99</v>
      </c>
      <c r="H25" s="85" t="s">
        <v>100</v>
      </c>
      <c r="I25" s="85" t="s">
        <v>101</v>
      </c>
    </row>
    <row r="26" spans="2:9">
      <c r="B26" s="76" t="s">
        <v>85</v>
      </c>
      <c r="C26" s="77">
        <v>34.200000000000003</v>
      </c>
      <c r="D26" s="77">
        <v>57.3</v>
      </c>
    </row>
    <row r="27" spans="2:9">
      <c r="B27" s="74" t="s">
        <v>86</v>
      </c>
      <c r="C27" s="75">
        <v>175.7</v>
      </c>
      <c r="D27" s="75">
        <v>210.4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94BC-0779-4E5D-BE53-285BFCB26351}">
  <dimension ref="B1:O335"/>
  <sheetViews>
    <sheetView zoomScale="55" zoomScaleNormal="55" workbookViewId="0">
      <selection activeCell="N31" sqref="N31"/>
    </sheetView>
  </sheetViews>
  <sheetFormatPr defaultRowHeight="14.4"/>
  <cols>
    <col min="1" max="1" width="2.33203125" style="94" customWidth="1"/>
    <col min="2" max="2" width="54.109375" style="94" customWidth="1"/>
    <col min="3" max="3" width="17.77734375" style="94" customWidth="1"/>
    <col min="4" max="4" width="22.5546875" style="94" customWidth="1"/>
    <col min="5" max="5" width="17.109375" style="94" customWidth="1"/>
    <col min="6" max="6" width="17.33203125" style="94" customWidth="1"/>
    <col min="7" max="7" width="16.6640625" style="94" customWidth="1"/>
    <col min="8" max="9" width="16.88671875" style="94" customWidth="1"/>
    <col min="10" max="10" width="17.109375" style="94" customWidth="1"/>
    <col min="11" max="11" width="18.44140625" style="94" customWidth="1"/>
    <col min="12" max="12" width="17.88671875" style="94" customWidth="1"/>
    <col min="13" max="13" width="17" style="94" customWidth="1"/>
    <col min="14" max="14" width="20.21875" style="94" customWidth="1"/>
    <col min="15" max="15" width="15.44140625" style="94" customWidth="1"/>
    <col min="16" max="16" width="13.109375" style="94" customWidth="1"/>
    <col min="17" max="17" width="16" style="94" customWidth="1"/>
    <col min="18" max="18" width="12.109375" style="94" customWidth="1"/>
    <col min="19" max="19" width="21.6640625" style="94" customWidth="1"/>
    <col min="20" max="20" width="16.33203125" style="94" customWidth="1"/>
    <col min="21" max="21" width="15" style="94" customWidth="1"/>
    <col min="22" max="22" width="8.88671875" style="94"/>
    <col min="23" max="23" width="18.44140625" style="94" customWidth="1"/>
    <col min="24" max="24" width="11.109375" style="94" bestFit="1" customWidth="1"/>
    <col min="25" max="16384" width="8.88671875" style="94"/>
  </cols>
  <sheetData>
    <row r="1" spans="2:15" ht="12" customHeight="1" thickBot="1"/>
    <row r="2" spans="2:15" ht="18" customHeight="1">
      <c r="B2" s="223" t="s">
        <v>93</v>
      </c>
      <c r="C2" s="224"/>
      <c r="D2" s="224"/>
      <c r="E2" s="224"/>
      <c r="F2" s="224"/>
      <c r="G2" s="224"/>
      <c r="H2" s="224"/>
      <c r="I2" s="224"/>
      <c r="J2" s="224"/>
      <c r="K2" s="224"/>
      <c r="L2" s="225"/>
      <c r="M2" s="226"/>
    </row>
    <row r="3" spans="2:15" ht="18" customHeight="1">
      <c r="B3" s="257"/>
      <c r="C3" s="258">
        <v>2014</v>
      </c>
      <c r="D3" s="258">
        <v>2015</v>
      </c>
      <c r="E3" s="258">
        <v>2016</v>
      </c>
      <c r="F3" s="258">
        <v>2017</v>
      </c>
      <c r="G3" s="258">
        <v>2018</v>
      </c>
      <c r="H3" s="258">
        <v>2019</v>
      </c>
      <c r="I3" s="258" t="s">
        <v>97</v>
      </c>
      <c r="J3" s="258" t="s">
        <v>98</v>
      </c>
      <c r="K3" s="258" t="s">
        <v>99</v>
      </c>
      <c r="L3" s="258" t="s">
        <v>100</v>
      </c>
      <c r="M3" s="258" t="s">
        <v>101</v>
      </c>
    </row>
    <row r="4" spans="2:15" ht="18" customHeight="1">
      <c r="B4" s="212" t="s">
        <v>94</v>
      </c>
      <c r="C4" s="213">
        <v>194703</v>
      </c>
      <c r="D4" s="213">
        <v>202491</v>
      </c>
      <c r="E4" s="213">
        <v>210995</v>
      </c>
      <c r="F4" s="213">
        <v>221123</v>
      </c>
      <c r="G4" s="213">
        <v>232842</v>
      </c>
      <c r="H4" s="213">
        <v>245882</v>
      </c>
      <c r="I4" s="213">
        <v>258176</v>
      </c>
      <c r="J4" s="213">
        <v>268503</v>
      </c>
      <c r="K4" s="213">
        <v>276558</v>
      </c>
      <c r="L4" s="213">
        <f>K4*(1+K5)</f>
        <v>284854.64730003016</v>
      </c>
      <c r="M4" s="214">
        <f>L4*(1+L5)</f>
        <v>293400.19123809319</v>
      </c>
      <c r="O4" s="97"/>
    </row>
    <row r="5" spans="2:15" ht="18" customHeight="1">
      <c r="B5" s="212" t="s">
        <v>95</v>
      </c>
      <c r="C5" s="215"/>
      <c r="D5" s="263">
        <f t="shared" ref="D5:K5" si="0">(D4-C4)/C4</f>
        <v>3.9999383676676784E-2</v>
      </c>
      <c r="E5" s="263">
        <f t="shared" si="0"/>
        <v>4.1996928258539887E-2</v>
      </c>
      <c r="F5" s="263">
        <f t="shared" si="0"/>
        <v>4.8001137467712507E-2</v>
      </c>
      <c r="G5" s="263">
        <f t="shared" si="0"/>
        <v>5.2997652890020487E-2</v>
      </c>
      <c r="H5" s="263">
        <f t="shared" si="0"/>
        <v>5.600364195463018E-2</v>
      </c>
      <c r="I5" s="263">
        <f t="shared" si="0"/>
        <v>4.999959330085163E-2</v>
      </c>
      <c r="J5" s="263">
        <f t="shared" si="0"/>
        <v>3.9999845066931085E-2</v>
      </c>
      <c r="K5" s="263">
        <f t="shared" si="0"/>
        <v>2.9999664808214432E-2</v>
      </c>
      <c r="L5" s="265">
        <v>2.9999664808214432E-2</v>
      </c>
      <c r="M5" s="266">
        <v>2.9999664808214432E-2</v>
      </c>
    </row>
    <row r="6" spans="2:15" ht="18" customHeight="1">
      <c r="B6" s="259" t="s">
        <v>186</v>
      </c>
      <c r="C6" s="215"/>
      <c r="D6" s="216"/>
      <c r="E6" s="216"/>
      <c r="F6" s="216"/>
      <c r="G6" s="264">
        <f>'Revenue mobile phones'!C5+'Revenue mobile phones'!C6</f>
        <v>1899.283751828877</v>
      </c>
      <c r="H6" s="264">
        <f>'Revenue mobile phones'!D5+'Revenue mobile phones'!D6</f>
        <v>1983.5314091680812</v>
      </c>
      <c r="I6" s="264">
        <f>'Revenue mobile phones'!E5+'Revenue mobile phones'!E6</f>
        <v>2975.2971137521217</v>
      </c>
      <c r="J6" s="264">
        <f>'Revenue mobile phones'!F5+'Revenue mobile phones'!F6</f>
        <v>4462.9456706281817</v>
      </c>
      <c r="K6" s="264">
        <f>'Revenue mobile phones'!G5+'Revenue mobile phones'!G6</f>
        <v>5600.9968166383678</v>
      </c>
      <c r="L6" s="264">
        <f>'Revenue mobile phones'!H5+'Revenue mobile phones'!H6</f>
        <v>5657.0067848047511</v>
      </c>
      <c r="M6" s="214">
        <f>'Revenue mobile phones'!I5+'Revenue mobile phones'!I6</f>
        <v>5713.5768526527991</v>
      </c>
    </row>
    <row r="7" spans="2:15" ht="18" customHeight="1">
      <c r="B7" s="259" t="s">
        <v>188</v>
      </c>
      <c r="C7" s="218"/>
      <c r="D7" s="218"/>
      <c r="E7" s="218"/>
      <c r="F7" s="218"/>
      <c r="G7" s="267">
        <f>G6/G4</f>
        <v>8.1569637429195641E-3</v>
      </c>
      <c r="H7" s="267">
        <f t="shared" ref="H7:M7" si="1">H6/H4</f>
        <v>8.0670053487773858E-3</v>
      </c>
      <c r="I7" s="267">
        <f t="shared" si="1"/>
        <v>1.1524297819131607E-2</v>
      </c>
      <c r="J7" s="267">
        <f t="shared" si="1"/>
        <v>1.6621585869164148E-2</v>
      </c>
      <c r="K7" s="267">
        <f t="shared" si="1"/>
        <v>2.0252521411922155E-2</v>
      </c>
      <c r="L7" s="267">
        <f t="shared" si="1"/>
        <v>1.9859275031754598E-2</v>
      </c>
      <c r="M7" s="268">
        <f t="shared" si="1"/>
        <v>1.9473664378140274E-2</v>
      </c>
      <c r="O7" s="97"/>
    </row>
    <row r="8" spans="2:15" ht="18" customHeight="1">
      <c r="B8" s="212" t="s">
        <v>193</v>
      </c>
      <c r="C8" s="218"/>
      <c r="D8" s="218"/>
      <c r="E8" s="218"/>
      <c r="F8" s="218"/>
      <c r="G8" s="218"/>
      <c r="H8" s="216">
        <f t="shared" ref="H8:M8" si="2">H7/G7-1</f>
        <v>-1.1028416574765831E-2</v>
      </c>
      <c r="I8" s="216">
        <f t="shared" si="2"/>
        <v>0.42857198190381762</v>
      </c>
      <c r="J8" s="216">
        <f t="shared" si="2"/>
        <v>0.44230790717422108</v>
      </c>
      <c r="K8" s="216">
        <f t="shared" si="2"/>
        <v>0.218446998459636</v>
      </c>
      <c r="L8" s="216">
        <f t="shared" si="2"/>
        <v>-1.9417156618141473E-2</v>
      </c>
      <c r="M8" s="262">
        <f t="shared" si="2"/>
        <v>-1.9417156618141362E-2</v>
      </c>
    </row>
    <row r="9" spans="2:15" ht="18" customHeight="1">
      <c r="B9" s="211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7"/>
    </row>
    <row r="10" spans="2:15" ht="18" customHeight="1">
      <c r="B10" s="257"/>
      <c r="C10" s="258">
        <v>2014</v>
      </c>
      <c r="D10" s="258">
        <v>2015</v>
      </c>
      <c r="E10" s="258">
        <v>2016</v>
      </c>
      <c r="F10" s="258">
        <v>2017</v>
      </c>
      <c r="G10" s="258">
        <v>2018</v>
      </c>
      <c r="H10" s="258">
        <v>2019</v>
      </c>
      <c r="I10" s="258" t="s">
        <v>97</v>
      </c>
      <c r="J10" s="258" t="s">
        <v>98</v>
      </c>
      <c r="K10" s="258" t="s">
        <v>99</v>
      </c>
      <c r="L10" s="258" t="s">
        <v>100</v>
      </c>
      <c r="M10" s="258" t="s">
        <v>101</v>
      </c>
    </row>
    <row r="11" spans="2:15" ht="18" customHeight="1">
      <c r="B11" s="212" t="s">
        <v>96</v>
      </c>
      <c r="C11" s="213">
        <v>63851</v>
      </c>
      <c r="D11" s="213">
        <v>65000</v>
      </c>
      <c r="E11" s="213">
        <v>66300</v>
      </c>
      <c r="F11" s="213">
        <v>67759</v>
      </c>
      <c r="G11" s="213">
        <v>69453</v>
      </c>
      <c r="H11" s="213">
        <v>71536</v>
      </c>
      <c r="I11" s="213">
        <v>73539</v>
      </c>
      <c r="J11" s="213">
        <v>75231</v>
      </c>
      <c r="K11" s="213">
        <v>76735</v>
      </c>
      <c r="L11" s="213">
        <f>K11*(1+$K$12)</f>
        <v>78269.067605109594</v>
      </c>
      <c r="M11" s="214">
        <f>L11*(1+$K$12)</f>
        <v>79833.80391963532</v>
      </c>
    </row>
    <row r="12" spans="2:15" ht="18" customHeight="1">
      <c r="B12" s="212" t="s">
        <v>184</v>
      </c>
      <c r="C12" s="215"/>
      <c r="D12" s="216">
        <f t="shared" ref="D12:K12" si="3">(D11-C11)/C11</f>
        <v>1.7995019655134611E-2</v>
      </c>
      <c r="E12" s="216">
        <f t="shared" si="3"/>
        <v>0.02</v>
      </c>
      <c r="F12" s="216">
        <f t="shared" si="3"/>
        <v>2.200603318250377E-2</v>
      </c>
      <c r="G12" s="216">
        <f t="shared" si="3"/>
        <v>2.5000368954677606E-2</v>
      </c>
      <c r="H12" s="216">
        <f t="shared" si="3"/>
        <v>2.999150504657826E-2</v>
      </c>
      <c r="I12" s="216">
        <f t="shared" si="3"/>
        <v>2.7999888168195035E-2</v>
      </c>
      <c r="J12" s="216">
        <f t="shared" si="3"/>
        <v>2.3008199730755109E-2</v>
      </c>
      <c r="K12" s="216">
        <f t="shared" si="3"/>
        <v>1.9991758716486556E-2</v>
      </c>
      <c r="L12" s="216">
        <f>(L11-K11)/K11</f>
        <v>1.9991758716486535E-2</v>
      </c>
      <c r="M12" s="219">
        <f>(M11-L11)/L11</f>
        <v>1.9991758716486563E-2</v>
      </c>
    </row>
    <row r="13" spans="2:15" ht="18" customHeight="1">
      <c r="B13" s="259" t="s">
        <v>185</v>
      </c>
      <c r="C13" s="215"/>
      <c r="D13" s="215"/>
      <c r="E13" s="215"/>
      <c r="F13" s="215"/>
      <c r="G13" s="218">
        <f>('Revenue mobile phones'!C5*'Revenue mobile phones'!C8+'Revenue mobile phones'!C6*'Revenue mobile phones'!C9)/1000</f>
        <v>709.98199999999997</v>
      </c>
      <c r="H13" s="218">
        <f>('Revenue mobile phones'!D5*'Revenue mobile phones'!D8+'Revenue mobile phones'!D6*'Revenue mobile phones'!D9)/1000</f>
        <v>831.69999999999982</v>
      </c>
      <c r="I13" s="218">
        <f>('Revenue mobile phones'!E5*'Revenue mobile phones'!E8+'Revenue mobile phones'!E6*'Revenue mobile phones'!E9)/1000</f>
        <v>1272.5009999999995</v>
      </c>
      <c r="J13" s="218">
        <f>('Revenue mobile phones'!F5*'Revenue mobile phones'!F8+'Revenue mobile phones'!F6*'Revenue mobile phones'!F9)/1000</f>
        <v>1946.9265299999995</v>
      </c>
      <c r="K13" s="218">
        <f>('Revenue mobile phones'!G5*'Revenue mobile phones'!G8+'Revenue mobile phones'!G6*'Revenue mobile phones'!G9)/1000</f>
        <v>2492.260651052999</v>
      </c>
      <c r="L13" s="218">
        <f>('Revenue mobile phones'!H5*'Revenue mobile phones'!H8+'Revenue mobile phones'!H6*'Revenue mobile phones'!H9)/1000</f>
        <v>2567.5269227147996</v>
      </c>
      <c r="M13" s="260">
        <f>('Revenue mobile phones'!I5*'Revenue mobile phones'!I8+'Revenue mobile phones'!I6*'Revenue mobile phones'!I9)/1000</f>
        <v>2645.0662357807864</v>
      </c>
    </row>
    <row r="14" spans="2:15" ht="18" customHeight="1">
      <c r="B14" s="259" t="s">
        <v>187</v>
      </c>
      <c r="C14" s="218"/>
      <c r="D14" s="218"/>
      <c r="E14" s="218"/>
      <c r="F14" s="218"/>
      <c r="G14" s="261">
        <f>G13/G11</f>
        <v>1.0222481390292715E-2</v>
      </c>
      <c r="H14" s="261">
        <f t="shared" ref="H14:M14" si="4">H13/H11</f>
        <v>1.162631402370834E-2</v>
      </c>
      <c r="I14" s="261">
        <f t="shared" si="4"/>
        <v>1.730375719006241E-2</v>
      </c>
      <c r="J14" s="261">
        <f t="shared" si="4"/>
        <v>2.5879312118674475E-2</v>
      </c>
      <c r="K14" s="261">
        <f t="shared" si="4"/>
        <v>3.2478799127555864E-2</v>
      </c>
      <c r="L14" s="261">
        <f t="shared" si="4"/>
        <v>3.2803852163778492E-2</v>
      </c>
      <c r="M14" s="262">
        <f t="shared" si="4"/>
        <v>3.3132158382975736E-2</v>
      </c>
    </row>
    <row r="15" spans="2:15" ht="18" customHeight="1">
      <c r="B15" s="212" t="s">
        <v>194</v>
      </c>
      <c r="C15" s="218"/>
      <c r="D15" s="218"/>
      <c r="E15" s="218"/>
      <c r="F15" s="218"/>
      <c r="G15" s="218"/>
      <c r="H15" s="263">
        <f t="shared" ref="H15:M15" si="5">H14/G14-1</f>
        <v>0.13732797153817322</v>
      </c>
      <c r="I15" s="263">
        <f t="shared" si="5"/>
        <v>0.48832701015787539</v>
      </c>
      <c r="J15" s="263">
        <f t="shared" si="5"/>
        <v>0.49558918530924756</v>
      </c>
      <c r="K15" s="263">
        <f t="shared" si="5"/>
        <v>0.25501014009252621</v>
      </c>
      <c r="L15" s="263">
        <f t="shared" si="5"/>
        <v>1.0008160552550827E-2</v>
      </c>
      <c r="M15" s="262">
        <f t="shared" si="5"/>
        <v>1.0008160552551049E-2</v>
      </c>
    </row>
    <row r="16" spans="2:15" ht="18" customHeight="1">
      <c r="B16" s="211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7"/>
    </row>
    <row r="17" spans="2:13" ht="18" customHeight="1">
      <c r="B17" s="257"/>
      <c r="C17" s="258">
        <v>2014</v>
      </c>
      <c r="D17" s="258">
        <v>2015</v>
      </c>
      <c r="E17" s="258">
        <v>2016</v>
      </c>
      <c r="F17" s="258">
        <v>2017</v>
      </c>
      <c r="G17" s="258">
        <v>2018</v>
      </c>
      <c r="H17" s="258">
        <v>2019</v>
      </c>
      <c r="I17" s="258" t="s">
        <v>97</v>
      </c>
      <c r="J17" s="258" t="s">
        <v>98</v>
      </c>
      <c r="K17" s="258" t="s">
        <v>99</v>
      </c>
      <c r="L17" s="258" t="s">
        <v>100</v>
      </c>
      <c r="M17" s="258" t="s">
        <v>101</v>
      </c>
    </row>
    <row r="18" spans="2:13" ht="18" customHeight="1">
      <c r="B18" s="269" t="s">
        <v>190</v>
      </c>
      <c r="C18" s="220">
        <f t="shared" ref="C18:M18" si="6">(C11*1000000)/(C4*1000)</f>
        <v>327.94050425519896</v>
      </c>
      <c r="D18" s="220">
        <f t="shared" si="6"/>
        <v>321.00192107303536</v>
      </c>
      <c r="E18" s="220">
        <f t="shared" si="6"/>
        <v>314.22545557951611</v>
      </c>
      <c r="F18" s="220">
        <f t="shared" si="6"/>
        <v>306.43126223866352</v>
      </c>
      <c r="G18" s="220">
        <f t="shared" si="6"/>
        <v>298.28381477568479</v>
      </c>
      <c r="H18" s="220">
        <f t="shared" si="6"/>
        <v>290.936302779382</v>
      </c>
      <c r="I18" s="220">
        <f t="shared" si="6"/>
        <v>284.84057387208725</v>
      </c>
      <c r="J18" s="220">
        <f t="shared" si="6"/>
        <v>280.18681355515582</v>
      </c>
      <c r="K18" s="220">
        <f t="shared" si="6"/>
        <v>277.4644016806601</v>
      </c>
      <c r="L18" s="220">
        <f t="shared" si="6"/>
        <v>274.76844189475611</v>
      </c>
      <c r="M18" s="221">
        <f t="shared" si="6"/>
        <v>272.0986771779248</v>
      </c>
    </row>
    <row r="19" spans="2:13" ht="18" customHeight="1">
      <c r="B19" s="270" t="s">
        <v>189</v>
      </c>
      <c r="C19" s="271"/>
      <c r="D19" s="272">
        <f>D18/C18-1</f>
        <v>-2.1158054867062348E-2</v>
      </c>
      <c r="E19" s="272">
        <f t="shared" ref="E19:M19" si="7">E18/D18-1</f>
        <v>-2.1110358065356993E-2</v>
      </c>
      <c r="F19" s="272">
        <f t="shared" si="7"/>
        <v>-2.4804461899746499E-2</v>
      </c>
      <c r="G19" s="272">
        <f t="shared" si="7"/>
        <v>-2.6588173163066831E-2</v>
      </c>
      <c r="H19" s="272">
        <f t="shared" si="7"/>
        <v>-2.4632620451861431E-2</v>
      </c>
      <c r="I19" s="272">
        <f t="shared" si="7"/>
        <v>-2.0952108241772627E-2</v>
      </c>
      <c r="J19" s="272">
        <f t="shared" si="7"/>
        <v>-1.633812294951098E-2</v>
      </c>
      <c r="K19" s="272">
        <f t="shared" si="7"/>
        <v>-9.7164168432922748E-3</v>
      </c>
      <c r="L19" s="272">
        <f t="shared" si="7"/>
        <v>-9.7164168432922748E-3</v>
      </c>
      <c r="M19" s="273">
        <f t="shared" si="7"/>
        <v>-9.7164168432920528E-3</v>
      </c>
    </row>
    <row r="20" spans="2:13" ht="18" customHeight="1">
      <c r="B20" s="259" t="s">
        <v>191</v>
      </c>
      <c r="D20" s="274"/>
      <c r="E20" s="275"/>
      <c r="F20" s="275"/>
      <c r="G20" s="278">
        <f>'P&amp;L Input'!C5</f>
        <v>327.3</v>
      </c>
      <c r="H20" s="278">
        <f>'P&amp;L Input'!D5</f>
        <v>332.4</v>
      </c>
      <c r="I20" s="278">
        <f>'P&amp;L Input'!E5</f>
        <v>361.4432244848075</v>
      </c>
      <c r="J20" s="278">
        <f>'P&amp;L Input'!F5</f>
        <v>386.98059411941284</v>
      </c>
      <c r="K20" s="278">
        <f>'P&amp;L Input'!G5</f>
        <v>402.92236520493225</v>
      </c>
      <c r="L20" s="278">
        <f>'P&amp;L Input'!H5</f>
        <v>410.61112519751913</v>
      </c>
      <c r="M20" s="279">
        <f>'P&amp;L Input'!I5</f>
        <v>418.44350258726138</v>
      </c>
    </row>
    <row r="21" spans="2:13" ht="18" customHeight="1" thickBot="1">
      <c r="B21" s="276" t="s">
        <v>192</v>
      </c>
      <c r="C21" s="277"/>
      <c r="D21" s="277"/>
      <c r="E21" s="277"/>
      <c r="F21" s="277"/>
      <c r="G21" s="277"/>
      <c r="H21" s="280">
        <f t="shared" ref="H21:M21" si="8">H20/G20-1</f>
        <v>1.5582034830430747E-2</v>
      </c>
      <c r="I21" s="280">
        <f t="shared" si="8"/>
        <v>8.737432155477598E-2</v>
      </c>
      <c r="J21" s="280">
        <f t="shared" si="8"/>
        <v>7.0653889476018472E-2</v>
      </c>
      <c r="K21" s="280">
        <f t="shared" si="8"/>
        <v>4.1195272651320947E-2</v>
      </c>
      <c r="L21" s="280">
        <f t="shared" si="8"/>
        <v>1.9082485005954553E-2</v>
      </c>
      <c r="M21" s="281">
        <f t="shared" si="8"/>
        <v>1.9074927368260219E-2</v>
      </c>
    </row>
    <row r="22" spans="2:13" ht="18" customHeight="1" thickBot="1"/>
    <row r="23" spans="2:13" ht="18" customHeight="1" thickBot="1">
      <c r="B23" s="233" t="s">
        <v>104</v>
      </c>
      <c r="C23" s="246"/>
      <c r="D23" s="246"/>
      <c r="E23" s="247"/>
    </row>
    <row r="24" spans="2:13" ht="18" customHeight="1">
      <c r="B24" s="248" t="s">
        <v>92</v>
      </c>
      <c r="C24" s="249" t="s">
        <v>183</v>
      </c>
      <c r="D24" s="250" t="s">
        <v>91</v>
      </c>
      <c r="E24" s="251" t="s">
        <v>183</v>
      </c>
      <c r="G24" s="245" t="s">
        <v>182</v>
      </c>
      <c r="H24" s="246"/>
      <c r="I24" s="246"/>
      <c r="J24" s="246"/>
      <c r="K24" s="247"/>
    </row>
    <row r="25" spans="2:13" ht="18" customHeight="1">
      <c r="B25" s="227" t="s">
        <v>106</v>
      </c>
      <c r="C25" s="234">
        <v>290</v>
      </c>
      <c r="D25" s="228" t="s">
        <v>116</v>
      </c>
      <c r="E25" s="236">
        <v>800</v>
      </c>
      <c r="G25" s="252">
        <v>2019</v>
      </c>
      <c r="H25" s="252" t="s">
        <v>4</v>
      </c>
      <c r="I25" s="252" t="s">
        <v>102</v>
      </c>
      <c r="J25" s="252" t="s">
        <v>123</v>
      </c>
      <c r="K25" s="252" t="s">
        <v>103</v>
      </c>
    </row>
    <row r="26" spans="2:13" ht="18" customHeight="1">
      <c r="B26" s="227" t="s">
        <v>107</v>
      </c>
      <c r="C26" s="234">
        <v>380</v>
      </c>
      <c r="D26" s="228" t="s">
        <v>117</v>
      </c>
      <c r="E26" s="236">
        <v>500</v>
      </c>
      <c r="G26" s="239" t="s">
        <v>91</v>
      </c>
      <c r="H26" s="220">
        <v>520.29999999999995</v>
      </c>
      <c r="I26" s="240">
        <f>H26/($H$26+$H$27+$H$28)</f>
        <v>0.56720811075983868</v>
      </c>
      <c r="J26" s="220">
        <v>589</v>
      </c>
      <c r="K26" s="221">
        <v>883531.40916808147</v>
      </c>
    </row>
    <row r="27" spans="2:13" ht="18" customHeight="1">
      <c r="B27" s="227" t="s">
        <v>108</v>
      </c>
      <c r="C27" s="234">
        <v>290</v>
      </c>
      <c r="D27" s="228" t="s">
        <v>118</v>
      </c>
      <c r="E27" s="236">
        <v>500</v>
      </c>
      <c r="G27" s="239" t="s">
        <v>92</v>
      </c>
      <c r="H27" s="241">
        <v>311.3</v>
      </c>
      <c r="I27" s="240">
        <f>H27/($H$26+$H$27+$H$28)</f>
        <v>0.33936552927068575</v>
      </c>
      <c r="J27" s="220">
        <v>283</v>
      </c>
      <c r="K27" s="221">
        <v>1100000</v>
      </c>
    </row>
    <row r="28" spans="2:13" ht="18" customHeight="1" thickBot="1">
      <c r="B28" s="227" t="s">
        <v>109</v>
      </c>
      <c r="C28" s="234">
        <v>450</v>
      </c>
      <c r="D28" s="228" t="s">
        <v>105</v>
      </c>
      <c r="E28" s="236">
        <v>450</v>
      </c>
      <c r="G28" s="242" t="s">
        <v>65</v>
      </c>
      <c r="H28" s="222">
        <v>85.7</v>
      </c>
      <c r="I28" s="243">
        <f>H28/($H$26+$H$27+$H$28)</f>
        <v>9.3426359969475639E-2</v>
      </c>
      <c r="J28" s="222">
        <v>110.37149604233299</v>
      </c>
      <c r="K28" s="244">
        <v>776468.59083191876</v>
      </c>
    </row>
    <row r="29" spans="2:13" ht="18" customHeight="1">
      <c r="B29" s="227" t="s">
        <v>110</v>
      </c>
      <c r="C29" s="234">
        <v>320</v>
      </c>
      <c r="D29" s="228" t="s">
        <v>119</v>
      </c>
      <c r="E29" s="236">
        <v>750</v>
      </c>
      <c r="G29" s="256"/>
      <c r="H29" s="255" t="s">
        <v>127</v>
      </c>
      <c r="I29" s="255" t="s">
        <v>128</v>
      </c>
      <c r="J29" s="287"/>
      <c r="K29" s="286"/>
      <c r="L29" s="290"/>
      <c r="M29" s="95"/>
    </row>
    <row r="30" spans="2:13" ht="18" customHeight="1">
      <c r="B30" s="227" t="s">
        <v>111</v>
      </c>
      <c r="C30" s="234">
        <v>250</v>
      </c>
      <c r="D30" s="228" t="s">
        <v>120</v>
      </c>
      <c r="E30" s="236">
        <v>530</v>
      </c>
      <c r="G30" s="253" t="s">
        <v>123</v>
      </c>
      <c r="H30" s="220">
        <f>(J26*K26+J27*K27+J28*K28)/(K26+K27+K28)</f>
        <v>332.39130434782641</v>
      </c>
      <c r="I30" s="221">
        <v>332.4</v>
      </c>
      <c r="J30" s="288"/>
      <c r="K30" s="291"/>
      <c r="L30" s="292"/>
      <c r="M30" s="95"/>
    </row>
    <row r="31" spans="2:13" ht="18" customHeight="1">
      <c r="B31" s="229" t="s">
        <v>112</v>
      </c>
      <c r="C31" s="234">
        <v>150</v>
      </c>
      <c r="D31" s="228" t="s">
        <v>122</v>
      </c>
      <c r="E31" s="236">
        <v>650</v>
      </c>
      <c r="G31" s="253" t="s">
        <v>124</v>
      </c>
      <c r="H31" s="220">
        <f>K26+K27+K28</f>
        <v>2760000</v>
      </c>
      <c r="I31" s="221">
        <v>2760000</v>
      </c>
      <c r="J31" s="288"/>
      <c r="K31" s="291"/>
      <c r="L31" s="292"/>
      <c r="M31" s="95"/>
    </row>
    <row r="32" spans="2:13" ht="18" customHeight="1">
      <c r="B32" s="229" t="s">
        <v>113</v>
      </c>
      <c r="C32" s="234">
        <v>320</v>
      </c>
      <c r="D32" s="228" t="s">
        <v>121</v>
      </c>
      <c r="E32" s="236">
        <v>530</v>
      </c>
      <c r="G32" s="253" t="s">
        <v>125</v>
      </c>
      <c r="H32" s="220">
        <f>J26*K26</f>
        <v>520400000</v>
      </c>
      <c r="I32" s="221">
        <f>520.4*1000000</f>
        <v>520400000</v>
      </c>
      <c r="J32" s="288"/>
      <c r="K32" s="291"/>
      <c r="L32" s="293"/>
      <c r="M32" s="95"/>
    </row>
    <row r="33" spans="2:13" ht="18" customHeight="1" thickBot="1">
      <c r="B33" s="229" t="s">
        <v>114</v>
      </c>
      <c r="C33" s="234">
        <v>180</v>
      </c>
      <c r="D33" s="230"/>
      <c r="E33" s="237"/>
      <c r="F33" s="96"/>
      <c r="G33" s="254" t="s">
        <v>126</v>
      </c>
      <c r="H33" s="222">
        <f>K27*J27</f>
        <v>311300000</v>
      </c>
      <c r="I33" s="244">
        <f>311.3*1000000</f>
        <v>311300000</v>
      </c>
      <c r="J33" s="289"/>
      <c r="K33" s="294"/>
      <c r="L33" s="292"/>
      <c r="M33" s="95"/>
    </row>
    <row r="34" spans="2:13" ht="18" customHeight="1">
      <c r="B34" s="229" t="s">
        <v>115</v>
      </c>
      <c r="C34" s="234">
        <v>200</v>
      </c>
      <c r="D34" s="230"/>
      <c r="E34" s="237"/>
      <c r="F34" s="285"/>
      <c r="G34" s="297"/>
      <c r="H34" s="297"/>
      <c r="I34" s="297"/>
      <c r="J34" s="295"/>
      <c r="K34" s="296"/>
      <c r="L34" s="95"/>
      <c r="M34" s="95"/>
    </row>
    <row r="35" spans="2:13" ht="18" customHeight="1" thickBot="1">
      <c r="B35" s="231" t="s">
        <v>43</v>
      </c>
      <c r="C35" s="235">
        <f>AVERAGE(C25:C34)</f>
        <v>283</v>
      </c>
      <c r="D35" s="232" t="s">
        <v>43</v>
      </c>
      <c r="E35" s="238">
        <f>AVERAGE(E25:E32)</f>
        <v>588.75</v>
      </c>
      <c r="K35" s="95"/>
      <c r="L35" s="95"/>
      <c r="M35" s="95"/>
    </row>
    <row r="36" spans="2:13" ht="18" customHeight="1">
      <c r="G36" s="95"/>
      <c r="H36" s="95"/>
      <c r="I36" s="95"/>
      <c r="J36" s="95"/>
      <c r="K36" s="95"/>
      <c r="L36" s="95"/>
      <c r="M36" s="95"/>
    </row>
    <row r="37" spans="2:13" ht="18" customHeight="1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</row>
    <row r="38" spans="2:13" ht="18" customHeight="1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</row>
    <row r="39" spans="2:13" ht="18" customHeight="1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</row>
    <row r="40" spans="2:13" ht="18" customHeight="1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</row>
    <row r="41" spans="2:13" ht="18" customHeight="1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</row>
    <row r="42" spans="2:13" ht="18" customHeight="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</row>
    <row r="43" spans="2:13" ht="18" customHeight="1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</row>
    <row r="44" spans="2:13" ht="18" customHeight="1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</row>
    <row r="45" spans="2:13" ht="18" customHeight="1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2:13" ht="18" customHeight="1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</row>
    <row r="47" spans="2:13" ht="18" customHeight="1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</row>
    <row r="48" spans="2:13" ht="18" customHeight="1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</row>
    <row r="49" spans="2:13" ht="18" customHeight="1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</row>
    <row r="50" spans="2:13" ht="18" customHeight="1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</row>
    <row r="51" spans="2:13" ht="18" customHeight="1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2:13" ht="18" customHeight="1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</row>
    <row r="53" spans="2:13" ht="18" customHeight="1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</row>
    <row r="54" spans="2:13" ht="18" customHeight="1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</row>
    <row r="55" spans="2:13" ht="18" customHeight="1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</row>
    <row r="56" spans="2:13" ht="18" customHeight="1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</row>
    <row r="57" spans="2:13" ht="18" customHeight="1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</row>
    <row r="58" spans="2:13" ht="18" customHeight="1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</row>
    <row r="59" spans="2:13" ht="18" customHeight="1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</row>
    <row r="60" spans="2:13" ht="18" customHeight="1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</row>
    <row r="61" spans="2:13" ht="18" customHeight="1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</row>
    <row r="62" spans="2:13" ht="18" customHeight="1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</row>
    <row r="63" spans="2:13" ht="18" customHeight="1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</row>
    <row r="64" spans="2:13" ht="18" customHeight="1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  <row r="65" spans="2:13" ht="18" customHeight="1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</row>
    <row r="66" spans="2:13" ht="18" customHeight="1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</row>
    <row r="67" spans="2:13" ht="18" customHeight="1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2:13" ht="18" customHeight="1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</row>
    <row r="69" spans="2:13" ht="18" customHeight="1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</row>
    <row r="70" spans="2:13" ht="18" customHeight="1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</row>
    <row r="71" spans="2:13" ht="18" customHeight="1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</row>
    <row r="72" spans="2:13" ht="18" customHeight="1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</row>
    <row r="73" spans="2:13" ht="18" customHeight="1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</row>
    <row r="74" spans="2:13" ht="18" customHeight="1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</row>
    <row r="75" spans="2:13" ht="18" customHeight="1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</row>
    <row r="76" spans="2:13" ht="18" customHeight="1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</row>
    <row r="77" spans="2:13" ht="18" customHeight="1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</row>
    <row r="78" spans="2:13" ht="18" customHeight="1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</row>
    <row r="79" spans="2:13" ht="18" customHeight="1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</row>
    <row r="80" spans="2:13" ht="18" customHeight="1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</row>
    <row r="81" spans="2:13" ht="18" customHeight="1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</row>
    <row r="82" spans="2:13" ht="18" customHeight="1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</row>
    <row r="83" spans="2:13" ht="18" customHeight="1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</row>
    <row r="84" spans="2:13" ht="18" customHeight="1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</row>
    <row r="85" spans="2:13" ht="18" customHeight="1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</row>
    <row r="86" spans="2:13" ht="18" customHeight="1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</row>
    <row r="87" spans="2:13" ht="18" customHeight="1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</row>
    <row r="88" spans="2:13" ht="18" customHeight="1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</row>
    <row r="89" spans="2:13" ht="18" customHeight="1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</row>
    <row r="90" spans="2:13" ht="18" customHeight="1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</row>
    <row r="91" spans="2:13" ht="18" customHeight="1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2" spans="2:13" ht="18" customHeight="1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</row>
    <row r="93" spans="2:13" ht="18" customHeight="1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</row>
    <row r="94" spans="2:13" ht="18" customHeight="1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</row>
    <row r="95" spans="2:13" ht="18" customHeight="1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</row>
    <row r="96" spans="2:13" ht="18" customHeight="1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</row>
    <row r="97" spans="2:13" ht="18" customHeight="1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</row>
    <row r="98" spans="2:13" ht="18" customHeight="1"/>
    <row r="99" spans="2:13" ht="18" customHeight="1"/>
    <row r="100" spans="2:13" ht="18" customHeight="1"/>
    <row r="101" spans="2:13" ht="18" customHeight="1"/>
    <row r="102" spans="2:13" ht="18" customHeight="1"/>
    <row r="103" spans="2:13" ht="18" customHeight="1"/>
    <row r="104" spans="2:13" ht="18" customHeight="1"/>
    <row r="105" spans="2:13" ht="18" customHeight="1"/>
    <row r="106" spans="2:13" ht="18" customHeight="1"/>
    <row r="107" spans="2:13" ht="18" customHeight="1"/>
    <row r="108" spans="2:13" ht="18" customHeight="1"/>
    <row r="109" spans="2:13" ht="18" customHeight="1"/>
    <row r="110" spans="2:13" ht="18" customHeight="1"/>
    <row r="111" spans="2:13" ht="18" customHeight="1"/>
    <row r="112" spans="2:13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</sheetData>
  <pageMargins left="0.7" right="0.7" top="0.75" bottom="0.75" header="0.3" footer="0.3"/>
  <pageSetup paperSize="9" orientation="portrait" r:id="rId1"/>
  <ignoredErrors>
    <ignoredError sqref="H20:M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DD79-0E60-4487-B6C3-7BA16CEEA74A}">
  <dimension ref="J3:J4"/>
  <sheetViews>
    <sheetView workbookViewId="0">
      <selection activeCell="L27" sqref="L27"/>
    </sheetView>
  </sheetViews>
  <sheetFormatPr defaultRowHeight="13.2"/>
  <sheetData>
    <row r="3" spans="10:10">
      <c r="J3" s="282"/>
    </row>
    <row r="4" spans="10:10">
      <c r="J4" s="28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J27" sqref="J27"/>
    </sheetView>
  </sheetViews>
  <sheetFormatPr defaultColWidth="9.109375" defaultRowHeight="13.2"/>
  <cols>
    <col min="1" max="1" width="2" style="1" customWidth="1"/>
    <col min="2" max="16384" width="9.109375" style="1"/>
  </cols>
  <sheetData>
    <row r="14" spans="2:2" ht="50.4">
      <c r="B14" s="10" t="s">
        <v>53</v>
      </c>
    </row>
    <row r="29" spans="7:7">
      <c r="G29" s="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1"/>
  <sheetViews>
    <sheetView workbookViewId="0">
      <selection activeCell="N11" sqref="N11"/>
    </sheetView>
  </sheetViews>
  <sheetFormatPr defaultColWidth="9.109375" defaultRowHeight="11.4" outlineLevelCol="1"/>
  <cols>
    <col min="1" max="1" width="2" style="8" customWidth="1"/>
    <col min="2" max="2" width="23.33203125" style="8" customWidth="1"/>
    <col min="3" max="6" width="9.77734375" style="8" customWidth="1"/>
    <col min="7" max="8" width="9.77734375" style="8" customWidth="1" outlineLevel="1"/>
    <col min="9" max="9" width="9.77734375" style="8" customWidth="1"/>
    <col min="10" max="10" width="2.21875" style="8" customWidth="1"/>
    <col min="11" max="19" width="9.77734375" style="8" customWidth="1"/>
    <col min="20" max="20" width="15.109375" style="8" customWidth="1"/>
    <col min="21" max="16384" width="9.109375" style="8"/>
  </cols>
  <sheetData>
    <row r="1" spans="1:20" ht="15.6">
      <c r="A1" s="1"/>
      <c r="B1" s="2" t="s">
        <v>167</v>
      </c>
      <c r="T1" s="8" t="s">
        <v>10</v>
      </c>
    </row>
    <row r="2" spans="1:20" ht="15.6">
      <c r="A2" s="1"/>
      <c r="B2" s="2"/>
    </row>
    <row r="4" spans="1:20" ht="12">
      <c r="B4" s="23" t="s">
        <v>151</v>
      </c>
      <c r="C4" s="6">
        <v>2018</v>
      </c>
      <c r="D4" s="6">
        <v>2019</v>
      </c>
      <c r="E4" s="50" t="s">
        <v>97</v>
      </c>
      <c r="F4" s="50" t="s">
        <v>98</v>
      </c>
      <c r="G4" s="50" t="s">
        <v>99</v>
      </c>
      <c r="H4" s="50" t="s">
        <v>100</v>
      </c>
      <c r="I4" s="50" t="s">
        <v>101</v>
      </c>
      <c r="K4" s="8" t="s">
        <v>131</v>
      </c>
    </row>
    <row r="5" spans="1:20" ht="13.2" customHeight="1">
      <c r="B5" s="8" t="s">
        <v>63</v>
      </c>
      <c r="C5" s="98">
        <f>(0.39*'P&amp;L Input'!$C$6*1000000/'Revenue mobile phones'!C8)/1000</f>
        <v>567.27179847198647</v>
      </c>
      <c r="D5" s="98">
        <v>883.53140916808104</v>
      </c>
      <c r="E5" s="43">
        <f t="shared" ref="E5:I7" si="0">D5*(1+E14)</f>
        <v>1325.2971137521215</v>
      </c>
      <c r="F5" s="43">
        <f t="shared" si="0"/>
        <v>1987.9456706281821</v>
      </c>
      <c r="G5" s="43">
        <f t="shared" si="0"/>
        <v>2494.8718166383683</v>
      </c>
      <c r="H5" s="43">
        <f t="shared" si="0"/>
        <v>2519.8205348047518</v>
      </c>
      <c r="I5" s="43">
        <f t="shared" si="0"/>
        <v>2545.0187401527992</v>
      </c>
      <c r="K5" s="8" t="s">
        <v>129</v>
      </c>
    </row>
    <row r="6" spans="1:20">
      <c r="B6" s="8" t="s">
        <v>64</v>
      </c>
      <c r="C6" s="98">
        <f>(0.44*'P&amp;L Input'!$C$6*1000000/'Revenue mobile phones'!C9)/1000</f>
        <v>1332.0119533568904</v>
      </c>
      <c r="D6" s="98">
        <v>1100</v>
      </c>
      <c r="E6" s="43">
        <f t="shared" si="0"/>
        <v>1650</v>
      </c>
      <c r="F6" s="43">
        <f t="shared" si="0"/>
        <v>2475</v>
      </c>
      <c r="G6" s="43">
        <f t="shared" si="0"/>
        <v>3106.1249999999995</v>
      </c>
      <c r="H6" s="43">
        <f t="shared" si="0"/>
        <v>3137.1862499999997</v>
      </c>
      <c r="I6" s="43">
        <f t="shared" si="0"/>
        <v>3168.5581124999999</v>
      </c>
      <c r="K6" s="8" t="s">
        <v>130</v>
      </c>
    </row>
    <row r="7" spans="1:20">
      <c r="B7" s="8" t="s">
        <v>65</v>
      </c>
      <c r="C7" s="98">
        <f>(0.17*'P&amp;L Input'!$C$6*1000000/'Revenue mobile phones'!C10)/1000</f>
        <v>1319.574374928636</v>
      </c>
      <c r="D7" s="98">
        <v>776.46859083191896</v>
      </c>
      <c r="E7" s="43">
        <f t="shared" si="0"/>
        <v>791.9979626485574</v>
      </c>
      <c r="F7" s="43">
        <f t="shared" si="0"/>
        <v>807.8379219015286</v>
      </c>
      <c r="G7" s="43">
        <f t="shared" si="0"/>
        <v>823.99468033955918</v>
      </c>
      <c r="H7" s="43">
        <f t="shared" si="0"/>
        <v>840.47457394635035</v>
      </c>
      <c r="I7" s="43">
        <f t="shared" si="0"/>
        <v>857.28406542527739</v>
      </c>
    </row>
    <row r="8" spans="1:20">
      <c r="B8" s="73" t="s">
        <v>66</v>
      </c>
      <c r="C8" s="99">
        <f>D8/(1.00155)</f>
        <v>588.0884628825321</v>
      </c>
      <c r="D8" s="99">
        <v>589</v>
      </c>
      <c r="E8" s="100">
        <f>D8*(1.02)</f>
        <v>600.78</v>
      </c>
      <c r="F8" s="100">
        <f>E8*(1.02)</f>
        <v>612.79560000000004</v>
      </c>
      <c r="G8" s="100">
        <f>F8*(1.02)</f>
        <v>625.051512</v>
      </c>
      <c r="H8" s="100">
        <f>G8*(1.02)</f>
        <v>637.55254223999998</v>
      </c>
      <c r="I8" s="100">
        <f>H8*(1.02)</f>
        <v>650.30359308480001</v>
      </c>
    </row>
    <row r="9" spans="1:20">
      <c r="B9" s="73" t="s">
        <v>67</v>
      </c>
      <c r="C9" s="99">
        <f>D9/(1.00155)</f>
        <v>282.56202885527432</v>
      </c>
      <c r="D9" s="99">
        <v>283</v>
      </c>
      <c r="E9" s="100">
        <f t="shared" ref="E9:I10" si="1">D9*(1.02)</f>
        <v>288.66000000000003</v>
      </c>
      <c r="F9" s="100">
        <f t="shared" si="1"/>
        <v>294.43320000000006</v>
      </c>
      <c r="G9" s="100">
        <f t="shared" si="1"/>
        <v>300.32186400000006</v>
      </c>
      <c r="H9" s="100">
        <f t="shared" si="1"/>
        <v>306.32830128000006</v>
      </c>
      <c r="I9" s="100">
        <f t="shared" si="1"/>
        <v>312.45486730560009</v>
      </c>
    </row>
    <row r="10" spans="1:20">
      <c r="B10" s="73" t="s">
        <v>68</v>
      </c>
      <c r="C10" s="99">
        <f>D10/(1.00155)</f>
        <v>110.20068498061305</v>
      </c>
      <c r="D10" s="99">
        <v>110.37149604233299</v>
      </c>
      <c r="E10" s="100">
        <f t="shared" si="1"/>
        <v>112.57892596317966</v>
      </c>
      <c r="F10" s="100">
        <f t="shared" si="1"/>
        <v>114.83050448244325</v>
      </c>
      <c r="G10" s="100">
        <f t="shared" si="1"/>
        <v>117.12711457209211</v>
      </c>
      <c r="H10" s="100">
        <f t="shared" si="1"/>
        <v>119.46965686353396</v>
      </c>
      <c r="I10" s="100">
        <f t="shared" si="1"/>
        <v>121.85905000080464</v>
      </c>
    </row>
    <row r="11" spans="1:20" ht="12.6" thickBot="1">
      <c r="B11" s="60" t="s">
        <v>166</v>
      </c>
      <c r="C11" s="180">
        <f t="shared" ref="C11:I11" si="2">C5*C8+C6*C9+C7*C10</f>
        <v>855400</v>
      </c>
      <c r="D11" s="180">
        <f t="shared" si="2"/>
        <v>917400.00000000081</v>
      </c>
      <c r="E11" s="180">
        <f t="shared" si="2"/>
        <v>1361663.2800000007</v>
      </c>
      <c r="F11" s="180">
        <f t="shared" si="2"/>
        <v>2039690.9661120006</v>
      </c>
      <c r="G11" s="180">
        <f t="shared" si="2"/>
        <v>2588772.7703839247</v>
      </c>
      <c r="H11" s="180">
        <f t="shared" si="2"/>
        <v>2667938.1316666952</v>
      </c>
      <c r="I11" s="180">
        <f t="shared" si="2"/>
        <v>2749534.0575743383</v>
      </c>
    </row>
    <row r="12" spans="1:20" ht="12.6" customHeight="1"/>
    <row r="13" spans="1:20">
      <c r="B13" s="44" t="s">
        <v>9</v>
      </c>
      <c r="C13" s="45"/>
      <c r="D13" s="45"/>
      <c r="E13" s="45"/>
      <c r="F13" s="45"/>
      <c r="G13" s="45"/>
      <c r="H13" s="45"/>
      <c r="I13" s="45"/>
    </row>
    <row r="14" spans="1:20">
      <c r="B14" s="45" t="s">
        <v>63</v>
      </c>
      <c r="C14" s="48"/>
      <c r="D14" s="45"/>
      <c r="E14" s="47">
        <f>CHOOSE(Information!$C$3,'Revenue mobile phones'!E18,'Revenue mobile phones'!E22,'Revenue mobile phones'!E26)</f>
        <v>0.5</v>
      </c>
      <c r="F14" s="47">
        <f>CHOOSE(Information!$C$3,'Revenue mobile phones'!F18,'Revenue mobile phones'!F22,'Revenue mobile phones'!F26)</f>
        <v>0.5</v>
      </c>
      <c r="G14" s="47">
        <f>CHOOSE(Information!$C$3,'Revenue mobile phones'!G18,'Revenue mobile phones'!G22,'Revenue mobile phones'!G26)</f>
        <v>0.255</v>
      </c>
      <c r="H14" s="47">
        <f>CHOOSE(Information!$C$3,'Revenue mobile phones'!H18,'Revenue mobile phones'!H22,'Revenue mobile phones'!H26)</f>
        <v>0.01</v>
      </c>
      <c r="I14" s="47">
        <f>CHOOSE(Information!$C$3,'Revenue mobile phones'!I18,'Revenue mobile phones'!I22,'Revenue mobile phones'!I26)</f>
        <v>0.01</v>
      </c>
    </row>
    <row r="15" spans="1:20">
      <c r="B15" s="45" t="s">
        <v>64</v>
      </c>
      <c r="C15" s="41"/>
      <c r="D15" s="45"/>
      <c r="E15" s="47">
        <f>CHOOSE(Information!$C$3,'Revenue mobile phones'!E19,'Revenue mobile phones'!E23,'Revenue mobile phones'!E27)</f>
        <v>0.5</v>
      </c>
      <c r="F15" s="47">
        <f>CHOOSE(Information!$C$3,'Revenue mobile phones'!F19,'Revenue mobile phones'!F23,'Revenue mobile phones'!F27)</f>
        <v>0.5</v>
      </c>
      <c r="G15" s="47">
        <f>CHOOSE(Information!$C$3,'Revenue mobile phones'!G19,'Revenue mobile phones'!G23,'Revenue mobile phones'!G27)</f>
        <v>0.255</v>
      </c>
      <c r="H15" s="47">
        <f>CHOOSE(Information!$C$3,'Revenue mobile phones'!H19,'Revenue mobile phones'!H23,'Revenue mobile phones'!H27)</f>
        <v>0.01</v>
      </c>
      <c r="I15" s="47">
        <f>CHOOSE(Information!$C$3,'Revenue mobile phones'!I19,'Revenue mobile phones'!I23,'Revenue mobile phones'!I27)</f>
        <v>0.01</v>
      </c>
    </row>
    <row r="16" spans="1:20">
      <c r="B16" s="45" t="s">
        <v>65</v>
      </c>
      <c r="C16" s="48"/>
      <c r="D16" s="45"/>
      <c r="E16" s="47">
        <f>CHOOSE(Information!$C$3,'Revenue mobile phones'!E20,'Revenue mobile phones'!E24,'Revenue mobile phones'!E28)</f>
        <v>0.02</v>
      </c>
      <c r="F16" s="47">
        <f>CHOOSE(Information!$C$3,'Revenue mobile phones'!F20,'Revenue mobile phones'!F24,'Revenue mobile phones'!F28)</f>
        <v>0.02</v>
      </c>
      <c r="G16" s="47">
        <f>CHOOSE(Information!$C$3,'Revenue mobile phones'!G20,'Revenue mobile phones'!G24,'Revenue mobile phones'!G28)</f>
        <v>0.02</v>
      </c>
      <c r="H16" s="47">
        <f>CHOOSE(Information!$C$3,'Revenue mobile phones'!H20,'Revenue mobile phones'!H24,'Revenue mobile phones'!H28)</f>
        <v>0.02</v>
      </c>
      <c r="I16" s="47">
        <f>CHOOSE(Information!$C$3,'Revenue mobile phones'!I20,'Revenue mobile phones'!I24,'Revenue mobile phones'!I28)</f>
        <v>0.02</v>
      </c>
    </row>
    <row r="17" spans="2:20">
      <c r="B17" s="44" t="s">
        <v>5</v>
      </c>
      <c r="C17" s="45"/>
      <c r="D17" s="45"/>
      <c r="E17" s="45"/>
      <c r="F17" s="45"/>
      <c r="G17" s="45"/>
      <c r="H17" s="45"/>
      <c r="I17" s="45"/>
    </row>
    <row r="18" spans="2:20">
      <c r="B18" s="45" t="s">
        <v>63</v>
      </c>
      <c r="C18" s="48"/>
      <c r="D18" s="45"/>
      <c r="E18" s="47">
        <v>1.18</v>
      </c>
      <c r="F18" s="47">
        <v>1.18</v>
      </c>
      <c r="G18" s="47">
        <f>(F18+H18)/2</f>
        <v>0.70499999999999996</v>
      </c>
      <c r="H18" s="47">
        <v>0.23</v>
      </c>
      <c r="I18" s="47">
        <v>0.23</v>
      </c>
    </row>
    <row r="19" spans="2:20">
      <c r="B19" s="45" t="s">
        <v>64</v>
      </c>
      <c r="C19" s="41"/>
      <c r="D19" s="45"/>
      <c r="E19" s="47">
        <v>1.18</v>
      </c>
      <c r="F19" s="47">
        <v>1.18</v>
      </c>
      <c r="G19" s="47">
        <f>(F19+H19)/2</f>
        <v>0.70499999999999996</v>
      </c>
      <c r="H19" s="47">
        <v>0.23</v>
      </c>
      <c r="I19" s="47">
        <v>0.23</v>
      </c>
    </row>
    <row r="20" spans="2:20">
      <c r="B20" s="45" t="s">
        <v>65</v>
      </c>
      <c r="C20" s="48"/>
      <c r="D20" s="45"/>
      <c r="E20" s="49">
        <v>0.04</v>
      </c>
      <c r="F20" s="49">
        <v>0.04</v>
      </c>
      <c r="G20" s="49">
        <v>0.04</v>
      </c>
      <c r="H20" s="49">
        <v>0.04</v>
      </c>
      <c r="I20" s="49">
        <v>0.04</v>
      </c>
    </row>
    <row r="21" spans="2:20">
      <c r="B21" s="44" t="s">
        <v>6</v>
      </c>
      <c r="C21" s="45"/>
      <c r="D21" s="45"/>
      <c r="E21" s="45"/>
      <c r="F21" s="45"/>
      <c r="G21" s="45"/>
      <c r="H21" s="45"/>
      <c r="I21" s="45"/>
    </row>
    <row r="22" spans="2:20">
      <c r="B22" s="45" t="s">
        <v>63</v>
      </c>
      <c r="C22" s="48"/>
      <c r="D22" s="45"/>
      <c r="E22" s="47">
        <v>0.89</v>
      </c>
      <c r="F22" s="47">
        <v>0.89</v>
      </c>
      <c r="G22" s="47">
        <v>0.65500000000000003</v>
      </c>
      <c r="H22" s="47">
        <v>0.48</v>
      </c>
      <c r="I22" s="47">
        <v>0.48</v>
      </c>
    </row>
    <row r="23" spans="2:20">
      <c r="B23" s="45" t="s">
        <v>64</v>
      </c>
      <c r="C23" s="41"/>
      <c r="D23" s="45"/>
      <c r="E23" s="47">
        <v>0.89</v>
      </c>
      <c r="F23" s="47">
        <v>0.89</v>
      </c>
      <c r="G23" s="47">
        <v>0.65500000000000003</v>
      </c>
      <c r="H23" s="47">
        <v>0.48</v>
      </c>
      <c r="I23" s="47">
        <v>0.48</v>
      </c>
    </row>
    <row r="24" spans="2:20">
      <c r="B24" s="45" t="s">
        <v>65</v>
      </c>
      <c r="C24" s="48"/>
      <c r="D24" s="45"/>
      <c r="E24" s="49">
        <v>0.03</v>
      </c>
      <c r="F24" s="49">
        <v>0.03</v>
      </c>
      <c r="G24" s="49">
        <v>0.03</v>
      </c>
      <c r="H24" s="49">
        <v>0.03</v>
      </c>
      <c r="I24" s="49">
        <v>0.03</v>
      </c>
    </row>
    <row r="25" spans="2:20">
      <c r="B25" s="44" t="s">
        <v>7</v>
      </c>
      <c r="C25" s="45"/>
      <c r="D25" s="45"/>
      <c r="E25" s="45"/>
      <c r="F25" s="45"/>
      <c r="G25" s="45"/>
      <c r="H25" s="45"/>
      <c r="I25" s="45"/>
    </row>
    <row r="26" spans="2:20">
      <c r="B26" s="45" t="s">
        <v>63</v>
      </c>
      <c r="C26" s="48"/>
      <c r="D26" s="45"/>
      <c r="E26" s="47">
        <v>0.5</v>
      </c>
      <c r="F26" s="47">
        <v>0.5</v>
      </c>
      <c r="G26" s="47">
        <f>(F26+H26)/2</f>
        <v>0.255</v>
      </c>
      <c r="H26" s="47">
        <v>0.01</v>
      </c>
      <c r="I26" s="47">
        <v>0.01</v>
      </c>
    </row>
    <row r="27" spans="2:20">
      <c r="B27" s="45" t="s">
        <v>64</v>
      </c>
      <c r="C27" s="41"/>
      <c r="D27" s="45"/>
      <c r="E27" s="47">
        <v>0.5</v>
      </c>
      <c r="F27" s="47">
        <v>0.5</v>
      </c>
      <c r="G27" s="47">
        <f>(F27+H27)/2</f>
        <v>0.255</v>
      </c>
      <c r="H27" s="47">
        <v>0.01</v>
      </c>
      <c r="I27" s="47">
        <v>0.01</v>
      </c>
    </row>
    <row r="28" spans="2:20">
      <c r="B28" s="45" t="s">
        <v>65</v>
      </c>
      <c r="C28" s="48"/>
      <c r="D28" s="45"/>
      <c r="E28" s="46">
        <v>0.02</v>
      </c>
      <c r="F28" s="46">
        <v>0.02</v>
      </c>
      <c r="G28" s="46">
        <v>0.02</v>
      </c>
      <c r="H28" s="46">
        <v>0.02</v>
      </c>
      <c r="I28" s="46">
        <v>0.02</v>
      </c>
    </row>
    <row r="29" spans="2:20">
      <c r="T29" s="22"/>
    </row>
    <row r="30" spans="2:20">
      <c r="T30" s="22"/>
    </row>
    <row r="31" spans="2:20">
      <c r="T31" s="22"/>
    </row>
    <row r="32" spans="2:20">
      <c r="T32" s="22"/>
    </row>
    <row r="33" spans="20:20">
      <c r="T33" s="22"/>
    </row>
    <row r="34" spans="20:20">
      <c r="T34" s="22"/>
    </row>
    <row r="35" spans="20:20">
      <c r="T35" s="22"/>
    </row>
    <row r="36" spans="20:20">
      <c r="T36" s="22"/>
    </row>
    <row r="37" spans="20:20">
      <c r="T37" s="22"/>
    </row>
    <row r="38" spans="20:20">
      <c r="T38" s="22"/>
    </row>
    <row r="39" spans="20:20">
      <c r="T39" s="22"/>
    </row>
    <row r="40" spans="20:20">
      <c r="T40" s="22"/>
    </row>
    <row r="41" spans="20:20">
      <c r="T41" s="22"/>
    </row>
  </sheetData>
  <phoneticPr fontId="2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L27"/>
  <sheetViews>
    <sheetView topLeftCell="A3" workbookViewId="0">
      <selection activeCell="P36" sqref="P36"/>
    </sheetView>
  </sheetViews>
  <sheetFormatPr defaultColWidth="9.109375" defaultRowHeight="11.4"/>
  <cols>
    <col min="1" max="1" width="2" style="8" customWidth="1"/>
    <col min="2" max="2" width="17.77734375" style="8" customWidth="1"/>
    <col min="3" max="3" width="10" style="8" customWidth="1"/>
    <col min="4" max="4" width="8.44140625" style="8" customWidth="1"/>
    <col min="5" max="5" width="8" style="8" customWidth="1"/>
    <col min="6" max="16384" width="9.109375" style="8"/>
  </cols>
  <sheetData>
    <row r="1" spans="1:12" ht="15.6">
      <c r="A1" s="1"/>
      <c r="B1" s="2" t="s">
        <v>132</v>
      </c>
    </row>
    <row r="2" spans="1:12" ht="15.6">
      <c r="A2" s="1"/>
      <c r="B2" s="2"/>
    </row>
    <row r="3" spans="1:12">
      <c r="B3" s="72" t="s">
        <v>44</v>
      </c>
    </row>
    <row r="5" spans="1:12">
      <c r="F5" s="8" t="s">
        <v>45</v>
      </c>
    </row>
    <row r="6" spans="1:12" ht="12">
      <c r="B6" s="23" t="s">
        <v>133</v>
      </c>
      <c r="C6" s="39">
        <v>2010</v>
      </c>
      <c r="D6" s="39">
        <v>2011</v>
      </c>
      <c r="E6" s="39">
        <v>2012</v>
      </c>
      <c r="F6" s="39">
        <v>2013</v>
      </c>
      <c r="G6" s="39">
        <v>2014</v>
      </c>
      <c r="H6" s="39">
        <v>2015</v>
      </c>
      <c r="I6" s="39">
        <v>2016</v>
      </c>
      <c r="J6" s="39">
        <v>2017</v>
      </c>
      <c r="K6" s="39">
        <v>2018</v>
      </c>
      <c r="L6" s="39">
        <v>2019</v>
      </c>
    </row>
    <row r="7" spans="1:12">
      <c r="B7" s="8" t="s">
        <v>134</v>
      </c>
      <c r="C7" s="131">
        <v>39.99</v>
      </c>
      <c r="D7" s="12">
        <v>72.290000000000006</v>
      </c>
      <c r="E7" s="12">
        <v>125.05</v>
      </c>
      <c r="F7" s="12">
        <v>150.26</v>
      </c>
      <c r="G7" s="12">
        <v>169.22</v>
      </c>
      <c r="H7" s="12">
        <v>231.22</v>
      </c>
      <c r="I7" s="12">
        <v>211.88</v>
      </c>
      <c r="J7" s="12">
        <v>216.76</v>
      </c>
      <c r="K7" s="12">
        <v>217.72</v>
      </c>
      <c r="L7" s="12">
        <v>185</v>
      </c>
    </row>
    <row r="8" spans="1:12">
      <c r="B8" s="8" t="s">
        <v>135</v>
      </c>
      <c r="C8" s="12">
        <v>22.9</v>
      </c>
      <c r="D8" s="12">
        <v>94.2</v>
      </c>
      <c r="E8" s="12">
        <v>214.3</v>
      </c>
      <c r="F8" s="12">
        <v>316.39999999999998</v>
      </c>
      <c r="G8" s="12">
        <v>318.10000000000002</v>
      </c>
      <c r="H8" s="12">
        <v>320.89999999999998</v>
      </c>
      <c r="I8" s="12">
        <v>309.60000000000002</v>
      </c>
      <c r="J8" s="12">
        <v>317.7</v>
      </c>
      <c r="K8" s="12">
        <v>292.29999999999995</v>
      </c>
      <c r="L8" s="12">
        <v>304.60000000000002</v>
      </c>
    </row>
    <row r="9" spans="1:12">
      <c r="B9" s="8" t="s">
        <v>136</v>
      </c>
      <c r="C9" s="130" t="s">
        <v>1</v>
      </c>
      <c r="D9" s="130" t="s">
        <v>1</v>
      </c>
      <c r="E9" s="130">
        <v>7.2</v>
      </c>
      <c r="F9" s="12">
        <v>18.7</v>
      </c>
      <c r="G9" s="12">
        <v>61.1</v>
      </c>
      <c r="H9" s="12">
        <v>70</v>
      </c>
      <c r="I9" s="130" t="s">
        <v>1</v>
      </c>
      <c r="J9" s="12">
        <v>90</v>
      </c>
      <c r="K9" s="12">
        <v>118.7</v>
      </c>
      <c r="L9" s="12">
        <v>120</v>
      </c>
    </row>
    <row r="10" spans="1:12">
      <c r="B10" s="8" t="s">
        <v>137</v>
      </c>
      <c r="C10" s="130" t="s">
        <v>1</v>
      </c>
      <c r="D10" s="130" t="s">
        <v>1</v>
      </c>
      <c r="E10" s="130">
        <v>48.6</v>
      </c>
      <c r="F10" s="12">
        <v>74.099999999999994</v>
      </c>
      <c r="G10" s="12">
        <v>106.9</v>
      </c>
      <c r="H10" s="12">
        <v>139.30000000000001</v>
      </c>
      <c r="I10" s="12">
        <v>154.19999999999999</v>
      </c>
      <c r="J10" s="12">
        <v>206</v>
      </c>
      <c r="K10" s="12">
        <v>240.6</v>
      </c>
      <c r="L10" s="130" t="s">
        <v>1</v>
      </c>
    </row>
    <row r="11" spans="1:12">
      <c r="B11" s="8" t="s">
        <v>138</v>
      </c>
      <c r="C11" s="130" t="s">
        <v>1</v>
      </c>
      <c r="D11" s="130" t="s">
        <v>1</v>
      </c>
      <c r="E11" s="130" t="s">
        <v>1</v>
      </c>
      <c r="F11" s="130" t="s">
        <v>1</v>
      </c>
      <c r="G11" s="130" t="s">
        <v>1</v>
      </c>
      <c r="H11" s="130">
        <v>42.7</v>
      </c>
      <c r="I11" s="12">
        <v>99.7</v>
      </c>
      <c r="J11" s="12">
        <v>111.7</v>
      </c>
      <c r="K11" s="12">
        <v>113.1</v>
      </c>
      <c r="L11" s="12">
        <v>114.4</v>
      </c>
    </row>
    <row r="12" spans="1:12" ht="12">
      <c r="B12" s="9" t="s">
        <v>43</v>
      </c>
      <c r="C12" s="71" t="s">
        <v>1</v>
      </c>
      <c r="D12" s="65">
        <f>AVERAGE(D7:D11)</f>
        <v>83.245000000000005</v>
      </c>
      <c r="E12" s="65">
        <f t="shared" ref="E12:L12" si="0">AVERAGE(E7:E11)</f>
        <v>98.787500000000009</v>
      </c>
      <c r="F12" s="65">
        <f t="shared" si="0"/>
        <v>139.86499999999998</v>
      </c>
      <c r="G12" s="65">
        <f t="shared" si="0"/>
        <v>163.83000000000001</v>
      </c>
      <c r="H12" s="65">
        <f t="shared" si="0"/>
        <v>160.82400000000001</v>
      </c>
      <c r="I12" s="65">
        <f t="shared" si="0"/>
        <v>193.84500000000003</v>
      </c>
      <c r="J12" s="65">
        <f t="shared" si="0"/>
        <v>188.43200000000002</v>
      </c>
      <c r="K12" s="65">
        <f t="shared" si="0"/>
        <v>196.48400000000001</v>
      </c>
      <c r="L12" s="65">
        <f t="shared" si="0"/>
        <v>181</v>
      </c>
    </row>
    <row r="15" spans="1:12" ht="12">
      <c r="B15" s="101" t="s">
        <v>140</v>
      </c>
      <c r="C15" s="39">
        <v>2010</v>
      </c>
      <c r="D15" s="39">
        <v>2011</v>
      </c>
      <c r="E15" s="39">
        <v>2012</v>
      </c>
      <c r="F15" s="39">
        <v>2013</v>
      </c>
      <c r="G15" s="39">
        <v>2014</v>
      </c>
      <c r="H15" s="39">
        <v>2015</v>
      </c>
      <c r="I15" s="39">
        <v>2016</v>
      </c>
      <c r="J15" s="39">
        <v>2017</v>
      </c>
      <c r="K15" s="39">
        <v>2018</v>
      </c>
      <c r="L15" s="39">
        <v>2019</v>
      </c>
    </row>
    <row r="16" spans="1:12">
      <c r="B16" s="8" t="s">
        <v>134</v>
      </c>
      <c r="D16" s="112">
        <f>D7/C7-1</f>
        <v>0.80770192548137043</v>
      </c>
      <c r="E16" s="113">
        <f t="shared" ref="E16:K16" si="1">E7/D7-1</f>
        <v>0.72983815188822776</v>
      </c>
      <c r="F16" s="113">
        <f t="shared" si="1"/>
        <v>0.20159936025589764</v>
      </c>
      <c r="G16" s="113">
        <f t="shared" si="1"/>
        <v>0.12618128577132981</v>
      </c>
      <c r="H16" s="113">
        <f t="shared" si="1"/>
        <v>0.36638695189693893</v>
      </c>
      <c r="I16" s="113">
        <f t="shared" si="1"/>
        <v>-8.3643283452988548E-2</v>
      </c>
      <c r="J16" s="113">
        <f t="shared" si="1"/>
        <v>2.3031904851802842E-2</v>
      </c>
      <c r="K16" s="113">
        <f t="shared" si="1"/>
        <v>4.4288614135450377E-3</v>
      </c>
      <c r="L16" s="114">
        <f>L7/K7-1</f>
        <v>-0.1502847694286239</v>
      </c>
    </row>
    <row r="17" spans="2:12">
      <c r="B17" s="8" t="s">
        <v>135</v>
      </c>
      <c r="D17" s="115">
        <f t="shared" ref="D17:K20" si="2">D8/C8-1</f>
        <v>3.1135371179039302</v>
      </c>
      <c r="E17" s="116">
        <f t="shared" si="2"/>
        <v>1.2749469214437368</v>
      </c>
      <c r="F17" s="115">
        <f t="shared" si="2"/>
        <v>0.47643490433971047</v>
      </c>
      <c r="G17" s="117">
        <f t="shared" si="2"/>
        <v>5.3729456384326024E-3</v>
      </c>
      <c r="H17" s="117">
        <f t="shared" si="2"/>
        <v>8.8022634391700105E-3</v>
      </c>
      <c r="I17" s="116">
        <f t="shared" si="2"/>
        <v>-3.5213462137737461E-2</v>
      </c>
      <c r="J17" s="115">
        <f t="shared" si="2"/>
        <v>2.6162790697674243E-2</v>
      </c>
      <c r="K17" s="115">
        <f t="shared" si="2"/>
        <v>-7.994963802329258E-2</v>
      </c>
      <c r="L17" s="117">
        <f>L8/K8-1</f>
        <v>4.2080054738282913E-2</v>
      </c>
    </row>
    <row r="18" spans="2:12">
      <c r="B18" s="8" t="s">
        <v>136</v>
      </c>
      <c r="D18" s="118" t="s">
        <v>1</v>
      </c>
      <c r="E18" s="119" t="s">
        <v>1</v>
      </c>
      <c r="F18" s="115">
        <f t="shared" si="2"/>
        <v>1.5972222222222219</v>
      </c>
      <c r="G18" s="117">
        <f t="shared" si="2"/>
        <v>2.2673796791443852</v>
      </c>
      <c r="H18" s="117">
        <f t="shared" si="2"/>
        <v>0.14566284779050731</v>
      </c>
      <c r="I18" s="117" t="s">
        <v>139</v>
      </c>
      <c r="J18" s="120" t="s">
        <v>1</v>
      </c>
      <c r="K18" s="115">
        <f t="shared" si="2"/>
        <v>0.318888888888889</v>
      </c>
      <c r="L18" s="121" t="s">
        <v>1</v>
      </c>
    </row>
    <row r="19" spans="2:12">
      <c r="B19" s="8" t="s">
        <v>137</v>
      </c>
      <c r="D19" s="118" t="s">
        <v>1</v>
      </c>
      <c r="E19" s="115" t="s">
        <v>1</v>
      </c>
      <c r="F19" s="115">
        <f t="shared" si="2"/>
        <v>0.52469135802469125</v>
      </c>
      <c r="G19" s="117">
        <f t="shared" si="2"/>
        <v>0.44264507422402177</v>
      </c>
      <c r="H19" s="117">
        <f t="shared" si="2"/>
        <v>0.30308699719363896</v>
      </c>
      <c r="I19" s="117">
        <f t="shared" si="2"/>
        <v>0.1069633883704233</v>
      </c>
      <c r="J19" s="117">
        <f t="shared" si="2"/>
        <v>0.33592736705577186</v>
      </c>
      <c r="K19" s="115">
        <f t="shared" si="2"/>
        <v>0.16796116504854375</v>
      </c>
      <c r="L19" s="116" t="s">
        <v>1</v>
      </c>
    </row>
    <row r="20" spans="2:12">
      <c r="B20" s="8" t="s">
        <v>138</v>
      </c>
      <c r="D20" s="117" t="s">
        <v>1</v>
      </c>
      <c r="E20" s="114" t="s">
        <v>1</v>
      </c>
      <c r="F20" s="118" t="s">
        <v>1</v>
      </c>
      <c r="G20" s="120" t="s">
        <v>1</v>
      </c>
      <c r="H20" s="122" t="s">
        <v>1</v>
      </c>
      <c r="I20" s="123">
        <f t="shared" si="2"/>
        <v>1.3348946135831379</v>
      </c>
      <c r="J20" s="122">
        <f t="shared" si="2"/>
        <v>0.12036108324974926</v>
      </c>
      <c r="K20" s="123">
        <f t="shared" si="2"/>
        <v>1.2533572068039289E-2</v>
      </c>
      <c r="L20" s="114">
        <f>L11/K11-1</f>
        <v>1.1494252873563315E-2</v>
      </c>
    </row>
    <row r="21" spans="2:12">
      <c r="D21" s="51"/>
      <c r="E21" s="51"/>
      <c r="F21" s="51"/>
      <c r="G21" s="51"/>
      <c r="H21" s="51"/>
      <c r="I21" s="51"/>
      <c r="J21" s="51"/>
      <c r="K21" s="51"/>
      <c r="L21" s="51"/>
    </row>
    <row r="22" spans="2:12">
      <c r="D22" s="103" t="s">
        <v>143</v>
      </c>
      <c r="G22" s="124">
        <f>SUM(D16:F16,F19:H19,I20:K20)/9</f>
        <v>0.49748357066319721</v>
      </c>
    </row>
    <row r="23" spans="2:12" ht="12" thickBot="1">
      <c r="D23" s="103" t="s">
        <v>144</v>
      </c>
      <c r="G23" s="125">
        <f>SUM(J17:L17,J16:L16,J20:L20)</f>
        <v>9.8581124407404186E-3</v>
      </c>
    </row>
    <row r="24" spans="2:12">
      <c r="C24" s="104"/>
      <c r="D24" s="105"/>
      <c r="E24" s="106" t="s">
        <v>141</v>
      </c>
      <c r="F24" s="107"/>
      <c r="G24" s="126">
        <f>SUM(D16:F16,D17:F17,F18:H18,F19:H19,I20:K20)/15</f>
        <v>0.89016905525421763</v>
      </c>
    </row>
    <row r="25" spans="2:12" ht="12" thickBot="1">
      <c r="C25" s="108"/>
      <c r="D25" s="109"/>
      <c r="E25" s="110" t="s">
        <v>142</v>
      </c>
      <c r="F25" s="111"/>
      <c r="G25" s="127">
        <f>SUM(J16:L16,J17:L17,K18,I19:K19,J20:L20)/13</f>
        <v>7.2276840138797566E-2</v>
      </c>
    </row>
    <row r="26" spans="2:12">
      <c r="D26" s="103" t="s">
        <v>145</v>
      </c>
      <c r="G26" s="128">
        <f>SUM(D17:F17,F18:H18,D16:F16)/9</f>
        <v>1.1793692367188875</v>
      </c>
    </row>
    <row r="27" spans="2:12">
      <c r="D27" s="103" t="s">
        <v>146</v>
      </c>
      <c r="G27" s="129">
        <f>SUM(I19:K19,I20:K20,J17:L17)/9</f>
        <v>0.22965937742092557</v>
      </c>
    </row>
  </sheetData>
  <pageMargins left="0.7" right="0.7" top="0.75" bottom="0.75" header="0.3" footer="0.3"/>
  <pageSetup orientation="portrait" r:id="rId1"/>
  <ignoredErrors>
    <ignoredError sqref="D12:L1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8"/>
  <sheetViews>
    <sheetView workbookViewId="0">
      <selection activeCell="L13" sqref="L13"/>
    </sheetView>
  </sheetViews>
  <sheetFormatPr defaultColWidth="9.109375" defaultRowHeight="11.4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8" width="17.77734375" style="8" customWidth="1"/>
    <col min="9" max="11" width="9.109375" style="8"/>
    <col min="12" max="12" width="10.6640625" style="8" customWidth="1"/>
    <col min="13" max="13" width="11" style="8" customWidth="1"/>
    <col min="14" max="16384" width="9.109375" style="8"/>
  </cols>
  <sheetData>
    <row r="1" spans="1:8" ht="15.6">
      <c r="A1" s="1"/>
      <c r="B1" s="2" t="s">
        <v>147</v>
      </c>
    </row>
    <row r="2" spans="1:8" ht="15.6">
      <c r="A2" s="1"/>
      <c r="B2" s="2"/>
    </row>
    <row r="3" spans="1:8" ht="13.2">
      <c r="A3" s="1"/>
      <c r="B3" s="53" t="s">
        <v>44</v>
      </c>
    </row>
    <row r="5" spans="1:8" ht="24">
      <c r="B5" s="23" t="s">
        <v>148</v>
      </c>
      <c r="C5" s="23" t="s">
        <v>42</v>
      </c>
      <c r="D5" s="39" t="s">
        <v>46</v>
      </c>
      <c r="E5" s="39" t="s">
        <v>47</v>
      </c>
      <c r="F5" s="39" t="s">
        <v>48</v>
      </c>
      <c r="G5" s="51"/>
      <c r="H5" s="134" t="s">
        <v>158</v>
      </c>
    </row>
    <row r="6" spans="1:8">
      <c r="B6" s="8" t="s">
        <v>91</v>
      </c>
      <c r="C6" s="8" t="s">
        <v>149</v>
      </c>
      <c r="D6" s="14">
        <v>0.66149999999999998</v>
      </c>
      <c r="E6" s="14">
        <f>0.579</f>
        <v>0.57899999999999996</v>
      </c>
      <c r="F6" s="14">
        <v>0.62839999999999996</v>
      </c>
      <c r="G6" s="51"/>
      <c r="H6" s="137">
        <f>0.51</f>
        <v>0.51</v>
      </c>
    </row>
    <row r="7" spans="1:8">
      <c r="B7" s="8" t="s">
        <v>92</v>
      </c>
      <c r="C7" s="8" t="s">
        <v>150</v>
      </c>
      <c r="D7" s="133">
        <v>0.09</v>
      </c>
      <c r="E7" s="298">
        <v>0.03</v>
      </c>
      <c r="F7" s="59">
        <v>0.13</v>
      </c>
      <c r="G7" s="51"/>
      <c r="H7" s="137">
        <f>0.075</f>
        <v>7.4999999999999997E-2</v>
      </c>
    </row>
    <row r="8" spans="1:8">
      <c r="B8" s="8" t="s">
        <v>65</v>
      </c>
      <c r="C8" s="8" t="s">
        <v>159</v>
      </c>
      <c r="D8" s="299"/>
      <c r="E8" s="181"/>
      <c r="F8" s="300"/>
      <c r="G8" s="132"/>
      <c r="H8" s="137">
        <v>0.41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Information</vt:lpstr>
      <vt:lpstr>Input --&gt;</vt:lpstr>
      <vt:lpstr>P&amp;L Input</vt:lpstr>
      <vt:lpstr>Market Overview</vt:lpstr>
      <vt:lpstr>Charts</vt:lpstr>
      <vt:lpstr>Income Statement items</vt:lpstr>
      <vt:lpstr>Revenue mobile phones</vt:lpstr>
      <vt:lpstr>Units Comparables</vt:lpstr>
      <vt:lpstr>GP%</vt:lpstr>
      <vt:lpstr>GP</vt:lpstr>
      <vt:lpstr>COGS</vt:lpstr>
      <vt:lpstr>Revenue &amp; GP</vt:lpstr>
      <vt:lpstr>Operating expenses</vt:lpstr>
      <vt:lpstr>Opex comparables</vt:lpstr>
      <vt:lpstr>Opex</vt:lpstr>
      <vt:lpstr>Output --&gt;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ASUS</cp:lastModifiedBy>
  <dcterms:created xsi:type="dcterms:W3CDTF">2017-12-26T16:16:22Z</dcterms:created>
  <dcterms:modified xsi:type="dcterms:W3CDTF">2020-04-27T14:15:26Z</dcterms:modified>
</cp:coreProperties>
</file>