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esktop\Dersler\EC48Q\KEREVITAS\"/>
    </mc:Choice>
  </mc:AlternateContent>
  <xr:revisionPtr revIDLastSave="0" documentId="13_ncr:1_{E2E97B4B-5CF0-45AC-AF84-2C11A3492066}" xr6:coauthVersionLast="45" xr6:coauthVersionMax="45" xr10:uidLastSave="{00000000-0000-0000-0000-000000000000}"/>
  <bookViews>
    <workbookView xWindow="996" yWindow="876" windowWidth="17280" windowHeight="8964" xr2:uid="{00000000-000D-0000-FFFF-FFFF00000000}"/>
  </bookViews>
  <sheets>
    <sheet name="Financial Statements_rev" sheetId="3" r:id="rId1"/>
    <sheet name="Notes" sheetId="4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35" i="3" l="1"/>
  <c r="K133" i="3"/>
  <c r="J133" i="3"/>
  <c r="K75" i="3"/>
  <c r="L20" i="3" l="1"/>
  <c r="L19" i="3"/>
  <c r="K167" i="3" l="1"/>
  <c r="J167" i="3"/>
  <c r="G167" i="3"/>
  <c r="K158" i="3"/>
  <c r="J158" i="3"/>
  <c r="J159" i="3" s="1"/>
  <c r="I158" i="3"/>
  <c r="H158" i="3"/>
  <c r="I159" i="3"/>
  <c r="G158" i="3"/>
  <c r="I147" i="3"/>
  <c r="K138" i="3"/>
  <c r="J135" i="3"/>
  <c r="I135" i="3"/>
  <c r="H135" i="3"/>
  <c r="H132" i="3"/>
  <c r="H128" i="3"/>
  <c r="H123" i="3"/>
  <c r="H121" i="3"/>
  <c r="H138" i="3"/>
  <c r="K134" i="3"/>
  <c r="J134" i="3"/>
  <c r="I134" i="3"/>
  <c r="H134" i="3"/>
  <c r="I133" i="3"/>
  <c r="H133" i="3"/>
  <c r="K132" i="3"/>
  <c r="J132" i="3"/>
  <c r="I132" i="3"/>
  <c r="K131" i="3"/>
  <c r="J131" i="3"/>
  <c r="I131" i="3"/>
  <c r="H131" i="3"/>
  <c r="K128" i="3"/>
  <c r="J128" i="3"/>
  <c r="I128" i="3"/>
  <c r="K127" i="3"/>
  <c r="J127" i="3"/>
  <c r="I127" i="3"/>
  <c r="K126" i="3"/>
  <c r="J126" i="3"/>
  <c r="I126" i="3"/>
  <c r="K125" i="3"/>
  <c r="J118" i="3"/>
  <c r="K123" i="3"/>
  <c r="J123" i="3"/>
  <c r="I123" i="3"/>
  <c r="K122" i="3"/>
  <c r="J122" i="3"/>
  <c r="I122" i="3"/>
  <c r="K121" i="3"/>
  <c r="J121" i="3"/>
  <c r="I121" i="3"/>
  <c r="K120" i="3"/>
  <c r="K119" i="3"/>
  <c r="K118" i="3" s="1"/>
  <c r="K103" i="3"/>
  <c r="Y103" i="3" s="1"/>
  <c r="J103" i="3"/>
  <c r="X103" i="3" s="1"/>
  <c r="I103" i="3"/>
  <c r="W103" i="3" s="1"/>
  <c r="H103" i="3"/>
  <c r="V103" i="3" s="1"/>
  <c r="G103" i="3"/>
  <c r="K97" i="3"/>
  <c r="Y97" i="3" s="1"/>
  <c r="J97" i="3"/>
  <c r="X97" i="3" s="1"/>
  <c r="I97" i="3"/>
  <c r="W97" i="3" s="1"/>
  <c r="H97" i="3"/>
  <c r="G97" i="3"/>
  <c r="U97" i="3" s="1"/>
  <c r="K95" i="3"/>
  <c r="J95" i="3"/>
  <c r="X95" i="3" s="1"/>
  <c r="I95" i="3"/>
  <c r="H95" i="3"/>
  <c r="H93" i="3" s="1"/>
  <c r="V93" i="3" s="1"/>
  <c r="G95" i="3"/>
  <c r="U95" i="3" s="1"/>
  <c r="H88" i="3"/>
  <c r="G88" i="3"/>
  <c r="U88" i="3" s="1"/>
  <c r="J61" i="3"/>
  <c r="J70" i="3" s="1"/>
  <c r="O170" i="3"/>
  <c r="O169" i="3"/>
  <c r="K169" i="3"/>
  <c r="J169" i="3"/>
  <c r="I169" i="3"/>
  <c r="H169" i="3"/>
  <c r="G169" i="3"/>
  <c r="O168" i="3"/>
  <c r="O167" i="3"/>
  <c r="I167" i="3"/>
  <c r="H167" i="3"/>
  <c r="O166" i="3"/>
  <c r="O165" i="3"/>
  <c r="O164" i="3"/>
  <c r="O163" i="3"/>
  <c r="O162" i="3"/>
  <c r="O161" i="3"/>
  <c r="O160" i="3"/>
  <c r="O159" i="3"/>
  <c r="O158" i="3"/>
  <c r="O157" i="3"/>
  <c r="O156" i="3"/>
  <c r="O155" i="3"/>
  <c r="O154" i="3"/>
  <c r="O153" i="3"/>
  <c r="O152" i="3"/>
  <c r="O151" i="3"/>
  <c r="O150" i="3"/>
  <c r="O149" i="3"/>
  <c r="O148" i="3"/>
  <c r="O147" i="3"/>
  <c r="O146" i="3"/>
  <c r="U144" i="3"/>
  <c r="K144" i="3"/>
  <c r="Y144" i="3" s="1"/>
  <c r="H144" i="3"/>
  <c r="I144" i="3" s="1"/>
  <c r="J138" i="3"/>
  <c r="I138" i="3"/>
  <c r="H127" i="3"/>
  <c r="H126" i="3"/>
  <c r="H122" i="3"/>
  <c r="J120" i="3"/>
  <c r="I120" i="3"/>
  <c r="H120" i="3"/>
  <c r="J119" i="3"/>
  <c r="I119" i="3"/>
  <c r="I118" i="3" s="1"/>
  <c r="H119" i="3"/>
  <c r="K116" i="3"/>
  <c r="J116" i="3"/>
  <c r="I116" i="3"/>
  <c r="H116" i="3"/>
  <c r="K114" i="3"/>
  <c r="J114" i="3"/>
  <c r="J125" i="3" s="1"/>
  <c r="I114" i="3"/>
  <c r="I125" i="3" s="1"/>
  <c r="C111" i="3"/>
  <c r="Y107" i="3"/>
  <c r="X107" i="3"/>
  <c r="W107" i="3"/>
  <c r="V107" i="3"/>
  <c r="U107" i="3"/>
  <c r="N107" i="3"/>
  <c r="Y106" i="3"/>
  <c r="X106" i="3"/>
  <c r="W106" i="3"/>
  <c r="V106" i="3"/>
  <c r="U106" i="3"/>
  <c r="N106" i="3"/>
  <c r="Y105" i="3"/>
  <c r="X105" i="3"/>
  <c r="W105" i="3"/>
  <c r="V105" i="3"/>
  <c r="U105" i="3"/>
  <c r="N105" i="3"/>
  <c r="M104" i="3"/>
  <c r="U103" i="3"/>
  <c r="M103" i="3"/>
  <c r="M101" i="3"/>
  <c r="Y100" i="3"/>
  <c r="X100" i="3"/>
  <c r="W100" i="3"/>
  <c r="V100" i="3"/>
  <c r="U100" i="3"/>
  <c r="N100" i="3"/>
  <c r="Y99" i="3"/>
  <c r="X99" i="3"/>
  <c r="W99" i="3"/>
  <c r="V99" i="3"/>
  <c r="U99" i="3"/>
  <c r="N99" i="3"/>
  <c r="M98" i="3"/>
  <c r="Y96" i="3"/>
  <c r="X96" i="3"/>
  <c r="W96" i="3"/>
  <c r="V96" i="3"/>
  <c r="U96" i="3"/>
  <c r="O96" i="3"/>
  <c r="V95" i="3"/>
  <c r="O95" i="3"/>
  <c r="W95" i="3"/>
  <c r="Y94" i="3"/>
  <c r="X94" i="3"/>
  <c r="W94" i="3"/>
  <c r="V94" i="3"/>
  <c r="U94" i="3"/>
  <c r="O94" i="3"/>
  <c r="N93" i="3"/>
  <c r="I93" i="3"/>
  <c r="W93" i="3" s="1"/>
  <c r="Y92" i="3"/>
  <c r="X92" i="3"/>
  <c r="W92" i="3"/>
  <c r="V92" i="3"/>
  <c r="U92" i="3"/>
  <c r="O92" i="3"/>
  <c r="Y91" i="3"/>
  <c r="X91" i="3"/>
  <c r="W91" i="3"/>
  <c r="V91" i="3"/>
  <c r="U91" i="3"/>
  <c r="O91" i="3"/>
  <c r="N90" i="3"/>
  <c r="K90" i="3"/>
  <c r="Y90" i="3" s="1"/>
  <c r="J90" i="3"/>
  <c r="X90" i="3" s="1"/>
  <c r="I90" i="3"/>
  <c r="W90" i="3" s="1"/>
  <c r="H90" i="3"/>
  <c r="V90" i="3" s="1"/>
  <c r="G90" i="3"/>
  <c r="U90" i="3" s="1"/>
  <c r="M89" i="3"/>
  <c r="Y88" i="3"/>
  <c r="X88" i="3"/>
  <c r="W88" i="3"/>
  <c r="N88" i="3"/>
  <c r="M87" i="3"/>
  <c r="Y86" i="3"/>
  <c r="X86" i="3"/>
  <c r="W86" i="3"/>
  <c r="V86" i="3"/>
  <c r="U86" i="3"/>
  <c r="N86" i="3"/>
  <c r="Y85" i="3"/>
  <c r="X85" i="3"/>
  <c r="V85" i="3"/>
  <c r="U85" i="3"/>
  <c r="Y84" i="3"/>
  <c r="X84" i="3"/>
  <c r="W84" i="3"/>
  <c r="V84" i="3"/>
  <c r="U84" i="3"/>
  <c r="N84" i="3"/>
  <c r="M83" i="3"/>
  <c r="Y82" i="3"/>
  <c r="X82" i="3"/>
  <c r="W82" i="3"/>
  <c r="V82" i="3"/>
  <c r="U82" i="3"/>
  <c r="N82" i="3"/>
  <c r="Y81" i="3"/>
  <c r="X81" i="3"/>
  <c r="W81" i="3"/>
  <c r="V81" i="3"/>
  <c r="U81" i="3"/>
  <c r="N81" i="3"/>
  <c r="Y80" i="3"/>
  <c r="X80" i="3"/>
  <c r="W80" i="3"/>
  <c r="V80" i="3"/>
  <c r="U80" i="3"/>
  <c r="N80" i="3"/>
  <c r="Y79" i="3"/>
  <c r="X79" i="3"/>
  <c r="W79" i="3"/>
  <c r="V79" i="3"/>
  <c r="U79" i="3"/>
  <c r="N79" i="3"/>
  <c r="M78" i="3"/>
  <c r="K78" i="3"/>
  <c r="K83" i="3" s="1"/>
  <c r="K87" i="3" s="1"/>
  <c r="J78" i="3"/>
  <c r="J83" i="3" s="1"/>
  <c r="I78" i="3"/>
  <c r="I83" i="3" s="1"/>
  <c r="H78" i="3"/>
  <c r="G78" i="3"/>
  <c r="G168" i="3" s="1"/>
  <c r="Y77" i="3"/>
  <c r="K77" i="3"/>
  <c r="K111" i="3" s="1"/>
  <c r="G77" i="3"/>
  <c r="U77" i="3" s="1"/>
  <c r="C77" i="3"/>
  <c r="M73" i="3"/>
  <c r="Y71" i="3"/>
  <c r="X71" i="3"/>
  <c r="W71" i="3"/>
  <c r="U71" i="3"/>
  <c r="M70" i="3"/>
  <c r="K70" i="3"/>
  <c r="K72" i="3" s="1"/>
  <c r="K162" i="3" s="1"/>
  <c r="I70" i="3"/>
  <c r="W70" i="3" s="1"/>
  <c r="H70" i="3"/>
  <c r="H72" i="3" s="1"/>
  <c r="H162" i="3" s="1"/>
  <c r="G70" i="3"/>
  <c r="G72" i="3" s="1"/>
  <c r="G162" i="3" s="1"/>
  <c r="Y69" i="3"/>
  <c r="X69" i="3"/>
  <c r="W69" i="3"/>
  <c r="V69" i="3"/>
  <c r="U69" i="3"/>
  <c r="Y68" i="3"/>
  <c r="X68" i="3"/>
  <c r="W68" i="3"/>
  <c r="V68" i="3"/>
  <c r="U68" i="3"/>
  <c r="Y67" i="3"/>
  <c r="X67" i="3"/>
  <c r="W67" i="3"/>
  <c r="V67" i="3"/>
  <c r="U67" i="3"/>
  <c r="Y66" i="3"/>
  <c r="X66" i="3"/>
  <c r="W66" i="3"/>
  <c r="V66" i="3"/>
  <c r="U66" i="3"/>
  <c r="Y65" i="3"/>
  <c r="X65" i="3"/>
  <c r="W65" i="3"/>
  <c r="V65" i="3"/>
  <c r="U65" i="3"/>
  <c r="Y64" i="3"/>
  <c r="X64" i="3"/>
  <c r="W64" i="3"/>
  <c r="V64" i="3"/>
  <c r="U64" i="3"/>
  <c r="Y63" i="3"/>
  <c r="X63" i="3"/>
  <c r="W63" i="3"/>
  <c r="V63" i="3"/>
  <c r="U63" i="3"/>
  <c r="Y62" i="3"/>
  <c r="X62" i="3"/>
  <c r="W62" i="3"/>
  <c r="V62" i="3"/>
  <c r="U62" i="3"/>
  <c r="Y61" i="3"/>
  <c r="W61" i="3"/>
  <c r="V61" i="3"/>
  <c r="U61" i="3"/>
  <c r="X61" i="3"/>
  <c r="Y60" i="3"/>
  <c r="X60" i="3"/>
  <c r="W60" i="3"/>
  <c r="V60" i="3"/>
  <c r="U60" i="3"/>
  <c r="Y59" i="3"/>
  <c r="X59" i="3"/>
  <c r="W59" i="3"/>
  <c r="V59" i="3"/>
  <c r="U59" i="3"/>
  <c r="Y58" i="3"/>
  <c r="X58" i="3"/>
  <c r="W58" i="3"/>
  <c r="V58" i="3"/>
  <c r="U58" i="3"/>
  <c r="M58" i="3"/>
  <c r="Y57" i="3"/>
  <c r="X57" i="3"/>
  <c r="W57" i="3"/>
  <c r="V57" i="3"/>
  <c r="U57" i="3"/>
  <c r="M57" i="3"/>
  <c r="M56" i="3"/>
  <c r="M55" i="3"/>
  <c r="K55" i="3"/>
  <c r="Y55" i="3" s="1"/>
  <c r="J55" i="3"/>
  <c r="X55" i="3" s="1"/>
  <c r="I55" i="3"/>
  <c r="H55" i="3"/>
  <c r="V55" i="3" s="1"/>
  <c r="G55" i="3"/>
  <c r="U55" i="3" s="1"/>
  <c r="Y54" i="3"/>
  <c r="X54" i="3"/>
  <c r="W54" i="3"/>
  <c r="V54" i="3"/>
  <c r="U54" i="3"/>
  <c r="M54" i="3"/>
  <c r="Y53" i="3"/>
  <c r="X53" i="3"/>
  <c r="W53" i="3"/>
  <c r="V53" i="3"/>
  <c r="U53" i="3"/>
  <c r="Y52" i="3"/>
  <c r="X52" i="3"/>
  <c r="W52" i="3"/>
  <c r="V52" i="3"/>
  <c r="U52" i="3"/>
  <c r="M52" i="3"/>
  <c r="Y51" i="3"/>
  <c r="X51" i="3"/>
  <c r="W51" i="3"/>
  <c r="V51" i="3"/>
  <c r="U51" i="3"/>
  <c r="M51" i="3"/>
  <c r="Y50" i="3"/>
  <c r="X50" i="3"/>
  <c r="W50" i="3"/>
  <c r="V50" i="3"/>
  <c r="U50" i="3"/>
  <c r="M50" i="3"/>
  <c r="Y49" i="3"/>
  <c r="X49" i="3"/>
  <c r="W49" i="3"/>
  <c r="V49" i="3"/>
  <c r="U49" i="3"/>
  <c r="M49" i="3"/>
  <c r="M48" i="3"/>
  <c r="K48" i="3"/>
  <c r="K157" i="3" s="1"/>
  <c r="J48" i="3"/>
  <c r="I48" i="3"/>
  <c r="I157" i="3" s="1"/>
  <c r="H48" i="3"/>
  <c r="H157" i="3" s="1"/>
  <c r="G48" i="3"/>
  <c r="G157" i="3" s="1"/>
  <c r="Y47" i="3"/>
  <c r="X47" i="3"/>
  <c r="W47" i="3"/>
  <c r="V47" i="3"/>
  <c r="U47" i="3"/>
  <c r="Y46" i="3"/>
  <c r="X46" i="3"/>
  <c r="W46" i="3"/>
  <c r="V46" i="3"/>
  <c r="U46" i="3"/>
  <c r="Y45" i="3"/>
  <c r="X45" i="3"/>
  <c r="W45" i="3"/>
  <c r="V45" i="3"/>
  <c r="U45" i="3"/>
  <c r="M45" i="3"/>
  <c r="Y44" i="3"/>
  <c r="X44" i="3"/>
  <c r="W44" i="3"/>
  <c r="V44" i="3"/>
  <c r="U44" i="3"/>
  <c r="M44" i="3"/>
  <c r="Y43" i="3"/>
  <c r="X43" i="3"/>
  <c r="W43" i="3"/>
  <c r="V43" i="3"/>
  <c r="U43" i="3"/>
  <c r="M43" i="3"/>
  <c r="Y42" i="3"/>
  <c r="X42" i="3"/>
  <c r="W42" i="3"/>
  <c r="V42" i="3"/>
  <c r="U42" i="3"/>
  <c r="Y41" i="3"/>
  <c r="X41" i="3"/>
  <c r="W41" i="3"/>
  <c r="V41" i="3"/>
  <c r="U41" i="3"/>
  <c r="Y40" i="3"/>
  <c r="X40" i="3"/>
  <c r="W40" i="3"/>
  <c r="V40" i="3"/>
  <c r="U40" i="3"/>
  <c r="Y39" i="3"/>
  <c r="X39" i="3"/>
  <c r="W39" i="3"/>
  <c r="V39" i="3"/>
  <c r="U39" i="3"/>
  <c r="M39" i="3"/>
  <c r="Y38" i="3"/>
  <c r="X38" i="3"/>
  <c r="W38" i="3"/>
  <c r="V38" i="3"/>
  <c r="U38" i="3"/>
  <c r="Y37" i="3"/>
  <c r="X37" i="3"/>
  <c r="W37" i="3"/>
  <c r="V37" i="3"/>
  <c r="U37" i="3"/>
  <c r="N37" i="3"/>
  <c r="Y36" i="3"/>
  <c r="X36" i="3"/>
  <c r="W36" i="3"/>
  <c r="V36" i="3"/>
  <c r="U36" i="3"/>
  <c r="N36" i="3"/>
  <c r="Y35" i="3"/>
  <c r="Y169" i="3" s="1"/>
  <c r="X35" i="3"/>
  <c r="W35" i="3"/>
  <c r="V35" i="3"/>
  <c r="U35" i="3"/>
  <c r="U169" i="3" s="1"/>
  <c r="M35" i="3"/>
  <c r="Y34" i="3"/>
  <c r="X34" i="3"/>
  <c r="W34" i="3"/>
  <c r="V34" i="3"/>
  <c r="U34" i="3"/>
  <c r="M34" i="3"/>
  <c r="Y33" i="3"/>
  <c r="X33" i="3"/>
  <c r="W33" i="3"/>
  <c r="V33" i="3"/>
  <c r="U33" i="3"/>
  <c r="M33" i="3"/>
  <c r="M32" i="3"/>
  <c r="M31" i="3"/>
  <c r="K31" i="3"/>
  <c r="Y31" i="3" s="1"/>
  <c r="J31" i="3"/>
  <c r="X31" i="3" s="1"/>
  <c r="I31" i="3"/>
  <c r="H31" i="3"/>
  <c r="V31" i="3" s="1"/>
  <c r="G31" i="3"/>
  <c r="U31" i="3" s="1"/>
  <c r="Y30" i="3"/>
  <c r="X30" i="3"/>
  <c r="W30" i="3"/>
  <c r="V30" i="3"/>
  <c r="U30" i="3"/>
  <c r="Y29" i="3"/>
  <c r="X29" i="3"/>
  <c r="W29" i="3"/>
  <c r="V29" i="3"/>
  <c r="U29" i="3"/>
  <c r="M29" i="3"/>
  <c r="Y28" i="3"/>
  <c r="X28" i="3"/>
  <c r="W28" i="3"/>
  <c r="V28" i="3"/>
  <c r="U28" i="3"/>
  <c r="Y27" i="3"/>
  <c r="X27" i="3"/>
  <c r="W27" i="3"/>
  <c r="V27" i="3"/>
  <c r="U27" i="3"/>
  <c r="M27" i="3"/>
  <c r="Y26" i="3"/>
  <c r="X26" i="3"/>
  <c r="W26" i="3"/>
  <c r="V26" i="3"/>
  <c r="U26" i="3"/>
  <c r="M26" i="3"/>
  <c r="Y25" i="3"/>
  <c r="X25" i="3"/>
  <c r="W25" i="3"/>
  <c r="V25" i="3"/>
  <c r="U25" i="3"/>
  <c r="M25" i="3"/>
  <c r="Y24" i="3"/>
  <c r="X24" i="3"/>
  <c r="W24" i="3"/>
  <c r="V24" i="3"/>
  <c r="U24" i="3"/>
  <c r="Y23" i="3"/>
  <c r="X23" i="3"/>
  <c r="W23" i="3"/>
  <c r="V23" i="3"/>
  <c r="U23" i="3"/>
  <c r="Y22" i="3"/>
  <c r="X22" i="3"/>
  <c r="W22" i="3"/>
  <c r="V22" i="3"/>
  <c r="U22" i="3"/>
  <c r="M22" i="3"/>
  <c r="Y21" i="3"/>
  <c r="X21" i="3"/>
  <c r="W21" i="3"/>
  <c r="V21" i="3"/>
  <c r="U21" i="3"/>
  <c r="Y20" i="3"/>
  <c r="X20" i="3"/>
  <c r="W20" i="3"/>
  <c r="V20" i="3"/>
  <c r="U20" i="3"/>
  <c r="M20" i="3"/>
  <c r="M19" i="3"/>
  <c r="K19" i="3"/>
  <c r="K156" i="3" s="1"/>
  <c r="J19" i="3"/>
  <c r="I19" i="3"/>
  <c r="I156" i="3" s="1"/>
  <c r="H19" i="3"/>
  <c r="H156" i="3" s="1"/>
  <c r="G19" i="3"/>
  <c r="Y18" i="3"/>
  <c r="X18" i="3"/>
  <c r="W18" i="3"/>
  <c r="V18" i="3"/>
  <c r="U18" i="3"/>
  <c r="Y17" i="3"/>
  <c r="X17" i="3"/>
  <c r="W17" i="3"/>
  <c r="V17" i="3"/>
  <c r="U17" i="3"/>
  <c r="Y16" i="3"/>
  <c r="X16" i="3"/>
  <c r="W16" i="3"/>
  <c r="V16" i="3"/>
  <c r="U16" i="3"/>
  <c r="M16" i="3"/>
  <c r="Y15" i="3"/>
  <c r="Y167" i="3" s="1"/>
  <c r="X15" i="3"/>
  <c r="W15" i="3"/>
  <c r="V15" i="3"/>
  <c r="U15" i="3"/>
  <c r="U167" i="3" s="1"/>
  <c r="M15" i="3"/>
  <c r="Y14" i="3"/>
  <c r="X14" i="3"/>
  <c r="W14" i="3"/>
  <c r="V14" i="3"/>
  <c r="Y13" i="3"/>
  <c r="X13" i="3"/>
  <c r="W13" i="3"/>
  <c r="V13" i="3"/>
  <c r="U13" i="3"/>
  <c r="N13" i="3"/>
  <c r="Y12" i="3"/>
  <c r="X12" i="3"/>
  <c r="W12" i="3"/>
  <c r="V12" i="3"/>
  <c r="U12" i="3"/>
  <c r="Y11" i="3"/>
  <c r="X11" i="3"/>
  <c r="W11" i="3"/>
  <c r="V11" i="3"/>
  <c r="U11" i="3"/>
  <c r="Y10" i="3"/>
  <c r="X10" i="3"/>
  <c r="W10" i="3"/>
  <c r="V10" i="3"/>
  <c r="U10" i="3"/>
  <c r="N10" i="3"/>
  <c r="Y9" i="3"/>
  <c r="X9" i="3"/>
  <c r="W9" i="3"/>
  <c r="V9" i="3"/>
  <c r="U9" i="3"/>
  <c r="N9" i="3"/>
  <c r="Y8" i="3"/>
  <c r="X8" i="3"/>
  <c r="W8" i="3"/>
  <c r="V8" i="3"/>
  <c r="U8" i="3"/>
  <c r="M8" i="3"/>
  <c r="Y7" i="3"/>
  <c r="X7" i="3"/>
  <c r="W7" i="3"/>
  <c r="V7" i="3"/>
  <c r="U7" i="3"/>
  <c r="M7" i="3"/>
  <c r="Y6" i="3"/>
  <c r="U6" i="3"/>
  <c r="N6" i="3"/>
  <c r="N77" i="3" s="1"/>
  <c r="H6" i="3"/>
  <c r="H77" i="3" s="1"/>
  <c r="I129" i="3" l="1"/>
  <c r="I141" i="3"/>
  <c r="J129" i="3"/>
  <c r="J141" i="3"/>
  <c r="K129" i="3"/>
  <c r="K141" i="3"/>
  <c r="J115" i="3"/>
  <c r="J147" i="3"/>
  <c r="G159" i="3"/>
  <c r="K115" i="3"/>
  <c r="K113" i="3" s="1"/>
  <c r="K147" i="3"/>
  <c r="H159" i="3"/>
  <c r="I115" i="3"/>
  <c r="K159" i="3"/>
  <c r="J32" i="3"/>
  <c r="X32" i="3" s="1"/>
  <c r="J156" i="3"/>
  <c r="H115" i="3"/>
  <c r="U158" i="3"/>
  <c r="U159" i="3" s="1"/>
  <c r="I6" i="3"/>
  <c r="Y48" i="3"/>
  <c r="V70" i="3"/>
  <c r="V72" i="3" s="1"/>
  <c r="V144" i="3"/>
  <c r="G32" i="3"/>
  <c r="U32" i="3" s="1"/>
  <c r="I32" i="3"/>
  <c r="W32" i="3" s="1"/>
  <c r="V6" i="3"/>
  <c r="U48" i="3"/>
  <c r="X78" i="3"/>
  <c r="X168" i="3" s="1"/>
  <c r="V48" i="3"/>
  <c r="V157" i="3" s="1"/>
  <c r="G83" i="3"/>
  <c r="G149" i="3" s="1"/>
  <c r="U78" i="3"/>
  <c r="U168" i="3" s="1"/>
  <c r="U170" i="3" s="1"/>
  <c r="V167" i="3"/>
  <c r="H147" i="3"/>
  <c r="W167" i="3"/>
  <c r="G170" i="3"/>
  <c r="W78" i="3"/>
  <c r="W168" i="3" s="1"/>
  <c r="V169" i="3"/>
  <c r="W169" i="3"/>
  <c r="X169" i="3"/>
  <c r="G93" i="3"/>
  <c r="U93" i="3" s="1"/>
  <c r="H136" i="3"/>
  <c r="J113" i="3"/>
  <c r="J72" i="3"/>
  <c r="X70" i="3"/>
  <c r="U70" i="3"/>
  <c r="U72" i="3" s="1"/>
  <c r="Y70" i="3"/>
  <c r="K56" i="3"/>
  <c r="Y56" i="3" s="1"/>
  <c r="W48" i="3"/>
  <c r="W157" i="3" s="1"/>
  <c r="G166" i="3"/>
  <c r="I136" i="3"/>
  <c r="I56" i="3"/>
  <c r="W56" i="3" s="1"/>
  <c r="J136" i="3"/>
  <c r="X19" i="3"/>
  <c r="Y19" i="3"/>
  <c r="Y156" i="3" s="1"/>
  <c r="Y87" i="3"/>
  <c r="K89" i="3"/>
  <c r="K112" i="3"/>
  <c r="K151" i="3"/>
  <c r="X147" i="3"/>
  <c r="V88" i="3"/>
  <c r="H114" i="3"/>
  <c r="H125" i="3" s="1"/>
  <c r="W55" i="3"/>
  <c r="U19" i="3"/>
  <c r="V158" i="3"/>
  <c r="J149" i="3"/>
  <c r="J87" i="3"/>
  <c r="X83" i="3"/>
  <c r="V77" i="3"/>
  <c r="H111" i="3"/>
  <c r="W19" i="3"/>
  <c r="X158" i="3"/>
  <c r="G56" i="3"/>
  <c r="U56" i="3" s="1"/>
  <c r="K168" i="3"/>
  <c r="K170" i="3" s="1"/>
  <c r="Y78" i="3"/>
  <c r="Y168" i="3" s="1"/>
  <c r="Y170" i="3" s="1"/>
  <c r="K148" i="3"/>
  <c r="Y95" i="3"/>
  <c r="K93" i="3"/>
  <c r="Y93" i="3" s="1"/>
  <c r="K136" i="3"/>
  <c r="H166" i="3"/>
  <c r="J56" i="3"/>
  <c r="X56" i="3" s="1"/>
  <c r="X167" i="3"/>
  <c r="I166" i="3"/>
  <c r="W31" i="3"/>
  <c r="H56" i="3"/>
  <c r="V56" i="3" s="1"/>
  <c r="H118" i="3"/>
  <c r="K166" i="3"/>
  <c r="K32" i="3"/>
  <c r="Y32" i="3" s="1"/>
  <c r="W158" i="3"/>
  <c r="J6" i="3"/>
  <c r="U157" i="3"/>
  <c r="H32" i="3"/>
  <c r="V32" i="3" s="1"/>
  <c r="Y158" i="3"/>
  <c r="I113" i="3"/>
  <c r="J144" i="3"/>
  <c r="X144" i="3" s="1"/>
  <c r="W144" i="3"/>
  <c r="X48" i="3"/>
  <c r="J157" i="3"/>
  <c r="H83" i="3"/>
  <c r="H168" i="3"/>
  <c r="H170" i="3" s="1"/>
  <c r="H148" i="3"/>
  <c r="V78" i="3"/>
  <c r="V168" i="3" s="1"/>
  <c r="K149" i="3"/>
  <c r="Y83" i="3"/>
  <c r="I72" i="3"/>
  <c r="I162" i="3" s="1"/>
  <c r="W83" i="3"/>
  <c r="I149" i="3"/>
  <c r="I87" i="3"/>
  <c r="V97" i="3"/>
  <c r="V19" i="3"/>
  <c r="Y72" i="3"/>
  <c r="G156" i="3"/>
  <c r="I148" i="3"/>
  <c r="Y157" i="3"/>
  <c r="J166" i="3"/>
  <c r="J93" i="3"/>
  <c r="X93" i="3" s="1"/>
  <c r="J148" i="3"/>
  <c r="I168" i="3"/>
  <c r="I170" i="3" s="1"/>
  <c r="J168" i="3"/>
  <c r="J170" i="3" s="1"/>
  <c r="H129" i="3" l="1"/>
  <c r="H141" i="3"/>
  <c r="X72" i="3"/>
  <c r="J162" i="3"/>
  <c r="K164" i="3"/>
  <c r="K161" i="3"/>
  <c r="K160" i="3"/>
  <c r="Y149" i="3"/>
  <c r="X156" i="3"/>
  <c r="W170" i="3"/>
  <c r="G87" i="3"/>
  <c r="G98" i="3" s="1"/>
  <c r="V170" i="3"/>
  <c r="K73" i="3"/>
  <c r="G73" i="3"/>
  <c r="Y166" i="3"/>
  <c r="X149" i="3"/>
  <c r="I77" i="3"/>
  <c r="W6" i="3"/>
  <c r="X170" i="3"/>
  <c r="U83" i="3"/>
  <c r="U149" i="3" s="1"/>
  <c r="W149" i="3"/>
  <c r="X148" i="3"/>
  <c r="W147" i="3"/>
  <c r="W148" i="3"/>
  <c r="W156" i="3"/>
  <c r="W166" i="3"/>
  <c r="J151" i="3"/>
  <c r="J98" i="3"/>
  <c r="J89" i="3"/>
  <c r="X87" i="3"/>
  <c r="X151" i="3" s="1"/>
  <c r="J112" i="3"/>
  <c r="J117" i="3" s="1"/>
  <c r="J124" i="3" s="1"/>
  <c r="J130" i="3" s="1"/>
  <c r="J137" i="3" s="1"/>
  <c r="J139" i="3" s="1"/>
  <c r="J140" i="3" s="1"/>
  <c r="I151" i="3"/>
  <c r="I98" i="3"/>
  <c r="W87" i="3"/>
  <c r="W151" i="3" s="1"/>
  <c r="I89" i="3"/>
  <c r="I112" i="3"/>
  <c r="I117" i="3" s="1"/>
  <c r="I124" i="3" s="1"/>
  <c r="I130" i="3" s="1"/>
  <c r="I137" i="3" s="1"/>
  <c r="I139" i="3" s="1"/>
  <c r="I140" i="3" s="1"/>
  <c r="X157" i="3"/>
  <c r="H73" i="3"/>
  <c r="Y148" i="3"/>
  <c r="Y147" i="3"/>
  <c r="K98" i="3"/>
  <c r="H87" i="3"/>
  <c r="H149" i="3"/>
  <c r="V83" i="3"/>
  <c r="V149" i="3" s="1"/>
  <c r="J77" i="3"/>
  <c r="X6" i="3"/>
  <c r="X166" i="3"/>
  <c r="K117" i="3"/>
  <c r="K124" i="3" s="1"/>
  <c r="K130" i="3" s="1"/>
  <c r="K137" i="3" s="1"/>
  <c r="K139" i="3" s="1"/>
  <c r="K140" i="3" s="1"/>
  <c r="J73" i="3"/>
  <c r="V148" i="3"/>
  <c r="V147" i="3"/>
  <c r="X159" i="3"/>
  <c r="K104" i="3"/>
  <c r="Y104" i="3" s="1"/>
  <c r="K150" i="3"/>
  <c r="Y89" i="3"/>
  <c r="Y160" i="3" s="1"/>
  <c r="W159" i="3"/>
  <c r="V166" i="3"/>
  <c r="V156" i="3"/>
  <c r="Y159" i="3"/>
  <c r="V159" i="3"/>
  <c r="G151" i="3"/>
  <c r="U87" i="3"/>
  <c r="U151" i="3" s="1"/>
  <c r="I73" i="3"/>
  <c r="W72" i="3"/>
  <c r="U166" i="3"/>
  <c r="U156" i="3"/>
  <c r="H113" i="3"/>
  <c r="Y151" i="3"/>
  <c r="J164" i="3" l="1"/>
  <c r="J161" i="3"/>
  <c r="J160" i="3"/>
  <c r="I160" i="3"/>
  <c r="I164" i="3"/>
  <c r="I161" i="3"/>
  <c r="G89" i="3"/>
  <c r="Y73" i="3"/>
  <c r="Y163" i="3" s="1"/>
  <c r="G163" i="3"/>
  <c r="K74" i="3"/>
  <c r="K163" i="3"/>
  <c r="I111" i="3"/>
  <c r="W77" i="3"/>
  <c r="G74" i="3"/>
  <c r="U73" i="3"/>
  <c r="U162" i="3" s="1"/>
  <c r="W73" i="3"/>
  <c r="W163" i="3" s="1"/>
  <c r="I74" i="3"/>
  <c r="Y164" i="3"/>
  <c r="Y150" i="3"/>
  <c r="Y161" i="3"/>
  <c r="J111" i="3"/>
  <c r="X77" i="3"/>
  <c r="I163" i="3"/>
  <c r="X73" i="3"/>
  <c r="J74" i="3"/>
  <c r="J163" i="3"/>
  <c r="H151" i="3"/>
  <c r="H98" i="3"/>
  <c r="V87" i="3"/>
  <c r="V151" i="3" s="1"/>
  <c r="H89" i="3"/>
  <c r="H112" i="3"/>
  <c r="H117" i="3" s="1"/>
  <c r="H124" i="3" s="1"/>
  <c r="H130" i="3" s="1"/>
  <c r="H137" i="3" s="1"/>
  <c r="H139" i="3" s="1"/>
  <c r="H140" i="3" s="1"/>
  <c r="J104" i="3"/>
  <c r="X104" i="3" s="1"/>
  <c r="J150" i="3"/>
  <c r="X89" i="3"/>
  <c r="Y98" i="3"/>
  <c r="K101" i="3"/>
  <c r="X98" i="3"/>
  <c r="J101" i="3"/>
  <c r="W98" i="3"/>
  <c r="I101" i="3"/>
  <c r="H74" i="3"/>
  <c r="V73" i="3"/>
  <c r="H163" i="3"/>
  <c r="G101" i="3"/>
  <c r="G153" i="3" s="1"/>
  <c r="U98" i="3"/>
  <c r="I104" i="3"/>
  <c r="W104" i="3" s="1"/>
  <c r="I150" i="3"/>
  <c r="W89" i="3"/>
  <c r="G150" i="3" l="1"/>
  <c r="G161" i="3"/>
  <c r="G164" i="3"/>
  <c r="G160" i="3"/>
  <c r="H161" i="3"/>
  <c r="H164" i="3"/>
  <c r="H160" i="3"/>
  <c r="G104" i="3"/>
  <c r="U104" i="3" s="1"/>
  <c r="U89" i="3"/>
  <c r="U164" i="3" s="1"/>
  <c r="Y162" i="3"/>
  <c r="Y74" i="3"/>
  <c r="U74" i="3"/>
  <c r="U163" i="3"/>
  <c r="H101" i="3"/>
  <c r="V98" i="3"/>
  <c r="W101" i="3"/>
  <c r="I154" i="3"/>
  <c r="I152" i="3"/>
  <c r="I153" i="3"/>
  <c r="X74" i="3"/>
  <c r="X162" i="3"/>
  <c r="X163" i="3"/>
  <c r="K152" i="3"/>
  <c r="K153" i="3"/>
  <c r="Y101" i="3"/>
  <c r="K154" i="3"/>
  <c r="V74" i="3"/>
  <c r="V163" i="3"/>
  <c r="V162" i="3"/>
  <c r="W74" i="3"/>
  <c r="W162" i="3"/>
  <c r="X164" i="3"/>
  <c r="X150" i="3"/>
  <c r="X161" i="3"/>
  <c r="X160" i="3"/>
  <c r="W164" i="3"/>
  <c r="W150" i="3"/>
  <c r="W161" i="3"/>
  <c r="W160" i="3"/>
  <c r="U101" i="3"/>
  <c r="G154" i="3"/>
  <c r="G152" i="3"/>
  <c r="J154" i="3"/>
  <c r="J152" i="3"/>
  <c r="J153" i="3"/>
  <c r="X101" i="3"/>
  <c r="H104" i="3"/>
  <c r="V104" i="3" s="1"/>
  <c r="V89" i="3"/>
  <c r="H150" i="3"/>
  <c r="U150" i="3"/>
  <c r="U161" i="3"/>
  <c r="U160" i="3"/>
  <c r="U153" i="3" l="1"/>
  <c r="U154" i="3"/>
  <c r="U152" i="3"/>
  <c r="Y154" i="3"/>
  <c r="Y152" i="3"/>
  <c r="Y153" i="3"/>
  <c r="W153" i="3"/>
  <c r="W154" i="3"/>
  <c r="W152" i="3"/>
  <c r="X154" i="3"/>
  <c r="X152" i="3"/>
  <c r="X153" i="3"/>
  <c r="V150" i="3"/>
  <c r="V164" i="3"/>
  <c r="V161" i="3"/>
  <c r="V160" i="3"/>
  <c r="H153" i="3"/>
  <c r="V101" i="3"/>
  <c r="H154" i="3"/>
  <c r="H152" i="3"/>
  <c r="V153" i="3" l="1"/>
  <c r="V154" i="3"/>
  <c r="V152" i="3"/>
</calcChain>
</file>

<file path=xl/sharedStrings.xml><?xml version="1.0" encoding="utf-8"?>
<sst xmlns="http://schemas.openxmlformats.org/spreadsheetml/2006/main" count="266" uniqueCount="173">
  <si>
    <t>Company Name</t>
  </si>
  <si>
    <t>FX</t>
  </si>
  <si>
    <t>EUR</t>
  </si>
  <si>
    <t>Balance Sheet</t>
  </si>
  <si>
    <t>in TRY thousands</t>
  </si>
  <si>
    <t>Sales and Profitability</t>
  </si>
  <si>
    <t>Cash and cash equivalents</t>
  </si>
  <si>
    <t>Revenue growth</t>
  </si>
  <si>
    <t>Trade receivables</t>
  </si>
  <si>
    <t>Gross margin</t>
  </si>
  <si>
    <t>from related parties</t>
  </si>
  <si>
    <t>EBITDA margin</t>
  </si>
  <si>
    <t>from third parties</t>
  </si>
  <si>
    <t>EBIT margin</t>
  </si>
  <si>
    <t>Inventories</t>
  </si>
  <si>
    <t>Net margin</t>
  </si>
  <si>
    <t>Prepayments, Accrued Income, Other</t>
  </si>
  <si>
    <t>Return on assets</t>
  </si>
  <si>
    <t>Total current assets</t>
  </si>
  <si>
    <t>Return on equity</t>
  </si>
  <si>
    <t>Capital structure and leverage</t>
  </si>
  <si>
    <t>Property, plant and equipment</t>
  </si>
  <si>
    <t>Current ratio</t>
  </si>
  <si>
    <t>Intangible assets</t>
  </si>
  <si>
    <t>Prepaid expenses</t>
  </si>
  <si>
    <t>Total non-current assets</t>
  </si>
  <si>
    <t>Financial debt to EBITDA</t>
  </si>
  <si>
    <t>Total Assets</t>
  </si>
  <si>
    <t>Net financial debt to EBITDA</t>
  </si>
  <si>
    <t>Trade payables</t>
  </si>
  <si>
    <t>to related parties</t>
  </si>
  <si>
    <t>to third parties</t>
  </si>
  <si>
    <t>Equity ratio</t>
  </si>
  <si>
    <t>Deferred income</t>
  </si>
  <si>
    <t>Liabilities for employee benefits</t>
  </si>
  <si>
    <t>Working Capital Management</t>
  </si>
  <si>
    <t>Current income tax liabilities</t>
  </si>
  <si>
    <t>Inventory doh</t>
  </si>
  <si>
    <t>Accounts receivables doh</t>
  </si>
  <si>
    <t>Other current payables</t>
  </si>
  <si>
    <t>Accounts payables doh</t>
  </si>
  <si>
    <t>Total current liabilities</t>
  </si>
  <si>
    <t>Cash conversion cycle</t>
  </si>
  <si>
    <t>Long-term financial liabilities</t>
  </si>
  <si>
    <t>Deferred tax liability</t>
  </si>
  <si>
    <t>Total non-current liabilities</t>
  </si>
  <si>
    <t>Total liabilities</t>
  </si>
  <si>
    <t>Paid-in capital</t>
  </si>
  <si>
    <t>Retained earnings</t>
  </si>
  <si>
    <t>Net income</t>
  </si>
  <si>
    <t>Shareholder's equity</t>
  </si>
  <si>
    <t>TOTAL LIABILITIES AND EQUITY</t>
  </si>
  <si>
    <t>Financial debt</t>
  </si>
  <si>
    <t>Net financial debt</t>
  </si>
  <si>
    <t>Income Statement</t>
  </si>
  <si>
    <t>Net sales revenues</t>
  </si>
  <si>
    <t>Gross sales</t>
  </si>
  <si>
    <t>Returns</t>
  </si>
  <si>
    <t>Discounts</t>
  </si>
  <si>
    <t>Cost of sales</t>
  </si>
  <si>
    <t>Gross profit</t>
  </si>
  <si>
    <t>Marketing, selling and distribution expenses</t>
  </si>
  <si>
    <t>General administrative expenses</t>
  </si>
  <si>
    <t>EBITDA</t>
  </si>
  <si>
    <t>Depreciation and amortization</t>
  </si>
  <si>
    <t>EBIT</t>
  </si>
  <si>
    <t>Financial income</t>
  </si>
  <si>
    <t>FX gain</t>
  </si>
  <si>
    <t>Interest income</t>
  </si>
  <si>
    <t>Financial Expense</t>
  </si>
  <si>
    <t>Interest expenses</t>
  </si>
  <si>
    <t>FX loss</t>
  </si>
  <si>
    <t>Other interest expenses</t>
  </si>
  <si>
    <t>Other income/expenses</t>
  </si>
  <si>
    <t>EBT</t>
  </si>
  <si>
    <t>Current Tax</t>
  </si>
  <si>
    <t>Deferred Tax</t>
  </si>
  <si>
    <t>Total Depreciation</t>
  </si>
  <si>
    <t>Depreciation and amortization (COGS)</t>
  </si>
  <si>
    <t>Depreciation and amortization (S&amp;M)</t>
  </si>
  <si>
    <t>Depreciation and amortization (GA)</t>
  </si>
  <si>
    <t>Key ratios in TRY'000</t>
  </si>
  <si>
    <t>Key ratios in EUR'000</t>
  </si>
  <si>
    <t>Unit</t>
  </si>
  <si>
    <t>%</t>
  </si>
  <si>
    <t>x</t>
  </si>
  <si>
    <t>000</t>
  </si>
  <si>
    <t>doh</t>
  </si>
  <si>
    <t>EUR/ TL period - end</t>
  </si>
  <si>
    <t>EUR/ TL average</t>
  </si>
  <si>
    <t>Debt to equity ratio</t>
  </si>
  <si>
    <t xml:space="preserve">Net working capital </t>
  </si>
  <si>
    <t>CAGR</t>
  </si>
  <si>
    <t>EBITDA to interest expenses</t>
  </si>
  <si>
    <t>Investments in affiliated companies</t>
  </si>
  <si>
    <t>Short-term financial liabilities</t>
  </si>
  <si>
    <t>Current portion of LT liabilities</t>
  </si>
  <si>
    <t>Cash Flow Statement</t>
  </si>
  <si>
    <t>Adjustments:</t>
  </si>
  <si>
    <t>Other adjustments</t>
  </si>
  <si>
    <t>Taxes paid</t>
  </si>
  <si>
    <t>Cash used in operations before changes in WC</t>
  </si>
  <si>
    <t>Change in WC:</t>
  </si>
  <si>
    <t>Other current assets</t>
  </si>
  <si>
    <t>Cash flow from operating activities</t>
  </si>
  <si>
    <t>Cash flow from investing activities</t>
  </si>
  <si>
    <t>Free cash flow</t>
  </si>
  <si>
    <t>Share capital increase</t>
  </si>
  <si>
    <t>Net change in financial debt</t>
  </si>
  <si>
    <t>Interest paid</t>
  </si>
  <si>
    <t>Total cash flow from financing activities</t>
  </si>
  <si>
    <t>Total change in cash and cash equivalents</t>
  </si>
  <si>
    <t>Cash at the beginning of the year</t>
  </si>
  <si>
    <t>Cash at the end of the year</t>
  </si>
  <si>
    <t>Other current liabilities</t>
  </si>
  <si>
    <t>Purchase/disposal of PPE</t>
  </si>
  <si>
    <t>Purchase/disposal of intangible assets</t>
  </si>
  <si>
    <t>Purchase/disposal of investment affiliates</t>
  </si>
  <si>
    <t>Dividends paid</t>
  </si>
  <si>
    <t>Research and Development expenses</t>
  </si>
  <si>
    <t>Other current receivables</t>
  </si>
  <si>
    <t>Other non-current receivables</t>
  </si>
  <si>
    <t>Other non-current assets</t>
  </si>
  <si>
    <t>Other liabilities</t>
  </si>
  <si>
    <t>Other long-term liabilities</t>
  </si>
  <si>
    <t>Long-term provision</t>
  </si>
  <si>
    <t>provision for employee termination benefits</t>
  </si>
  <si>
    <t>Short-term provisions</t>
  </si>
  <si>
    <t xml:space="preserve">Current income tax assets </t>
  </si>
  <si>
    <t>Deferred tax assets</t>
  </si>
  <si>
    <t>Investments properties</t>
  </si>
  <si>
    <t>Other short-term provisions</t>
  </si>
  <si>
    <t>Share premium</t>
  </si>
  <si>
    <t xml:space="preserve">Other comprehensive income or expenses not be reclassified to profit or loss </t>
  </si>
  <si>
    <t xml:space="preserve">Gains on revaluation of plant, property and equipment </t>
  </si>
  <si>
    <t xml:space="preserve">Actuarial loss on post employment termination benefit obligation </t>
  </si>
  <si>
    <t xml:space="preserve">Gains on revaluation of investment properties </t>
  </si>
  <si>
    <t xml:space="preserve">Other comprehensive income or expenses to be reclassified to profit or loss </t>
  </si>
  <si>
    <t xml:space="preserve">Currency translation difference </t>
  </si>
  <si>
    <t>Restricted reserves appropriated from profit</t>
  </si>
  <si>
    <t xml:space="preserve">Effect of business combinations under common control </t>
  </si>
  <si>
    <t>Prior years' profit</t>
  </si>
  <si>
    <t xml:space="preserve">Net profit/loss for the year </t>
  </si>
  <si>
    <t xml:space="preserve">Non-Controlling Interests </t>
  </si>
  <si>
    <t>Total Equity</t>
  </si>
  <si>
    <t>Kerevitaş Gıda</t>
  </si>
  <si>
    <t>Defined Benefit Plans Remeasurement Gains</t>
  </si>
  <si>
    <t>Right of Use Assets</t>
  </si>
  <si>
    <t>n.a</t>
  </si>
  <si>
    <t>Liquidity ratio / Quick ratio</t>
  </si>
  <si>
    <t>Derivative Financial Instruments</t>
  </si>
  <si>
    <t>a</t>
  </si>
  <si>
    <t>Depreciation and amortization (R&amp;D)</t>
  </si>
  <si>
    <t>Better to prepare financials in thousands</t>
  </si>
  <si>
    <t>No need for Q32018 as you have 2019YE financials</t>
  </si>
  <si>
    <t>Net profit needs to be same in BS and IS and equalled them</t>
  </si>
  <si>
    <t>Other adjustments in CSF includes all other income/expenses other than interest expenses</t>
  </si>
  <si>
    <t>Other liabilities in current liabilities was not included</t>
  </si>
  <si>
    <t>derivative instruments in current assets were not included</t>
  </si>
  <si>
    <t>ok</t>
  </si>
  <si>
    <t>Other non current assets</t>
  </si>
  <si>
    <t>all other non current asset items' difference shall be taken</t>
  </si>
  <si>
    <t>Formulation of share capital needs to be vice versa</t>
  </si>
  <si>
    <t>Net change in financial debt shall be calculated through only including financial debt not other non current liabilities or deferred tax</t>
  </si>
  <si>
    <t>dividends paid formula needs to be vice versa</t>
  </si>
  <si>
    <t>Other changes</t>
  </si>
  <si>
    <t>all shareholders equity items' difference shall be taken</t>
  </si>
  <si>
    <t xml:space="preserve">Notes: </t>
  </si>
  <si>
    <t>CAGR calculation shall start from 2015</t>
  </si>
  <si>
    <t>ST financial debt shall be included to total financial debt calculation</t>
  </si>
  <si>
    <t>Calculate CCC ratios again through subtracting depreciation from COGS</t>
  </si>
  <si>
    <t>Calculate CCC without related party transactions</t>
  </si>
  <si>
    <t>capex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</si>
</sst>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-* #,##0.00_-;\-* #,##0.00_-;_-* &quot;-&quot;??_-;_-@_-"/>
    <numFmt numFmtId="164" formatCode="_(* #,##0_);_(* \(#,##0\);_(* &quot;-&quot;_);_(@_)"/>
    <numFmt numFmtId="165" formatCode="#,##0.0,;[Red]\(#,##0.0,\);\-"/>
    <numFmt numFmtId="166" formatCode="0.00%_);\-0.00%_);&quot;-  &quot;;&quot; &quot;@&quot; &quot;"/>
    <numFmt numFmtId="167" formatCode="#,##0,;[Red]\(#,##0,\);\-"/>
    <numFmt numFmtId="168" formatCode="0.0\x"/>
    <numFmt numFmtId="169" formatCode="#,##0_);\(#,##0\);&quot;-  &quot;;&quot; &quot;@"/>
    <numFmt numFmtId="170" formatCode="0.00%_);\-0.00%_);&quot;-  &quot;;&quot; &quot;@"/>
    <numFmt numFmtId="171" formatCode="0.0%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8"/>
      <name val="Arial"/>
      <family val="2"/>
    </font>
    <font>
      <b/>
      <sz val="8"/>
      <color theme="0"/>
      <name val="Arial"/>
      <family val="2"/>
    </font>
    <font>
      <b/>
      <i/>
      <sz val="8"/>
      <name val="Arial"/>
      <family val="2"/>
    </font>
    <font>
      <sz val="12"/>
      <name val="Times New Roman"/>
      <family val="1"/>
    </font>
    <font>
      <i/>
      <sz val="8"/>
      <color rgb="FF808080"/>
      <name val="Arial"/>
      <family val="2"/>
    </font>
    <font>
      <i/>
      <sz val="9"/>
      <color theme="1"/>
      <name val="TimesNewRomanPS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rgb="FF222222"/>
      <name val="Arial"/>
      <family val="2"/>
    </font>
    <font>
      <sz val="8"/>
      <color rgb="FF333333"/>
      <name val="Arial"/>
      <family val="2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3" fillId="0" borderId="0"/>
    <xf numFmtId="170" fontId="9" fillId="0" borderId="0" applyFont="0" applyFill="0" applyBorder="0" applyProtection="0">
      <alignment vertical="top"/>
    </xf>
    <xf numFmtId="43" fontId="1" fillId="0" borderId="0" applyFont="0" applyFill="0" applyBorder="0" applyAlignment="0" applyProtection="0"/>
  </cellStyleXfs>
  <cellXfs count="130">
    <xf numFmtId="0" fontId="0" fillId="0" borderId="0" xfId="0"/>
    <xf numFmtId="0" fontId="2" fillId="0" borderId="0" xfId="0" applyFont="1" applyFill="1" applyBorder="1" applyAlignment="1">
      <alignment vertical="top"/>
    </xf>
    <xf numFmtId="0" fontId="4" fillId="0" borderId="0" xfId="2" applyFont="1" applyFill="1" applyBorder="1"/>
    <xf numFmtId="0" fontId="4" fillId="0" borderId="0" xfId="2" applyFont="1" applyFill="1" applyBorder="1" applyAlignment="1">
      <alignment horizontal="right"/>
    </xf>
    <xf numFmtId="165" fontId="4" fillId="0" borderId="0" xfId="2" applyNumberFormat="1" applyFont="1" applyFill="1" applyBorder="1" applyAlignment="1">
      <alignment horizontal="right"/>
    </xf>
    <xf numFmtId="166" fontId="4" fillId="0" borderId="0" xfId="1" applyNumberFormat="1" applyFont="1" applyFill="1" applyBorder="1" applyAlignment="1">
      <alignment vertical="top"/>
    </xf>
    <xf numFmtId="0" fontId="5" fillId="0" borderId="0" xfId="2" applyFont="1" applyFill="1" applyBorder="1"/>
    <xf numFmtId="167" fontId="6" fillId="0" borderId="0" xfId="2" applyNumberFormat="1" applyFont="1" applyFill="1" applyBorder="1" applyAlignment="1">
      <alignment horizontal="right"/>
    </xf>
    <xf numFmtId="0" fontId="5" fillId="0" borderId="0" xfId="2" applyNumberFormat="1" applyFont="1" applyFill="1" applyBorder="1"/>
    <xf numFmtId="0" fontId="7" fillId="2" borderId="1" xfId="0" applyFont="1" applyFill="1" applyBorder="1"/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 applyAlignment="1">
      <alignment horizontal="left"/>
    </xf>
    <xf numFmtId="14" fontId="7" fillId="2" borderId="1" xfId="0" applyNumberFormat="1" applyFont="1" applyFill="1" applyBorder="1" applyAlignment="1">
      <alignment horizontal="right"/>
    </xf>
    <xf numFmtId="0" fontId="5" fillId="0" borderId="0" xfId="2" applyFont="1" applyFill="1" applyBorder="1" applyAlignment="1">
      <alignment horizontal="right"/>
    </xf>
    <xf numFmtId="0" fontId="8" fillId="0" borderId="0" xfId="2" applyFont="1" applyFill="1" applyBorder="1" applyAlignment="1">
      <alignment horizontal="right"/>
    </xf>
    <xf numFmtId="1" fontId="5" fillId="0" borderId="0" xfId="2" applyNumberFormat="1" applyFont="1" applyFill="1" applyBorder="1" applyAlignment="1">
      <alignment horizontal="right"/>
    </xf>
    <xf numFmtId="0" fontId="8" fillId="0" borderId="2" xfId="2" applyFont="1" applyFill="1" applyBorder="1"/>
    <xf numFmtId="0" fontId="5" fillId="0" borderId="2" xfId="2" applyFont="1" applyFill="1" applyBorder="1"/>
    <xf numFmtId="1" fontId="5" fillId="0" borderId="2" xfId="2" applyNumberFormat="1" applyFont="1" applyFill="1" applyBorder="1" applyAlignment="1">
      <alignment horizontal="right"/>
    </xf>
    <xf numFmtId="167" fontId="4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 applyAlignment="1">
      <alignment horizontal="right"/>
    </xf>
    <xf numFmtId="9" fontId="4" fillId="0" borderId="0" xfId="1" applyFont="1" applyFill="1" applyBorder="1" applyAlignment="1">
      <alignment horizontal="right"/>
    </xf>
    <xf numFmtId="166" fontId="5" fillId="0" borderId="0" xfId="1" applyNumberFormat="1" applyFont="1" applyFill="1" applyBorder="1" applyAlignment="1">
      <alignment vertical="top"/>
    </xf>
    <xf numFmtId="0" fontId="6" fillId="0" borderId="0" xfId="2" applyFont="1" applyFill="1" applyBorder="1"/>
    <xf numFmtId="3" fontId="6" fillId="0" borderId="0" xfId="2" applyNumberFormat="1" applyFont="1" applyFill="1" applyBorder="1" applyAlignment="1">
      <alignment horizontal="right"/>
    </xf>
    <xf numFmtId="2" fontId="5" fillId="0" borderId="0" xfId="1" applyNumberFormat="1" applyFont="1" applyFill="1" applyBorder="1" applyAlignment="1">
      <alignment vertical="top"/>
    </xf>
    <xf numFmtId="3" fontId="5" fillId="0" borderId="0" xfId="2" applyNumberFormat="1" applyFont="1" applyFill="1" applyBorder="1" applyAlignment="1">
      <alignment horizontal="right"/>
    </xf>
    <xf numFmtId="168" fontId="4" fillId="0" borderId="0" xfId="2" applyNumberFormat="1" applyFont="1" applyFill="1" applyBorder="1" applyAlignment="1">
      <alignment horizontal="right"/>
    </xf>
    <xf numFmtId="167" fontId="4" fillId="0" borderId="0" xfId="2" applyNumberFormat="1" applyFont="1" applyFill="1" applyBorder="1"/>
    <xf numFmtId="0" fontId="5" fillId="0" borderId="3" xfId="2" applyFont="1" applyFill="1" applyBorder="1"/>
    <xf numFmtId="3" fontId="5" fillId="0" borderId="3" xfId="2" applyNumberFormat="1" applyFont="1" applyFill="1" applyBorder="1" applyAlignment="1">
      <alignment horizontal="right"/>
    </xf>
    <xf numFmtId="4" fontId="4" fillId="0" borderId="0" xfId="2" applyNumberFormat="1" applyFont="1" applyFill="1" applyBorder="1" applyAlignment="1">
      <alignment horizontal="right"/>
    </xf>
    <xf numFmtId="168" fontId="5" fillId="0" borderId="0" xfId="2" applyNumberFormat="1" applyFont="1" applyFill="1" applyBorder="1" applyAlignment="1">
      <alignment horizontal="right"/>
    </xf>
    <xf numFmtId="0" fontId="4" fillId="0" borderId="0" xfId="1" applyNumberFormat="1" applyFont="1" applyFill="1" applyBorder="1" applyAlignment="1">
      <alignment vertical="top"/>
    </xf>
    <xf numFmtId="169" fontId="4" fillId="0" borderId="0" xfId="2" applyNumberFormat="1" applyFont="1" applyFill="1" applyBorder="1" applyAlignment="1">
      <alignment horizontal="right"/>
    </xf>
    <xf numFmtId="4" fontId="5" fillId="0" borderId="0" xfId="2" applyNumberFormat="1" applyFont="1" applyFill="1" applyBorder="1" applyAlignment="1">
      <alignment horizontal="right"/>
    </xf>
    <xf numFmtId="0" fontId="5" fillId="3" borderId="0" xfId="2" applyFont="1" applyFill="1" applyBorder="1"/>
    <xf numFmtId="0" fontId="6" fillId="3" borderId="0" xfId="2" applyFont="1" applyFill="1" applyBorder="1"/>
    <xf numFmtId="167" fontId="4" fillId="3" borderId="0" xfId="2" applyNumberFormat="1" applyFont="1" applyFill="1" applyBorder="1" applyAlignment="1">
      <alignment horizontal="right"/>
    </xf>
    <xf numFmtId="0" fontId="4" fillId="3" borderId="0" xfId="2" applyNumberFormat="1" applyFont="1" applyFill="1" applyBorder="1" applyAlignment="1">
      <alignment horizontal="right"/>
    </xf>
    <xf numFmtId="0" fontId="5" fillId="3" borderId="1" xfId="2" applyFont="1" applyFill="1" applyBorder="1"/>
    <xf numFmtId="0" fontId="5" fillId="0" borderId="1" xfId="2" applyFont="1" applyFill="1" applyBorder="1"/>
    <xf numFmtId="0" fontId="4" fillId="3" borderId="0" xfId="2" applyFont="1" applyFill="1" applyBorder="1"/>
    <xf numFmtId="0" fontId="4" fillId="0" borderId="2" xfId="2" applyFont="1" applyFill="1" applyBorder="1"/>
    <xf numFmtId="0" fontId="4" fillId="0" borderId="1" xfId="2" applyFont="1" applyFill="1" applyBorder="1"/>
    <xf numFmtId="2" fontId="4" fillId="0" borderId="0" xfId="2" applyNumberFormat="1" applyFont="1" applyFill="1" applyBorder="1" applyAlignment="1">
      <alignment horizontal="right"/>
    </xf>
    <xf numFmtId="9" fontId="4" fillId="3" borderId="0" xfId="1" applyFont="1" applyFill="1" applyBorder="1" applyAlignment="1">
      <alignment horizontal="right"/>
    </xf>
    <xf numFmtId="0" fontId="7" fillId="2" borderId="1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4" fillId="0" borderId="0" xfId="2" quotePrefix="1" applyFont="1" applyFill="1" applyBorder="1" applyAlignment="1">
      <alignment horizontal="center"/>
    </xf>
    <xf numFmtId="0" fontId="8" fillId="0" borderId="2" xfId="2" applyFont="1" applyFill="1" applyBorder="1" applyAlignment="1">
      <alignment horizontal="right"/>
    </xf>
    <xf numFmtId="0" fontId="5" fillId="0" borderId="2" xfId="2" applyFont="1" applyFill="1" applyBorder="1" applyAlignment="1">
      <alignment horizontal="right"/>
    </xf>
    <xf numFmtId="0" fontId="7" fillId="0" borderId="0" xfId="0" applyFont="1" applyFill="1" applyBorder="1" applyAlignment="1">
      <alignment horizontal="center"/>
    </xf>
    <xf numFmtId="1" fontId="7" fillId="2" borderId="1" xfId="0" applyNumberFormat="1" applyFont="1" applyFill="1" applyBorder="1" applyAlignment="1">
      <alignment horizontal="center"/>
    </xf>
    <xf numFmtId="165" fontId="10" fillId="0" borderId="0" xfId="2" applyNumberFormat="1" applyFont="1" applyFill="1" applyBorder="1" applyAlignment="1">
      <alignment horizontal="right"/>
    </xf>
    <xf numFmtId="3" fontId="4" fillId="0" borderId="0" xfId="2" applyNumberFormat="1" applyFont="1" applyFill="1" applyBorder="1"/>
    <xf numFmtId="0" fontId="12" fillId="0" borderId="0" xfId="0" applyFont="1"/>
    <xf numFmtId="0" fontId="11" fillId="0" borderId="0" xfId="0" applyFont="1"/>
    <xf numFmtId="0" fontId="13" fillId="0" borderId="0" xfId="0" applyFont="1"/>
    <xf numFmtId="0" fontId="14" fillId="0" borderId="0" xfId="0" applyFont="1"/>
    <xf numFmtId="169" fontId="4" fillId="0" borderId="0" xfId="2" applyNumberFormat="1" applyFont="1" applyAlignment="1">
      <alignment horizontal="right"/>
    </xf>
    <xf numFmtId="0" fontId="5" fillId="0" borderId="0" xfId="2" applyFont="1"/>
    <xf numFmtId="169" fontId="6" fillId="0" borderId="0" xfId="2" applyNumberFormat="1" applyFont="1" applyAlignment="1">
      <alignment horizontal="right"/>
    </xf>
    <xf numFmtId="169" fontId="4" fillId="0" borderId="1" xfId="2" applyNumberFormat="1" applyFont="1" applyBorder="1" applyAlignment="1">
      <alignment horizontal="right"/>
    </xf>
    <xf numFmtId="9" fontId="4" fillId="0" borderId="0" xfId="1" applyFont="1" applyFill="1" applyBorder="1"/>
    <xf numFmtId="37" fontId="4" fillId="0" borderId="0" xfId="2" applyNumberFormat="1" applyFont="1" applyFill="1" applyBorder="1" applyAlignment="1"/>
    <xf numFmtId="164" fontId="4" fillId="0" borderId="0" xfId="2" applyNumberFormat="1" applyFont="1" applyFill="1" applyBorder="1" applyAlignment="1">
      <alignment horizontal="right"/>
    </xf>
    <xf numFmtId="164" fontId="5" fillId="0" borderId="3" xfId="2" applyNumberFormat="1" applyFont="1" applyFill="1" applyBorder="1" applyAlignment="1">
      <alignment horizontal="right"/>
    </xf>
    <xf numFmtId="164" fontId="4" fillId="0" borderId="0" xfId="2" applyNumberFormat="1" applyFont="1" applyFill="1" applyBorder="1"/>
    <xf numFmtId="164" fontId="5" fillId="0" borderId="0" xfId="2" applyNumberFormat="1" applyFont="1" applyFill="1" applyBorder="1" applyAlignment="1">
      <alignment horizontal="right"/>
    </xf>
    <xf numFmtId="164" fontId="13" fillId="0" borderId="0" xfId="0" applyNumberFormat="1" applyFont="1"/>
    <xf numFmtId="164" fontId="4" fillId="3" borderId="0" xfId="2" applyNumberFormat="1" applyFont="1" applyFill="1" applyBorder="1" applyAlignment="1">
      <alignment horizontal="right"/>
    </xf>
    <xf numFmtId="164" fontId="7" fillId="2" borderId="1" xfId="0" applyNumberFormat="1" applyFont="1" applyFill="1" applyBorder="1" applyAlignment="1">
      <alignment horizontal="right"/>
    </xf>
    <xf numFmtId="164" fontId="5" fillId="0" borderId="2" xfId="2" applyNumberFormat="1" applyFont="1" applyFill="1" applyBorder="1" applyAlignment="1">
      <alignment horizontal="right"/>
    </xf>
    <xf numFmtId="164" fontId="4" fillId="0" borderId="1" xfId="2" applyNumberFormat="1" applyFont="1" applyFill="1" applyBorder="1" applyAlignment="1">
      <alignment horizontal="right"/>
    </xf>
    <xf numFmtId="164" fontId="4" fillId="0" borderId="1" xfId="2" applyNumberFormat="1" applyFont="1" applyBorder="1" applyAlignment="1">
      <alignment horizontal="right"/>
    </xf>
    <xf numFmtId="164" fontId="4" fillId="0" borderId="0" xfId="2" applyNumberFormat="1" applyFont="1" applyAlignment="1">
      <alignment horizontal="right"/>
    </xf>
    <xf numFmtId="164" fontId="6" fillId="0" borderId="0" xfId="2" applyNumberFormat="1" applyFont="1" applyAlignment="1">
      <alignment horizontal="right"/>
    </xf>
    <xf numFmtId="164" fontId="6" fillId="0" borderId="0" xfId="2" applyNumberFormat="1" applyFont="1" applyFill="1" applyBorder="1" applyAlignment="1">
      <alignment horizontal="right"/>
    </xf>
    <xf numFmtId="164" fontId="4" fillId="4" borderId="0" xfId="2" applyNumberFormat="1" applyFont="1" applyFill="1" applyBorder="1" applyAlignment="1">
      <alignment horizontal="right"/>
    </xf>
    <xf numFmtId="0" fontId="8" fillId="0" borderId="2" xfId="2" applyFont="1" applyBorder="1"/>
    <xf numFmtId="0" fontId="5" fillId="0" borderId="2" xfId="2" applyFont="1" applyBorder="1"/>
    <xf numFmtId="0" fontId="5" fillId="0" borderId="1" xfId="2" applyFont="1" applyBorder="1"/>
    <xf numFmtId="0" fontId="4" fillId="0" borderId="0" xfId="2" applyFont="1"/>
    <xf numFmtId="0" fontId="4" fillId="0" borderId="2" xfId="2" applyFont="1" applyBorder="1"/>
    <xf numFmtId="169" fontId="4" fillId="0" borderId="2" xfId="2" applyNumberFormat="1" applyFont="1" applyBorder="1" applyAlignment="1">
      <alignment horizontal="right"/>
    </xf>
    <xf numFmtId="0" fontId="5" fillId="0" borderId="3" xfId="2" applyFont="1" applyBorder="1"/>
    <xf numFmtId="0" fontId="4" fillId="0" borderId="3" xfId="2" applyFont="1" applyBorder="1"/>
    <xf numFmtId="169" fontId="5" fillId="0" borderId="3" xfId="2" applyNumberFormat="1" applyFont="1" applyBorder="1" applyAlignment="1">
      <alignment horizontal="right"/>
    </xf>
    <xf numFmtId="169" fontId="5" fillId="0" borderId="0" xfId="2" applyNumberFormat="1" applyFont="1" applyAlignment="1">
      <alignment horizontal="right"/>
    </xf>
    <xf numFmtId="0" fontId="4" fillId="0" borderId="1" xfId="2" applyFont="1" applyBorder="1"/>
    <xf numFmtId="169" fontId="5" fillId="0" borderId="2" xfId="2" applyNumberFormat="1" applyFont="1" applyBorder="1" applyAlignment="1">
      <alignment horizontal="right"/>
    </xf>
    <xf numFmtId="0" fontId="6" fillId="0" borderId="0" xfId="2" applyFont="1"/>
    <xf numFmtId="167" fontId="4" fillId="0" borderId="0" xfId="2" applyNumberFormat="1" applyFont="1" applyAlignment="1">
      <alignment horizontal="right"/>
    </xf>
    <xf numFmtId="169" fontId="4" fillId="0" borderId="0" xfId="2" applyNumberFormat="1" applyFont="1" applyBorder="1" applyAlignment="1">
      <alignment horizontal="right"/>
    </xf>
    <xf numFmtId="169" fontId="4" fillId="0" borderId="3" xfId="2" applyNumberFormat="1" applyFont="1" applyBorder="1" applyAlignment="1">
      <alignment horizontal="right"/>
    </xf>
    <xf numFmtId="164" fontId="5" fillId="0" borderId="2" xfId="2" applyNumberFormat="1" applyFont="1" applyBorder="1" applyAlignment="1">
      <alignment horizontal="right"/>
    </xf>
    <xf numFmtId="49" fontId="12" fillId="5" borderId="0" xfId="0" applyNumberFormat="1" applyFont="1" applyFill="1" applyAlignment="1">
      <alignment horizontal="right"/>
    </xf>
    <xf numFmtId="0" fontId="4" fillId="5" borderId="0" xfId="2" applyFont="1" applyFill="1" applyBorder="1"/>
    <xf numFmtId="0" fontId="12" fillId="5" borderId="0" xfId="0" applyFont="1" applyFill="1"/>
    <xf numFmtId="0" fontId="15" fillId="5" borderId="0" xfId="0" applyFont="1" applyFill="1"/>
    <xf numFmtId="38" fontId="4" fillId="0" borderId="0" xfId="2" applyNumberFormat="1" applyFont="1" applyFill="1" applyBorder="1" applyAlignment="1">
      <alignment horizontal="right"/>
    </xf>
    <xf numFmtId="0" fontId="4" fillId="4" borderId="0" xfId="2" applyFont="1" applyFill="1" applyBorder="1" applyAlignment="1">
      <alignment horizontal="right"/>
    </xf>
    <xf numFmtId="9" fontId="4" fillId="4" borderId="0" xfId="1" applyFont="1" applyFill="1" applyBorder="1"/>
    <xf numFmtId="9" fontId="4" fillId="4" borderId="0" xfId="1" applyFont="1" applyFill="1" applyBorder="1" applyAlignment="1">
      <alignment horizontal="right"/>
    </xf>
    <xf numFmtId="0" fontId="5" fillId="0" borderId="2" xfId="2" applyNumberFormat="1" applyFont="1" applyFill="1" applyBorder="1" applyAlignment="1">
      <alignment horizontal="right"/>
    </xf>
    <xf numFmtId="169" fontId="4" fillId="0" borderId="0" xfId="2" applyNumberFormat="1" applyFont="1" applyFill="1"/>
    <xf numFmtId="0" fontId="16" fillId="0" borderId="0" xfId="0" applyFont="1"/>
    <xf numFmtId="0" fontId="17" fillId="0" borderId="0" xfId="0" applyFont="1"/>
    <xf numFmtId="171" fontId="4" fillId="0" borderId="0" xfId="1" applyNumberFormat="1" applyFont="1" applyFill="1" applyBorder="1" applyAlignment="1">
      <alignment horizontal="right"/>
    </xf>
    <xf numFmtId="171" fontId="4" fillId="3" borderId="0" xfId="1" applyNumberFormat="1" applyFont="1" applyFill="1" applyBorder="1" applyAlignment="1">
      <alignment horizontal="right"/>
    </xf>
    <xf numFmtId="166" fontId="4" fillId="4" borderId="0" xfId="1" applyNumberFormat="1" applyFont="1" applyFill="1" applyBorder="1" applyAlignment="1">
      <alignment vertical="top"/>
    </xf>
    <xf numFmtId="3" fontId="4" fillId="4" borderId="0" xfId="2" applyNumberFormat="1" applyFont="1" applyFill="1" applyBorder="1"/>
    <xf numFmtId="43" fontId="4" fillId="4" borderId="0" xfId="4" applyFont="1" applyFill="1" applyBorder="1" applyAlignment="1">
      <alignment vertical="top"/>
    </xf>
    <xf numFmtId="0" fontId="12" fillId="4" borderId="0" xfId="0" applyFont="1" applyFill="1"/>
    <xf numFmtId="0" fontId="11" fillId="4" borderId="0" xfId="0" applyFont="1" applyFill="1"/>
    <xf numFmtId="0" fontId="4" fillId="4" borderId="0" xfId="2" applyFont="1" applyFill="1" applyBorder="1"/>
    <xf numFmtId="0" fontId="5" fillId="4" borderId="0" xfId="2" applyFont="1" applyFill="1" applyBorder="1"/>
    <xf numFmtId="164" fontId="5" fillId="4" borderId="0" xfId="2" applyNumberFormat="1" applyFont="1" applyFill="1" applyBorder="1" applyAlignment="1">
      <alignment horizontal="right"/>
    </xf>
    <xf numFmtId="0" fontId="5" fillId="4" borderId="3" xfId="2" applyFont="1" applyFill="1" applyBorder="1"/>
    <xf numFmtId="164" fontId="5" fillId="4" borderId="3" xfId="2" applyNumberFormat="1" applyFont="1" applyFill="1" applyBorder="1" applyAlignment="1">
      <alignment horizontal="right"/>
    </xf>
    <xf numFmtId="0" fontId="4" fillId="4" borderId="0" xfId="0" applyFont="1" applyFill="1"/>
    <xf numFmtId="0" fontId="4" fillId="4" borderId="0" xfId="2" applyFont="1" applyFill="1" applyBorder="1" applyAlignment="1">
      <alignment horizontal="center"/>
    </xf>
    <xf numFmtId="9" fontId="4" fillId="4" borderId="0" xfId="1" applyFont="1" applyFill="1" applyBorder="1" applyAlignment="1"/>
    <xf numFmtId="168" fontId="4" fillId="4" borderId="0" xfId="2" applyNumberFormat="1" applyFont="1" applyFill="1" applyBorder="1" applyAlignment="1">
      <alignment horizontal="right"/>
    </xf>
    <xf numFmtId="168" fontId="4" fillId="4" borderId="0" xfId="2" applyNumberFormat="1" applyFont="1" applyFill="1" applyBorder="1" applyAlignment="1"/>
    <xf numFmtId="0" fontId="4" fillId="4" borderId="0" xfId="2" quotePrefix="1" applyFont="1" applyFill="1" applyBorder="1" applyAlignment="1">
      <alignment horizontal="center"/>
    </xf>
    <xf numFmtId="164" fontId="4" fillId="4" borderId="0" xfId="2" quotePrefix="1" applyNumberFormat="1" applyFont="1" applyFill="1" applyBorder="1" applyAlignment="1">
      <alignment horizontal="right"/>
    </xf>
    <xf numFmtId="164" fontId="4" fillId="4" borderId="0" xfId="2" applyNumberFormat="1" applyFont="1" applyFill="1" applyBorder="1" applyAlignment="1">
      <alignment horizontal="center"/>
    </xf>
    <xf numFmtId="37" fontId="4" fillId="4" borderId="0" xfId="2" applyNumberFormat="1" applyFont="1" applyFill="1" applyBorder="1" applyAlignment="1"/>
  </cellXfs>
  <cellStyles count="5">
    <cellStyle name="Comma" xfId="4" builtinId="3"/>
    <cellStyle name="Normal" xfId="0" builtinId="0"/>
    <cellStyle name="Normal_Tat_Konserve_financials_v5" xfId="2" xr:uid="{00000000-0005-0000-0000-000001000000}"/>
    <cellStyle name="Percent" xfId="1" builtinId="5"/>
    <cellStyle name="Percent 3" xfId="3" xr:uid="{00000000-0005-0000-0000-000003000000}"/>
  </cellStyles>
  <dxfs count="8"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  <dxf>
      <font>
        <b/>
        <i val="0"/>
        <condense val="0"/>
        <extend val="0"/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548923</xdr:colOff>
      <xdr:row>74</xdr:row>
      <xdr:rowOff>95955</xdr:rowOff>
    </xdr:from>
    <xdr:to>
      <xdr:col>11</xdr:col>
      <xdr:colOff>876904</xdr:colOff>
      <xdr:row>75</xdr:row>
      <xdr:rowOff>107243</xdr:rowOff>
    </xdr:to>
    <xdr:pic>
      <xdr:nvPicPr>
        <xdr:cNvPr id="2" name="Picture 1" descr="page60image4306195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362723" y="9849555"/>
          <a:ext cx="1131710" cy="144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80</xdr:row>
      <xdr:rowOff>0</xdr:rowOff>
    </xdr:from>
    <xdr:to>
      <xdr:col>6</xdr:col>
      <xdr:colOff>1143000</xdr:colOff>
      <xdr:row>81</xdr:row>
      <xdr:rowOff>11288</xdr:rowOff>
    </xdr:to>
    <xdr:pic>
      <xdr:nvPicPr>
        <xdr:cNvPr id="3" name="Picture 2" descr="page45image43354176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05200" y="10553700"/>
          <a:ext cx="1143000" cy="1446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t1dta1\arikann$\C:\Projects%20(6)\Potential%20Projects%20by%20Sector\Agribusiness\Project%20Meadow\2016\SRM\Yayla%20Agro%20Financials_SR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ayla"/>
      <sheetName val="1h 2013 IS"/>
      <sheetName val="1h 2013 BS"/>
      <sheetName val="KONSOLİDEGELİRTABLOSU"/>
      <sheetName val="KONSOLİDEBİLANÇO"/>
      <sheetName val="Summary"/>
      <sheetName val="Sector"/>
      <sheetName val="Shareholding structure"/>
      <sheetName val="Production"/>
      <sheetName val="Customers"/>
      <sheetName val="Suppliers"/>
      <sheetName val="Financial Loans"/>
      <sheetName val="Sheet1"/>
      <sheetName val="Margin"/>
      <sheetName val="Sheet2"/>
      <sheetName val="Sheet3"/>
    </sheetNames>
    <sheetDataSet>
      <sheetData sheetId="0">
        <row r="1">
          <cell r="C1" t="str">
            <v>Yayla Agro</v>
          </cell>
        </row>
        <row r="2">
          <cell r="C2" t="str">
            <v>EUR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98"/>
  <sheetViews>
    <sheetView showGridLines="0" tabSelected="1" topLeftCell="H1" zoomScale="70" zoomScaleNormal="70" workbookViewId="0">
      <selection activeCell="X11" sqref="X11"/>
    </sheetView>
  </sheetViews>
  <sheetFormatPr defaultColWidth="9.21875" defaultRowHeight="10.199999999999999" outlineLevelRow="1"/>
  <cols>
    <col min="1" max="1" width="5.6640625" style="2" customWidth="1"/>
    <col min="2" max="2" width="5.77734375" style="2" customWidth="1"/>
    <col min="3" max="3" width="13.33203125" style="2" customWidth="1"/>
    <col min="4" max="6" width="8.44140625" style="2" customWidth="1"/>
    <col min="7" max="7" width="26.77734375" style="2" customWidth="1"/>
    <col min="8" max="8" width="11" style="2" bestFit="1" customWidth="1"/>
    <col min="9" max="10" width="13.33203125" style="2" bestFit="1" customWidth="1"/>
    <col min="11" max="11" width="11.33203125" style="2" bestFit="1" customWidth="1"/>
    <col min="12" max="12" width="14.5546875" style="2" bestFit="1" customWidth="1"/>
    <col min="13" max="13" width="4.21875" style="2" customWidth="1"/>
    <col min="14" max="18" width="2.77734375" style="2" customWidth="1"/>
    <col min="19" max="19" width="13.77734375" style="2" customWidth="1"/>
    <col min="20" max="20" width="9.33203125" style="2" customWidth="1"/>
    <col min="21" max="22" width="11.44140625" style="2" customWidth="1"/>
    <col min="23" max="25" width="11.44140625" style="3" customWidth="1"/>
    <col min="26" max="136" width="9.21875" style="2"/>
    <col min="137" max="137" width="5.6640625" style="2" customWidth="1"/>
    <col min="138" max="138" width="31.44140625" style="2" customWidth="1"/>
    <col min="139" max="143" width="9.21875" style="2" customWidth="1"/>
    <col min="144" max="145" width="0" style="2" hidden="1" customWidth="1"/>
    <col min="146" max="146" width="2.44140625" style="2" customWidth="1"/>
    <col min="147" max="147" width="6.21875" style="2" customWidth="1"/>
    <col min="148" max="148" width="32.6640625" style="2" customWidth="1"/>
    <col min="149" max="149" width="9.21875" style="2" customWidth="1"/>
    <col min="150" max="153" width="7.44140625" style="2" customWidth="1"/>
    <col min="154" max="155" width="0" style="2" hidden="1" customWidth="1"/>
    <col min="156" max="156" width="9.21875" style="2" customWidth="1"/>
    <col min="157" max="157" width="2.44140625" style="2" customWidth="1"/>
    <col min="158" max="164" width="2.77734375" style="2" customWidth="1"/>
    <col min="165" max="165" width="22.44140625" style="2" customWidth="1"/>
    <col min="166" max="168" width="9.21875" style="2" customWidth="1"/>
    <col min="169" max="169" width="0" style="2" hidden="1" customWidth="1"/>
    <col min="170" max="170" width="9.21875" style="2" customWidth="1"/>
    <col min="171" max="172" width="0" style="2" hidden="1" customWidth="1"/>
    <col min="173" max="179" width="2.77734375" style="2" customWidth="1"/>
    <col min="180" max="180" width="22.6640625" style="2" customWidth="1"/>
    <col min="181" max="183" width="10.44140625" style="2" customWidth="1"/>
    <col min="184" max="184" width="0" style="2" hidden="1" customWidth="1"/>
    <col min="185" max="185" width="10.21875" style="2" customWidth="1"/>
    <col min="186" max="187" width="0" style="2" hidden="1" customWidth="1"/>
    <col min="188" max="188" width="9.21875" style="2" customWidth="1"/>
    <col min="189" max="392" width="9.21875" style="2"/>
    <col min="393" max="393" width="5.6640625" style="2" customWidth="1"/>
    <col min="394" max="394" width="31.44140625" style="2" customWidth="1"/>
    <col min="395" max="399" width="9.21875" style="2" customWidth="1"/>
    <col min="400" max="401" width="0" style="2" hidden="1" customWidth="1"/>
    <col min="402" max="402" width="2.44140625" style="2" customWidth="1"/>
    <col min="403" max="403" width="6.21875" style="2" customWidth="1"/>
    <col min="404" max="404" width="32.6640625" style="2" customWidth="1"/>
    <col min="405" max="405" width="9.21875" style="2" customWidth="1"/>
    <col min="406" max="409" width="7.44140625" style="2" customWidth="1"/>
    <col min="410" max="411" width="0" style="2" hidden="1" customWidth="1"/>
    <col min="412" max="412" width="9.21875" style="2" customWidth="1"/>
    <col min="413" max="413" width="2.44140625" style="2" customWidth="1"/>
    <col min="414" max="420" width="2.77734375" style="2" customWidth="1"/>
    <col min="421" max="421" width="22.44140625" style="2" customWidth="1"/>
    <col min="422" max="424" width="9.21875" style="2" customWidth="1"/>
    <col min="425" max="425" width="0" style="2" hidden="1" customWidth="1"/>
    <col min="426" max="426" width="9.21875" style="2" customWidth="1"/>
    <col min="427" max="428" width="0" style="2" hidden="1" customWidth="1"/>
    <col min="429" max="435" width="2.77734375" style="2" customWidth="1"/>
    <col min="436" max="436" width="22.6640625" style="2" customWidth="1"/>
    <col min="437" max="439" width="10.44140625" style="2" customWidth="1"/>
    <col min="440" max="440" width="0" style="2" hidden="1" customWidth="1"/>
    <col min="441" max="441" width="10.21875" style="2" customWidth="1"/>
    <col min="442" max="443" width="0" style="2" hidden="1" customWidth="1"/>
    <col min="444" max="444" width="9.21875" style="2" customWidth="1"/>
    <col min="445" max="648" width="9.21875" style="2"/>
    <col min="649" max="649" width="5.6640625" style="2" customWidth="1"/>
    <col min="650" max="650" width="31.44140625" style="2" customWidth="1"/>
    <col min="651" max="655" width="9.21875" style="2" customWidth="1"/>
    <col min="656" max="657" width="0" style="2" hidden="1" customWidth="1"/>
    <col min="658" max="658" width="2.44140625" style="2" customWidth="1"/>
    <col min="659" max="659" width="6.21875" style="2" customWidth="1"/>
    <col min="660" max="660" width="32.6640625" style="2" customWidth="1"/>
    <col min="661" max="661" width="9.21875" style="2" customWidth="1"/>
    <col min="662" max="665" width="7.44140625" style="2" customWidth="1"/>
    <col min="666" max="667" width="0" style="2" hidden="1" customWidth="1"/>
    <col min="668" max="668" width="9.21875" style="2" customWidth="1"/>
    <col min="669" max="669" width="2.44140625" style="2" customWidth="1"/>
    <col min="670" max="676" width="2.77734375" style="2" customWidth="1"/>
    <col min="677" max="677" width="22.44140625" style="2" customWidth="1"/>
    <col min="678" max="680" width="9.21875" style="2" customWidth="1"/>
    <col min="681" max="681" width="0" style="2" hidden="1" customWidth="1"/>
    <col min="682" max="682" width="9.21875" style="2" customWidth="1"/>
    <col min="683" max="684" width="0" style="2" hidden="1" customWidth="1"/>
    <col min="685" max="691" width="2.77734375" style="2" customWidth="1"/>
    <col min="692" max="692" width="22.6640625" style="2" customWidth="1"/>
    <col min="693" max="695" width="10.44140625" style="2" customWidth="1"/>
    <col min="696" max="696" width="0" style="2" hidden="1" customWidth="1"/>
    <col min="697" max="697" width="10.21875" style="2" customWidth="1"/>
    <col min="698" max="699" width="0" style="2" hidden="1" customWidth="1"/>
    <col min="700" max="700" width="9.21875" style="2" customWidth="1"/>
    <col min="701" max="904" width="9.21875" style="2"/>
    <col min="905" max="905" width="5.6640625" style="2" customWidth="1"/>
    <col min="906" max="906" width="31.44140625" style="2" customWidth="1"/>
    <col min="907" max="911" width="9.21875" style="2" customWidth="1"/>
    <col min="912" max="913" width="0" style="2" hidden="1" customWidth="1"/>
    <col min="914" max="914" width="2.44140625" style="2" customWidth="1"/>
    <col min="915" max="915" width="6.21875" style="2" customWidth="1"/>
    <col min="916" max="916" width="32.6640625" style="2" customWidth="1"/>
    <col min="917" max="917" width="9.21875" style="2" customWidth="1"/>
    <col min="918" max="921" width="7.44140625" style="2" customWidth="1"/>
    <col min="922" max="923" width="0" style="2" hidden="1" customWidth="1"/>
    <col min="924" max="924" width="9.21875" style="2" customWidth="1"/>
    <col min="925" max="925" width="2.44140625" style="2" customWidth="1"/>
    <col min="926" max="932" width="2.77734375" style="2" customWidth="1"/>
    <col min="933" max="933" width="22.44140625" style="2" customWidth="1"/>
    <col min="934" max="936" width="9.21875" style="2" customWidth="1"/>
    <col min="937" max="937" width="0" style="2" hidden="1" customWidth="1"/>
    <col min="938" max="938" width="9.21875" style="2" customWidth="1"/>
    <col min="939" max="940" width="0" style="2" hidden="1" customWidth="1"/>
    <col min="941" max="947" width="2.77734375" style="2" customWidth="1"/>
    <col min="948" max="948" width="22.6640625" style="2" customWidth="1"/>
    <col min="949" max="951" width="10.44140625" style="2" customWidth="1"/>
    <col min="952" max="952" width="0" style="2" hidden="1" customWidth="1"/>
    <col min="953" max="953" width="10.21875" style="2" customWidth="1"/>
    <col min="954" max="955" width="0" style="2" hidden="1" customWidth="1"/>
    <col min="956" max="956" width="9.21875" style="2" customWidth="1"/>
    <col min="957" max="1160" width="9.21875" style="2"/>
    <col min="1161" max="1161" width="5.6640625" style="2" customWidth="1"/>
    <col min="1162" max="1162" width="31.44140625" style="2" customWidth="1"/>
    <col min="1163" max="1167" width="9.21875" style="2" customWidth="1"/>
    <col min="1168" max="1169" width="0" style="2" hidden="1" customWidth="1"/>
    <col min="1170" max="1170" width="2.44140625" style="2" customWidth="1"/>
    <col min="1171" max="1171" width="6.21875" style="2" customWidth="1"/>
    <col min="1172" max="1172" width="32.6640625" style="2" customWidth="1"/>
    <col min="1173" max="1173" width="9.21875" style="2" customWidth="1"/>
    <col min="1174" max="1177" width="7.44140625" style="2" customWidth="1"/>
    <col min="1178" max="1179" width="0" style="2" hidden="1" customWidth="1"/>
    <col min="1180" max="1180" width="9.21875" style="2" customWidth="1"/>
    <col min="1181" max="1181" width="2.44140625" style="2" customWidth="1"/>
    <col min="1182" max="1188" width="2.77734375" style="2" customWidth="1"/>
    <col min="1189" max="1189" width="22.44140625" style="2" customWidth="1"/>
    <col min="1190" max="1192" width="9.21875" style="2" customWidth="1"/>
    <col min="1193" max="1193" width="0" style="2" hidden="1" customWidth="1"/>
    <col min="1194" max="1194" width="9.21875" style="2" customWidth="1"/>
    <col min="1195" max="1196" width="0" style="2" hidden="1" customWidth="1"/>
    <col min="1197" max="1203" width="2.77734375" style="2" customWidth="1"/>
    <col min="1204" max="1204" width="22.6640625" style="2" customWidth="1"/>
    <col min="1205" max="1207" width="10.44140625" style="2" customWidth="1"/>
    <col min="1208" max="1208" width="0" style="2" hidden="1" customWidth="1"/>
    <col min="1209" max="1209" width="10.21875" style="2" customWidth="1"/>
    <col min="1210" max="1211" width="0" style="2" hidden="1" customWidth="1"/>
    <col min="1212" max="1212" width="9.21875" style="2" customWidth="1"/>
    <col min="1213" max="1416" width="9.21875" style="2"/>
    <col min="1417" max="1417" width="5.6640625" style="2" customWidth="1"/>
    <col min="1418" max="1418" width="31.44140625" style="2" customWidth="1"/>
    <col min="1419" max="1423" width="9.21875" style="2" customWidth="1"/>
    <col min="1424" max="1425" width="0" style="2" hidden="1" customWidth="1"/>
    <col min="1426" max="1426" width="2.44140625" style="2" customWidth="1"/>
    <col min="1427" max="1427" width="6.21875" style="2" customWidth="1"/>
    <col min="1428" max="1428" width="32.6640625" style="2" customWidth="1"/>
    <col min="1429" max="1429" width="9.21875" style="2" customWidth="1"/>
    <col min="1430" max="1433" width="7.44140625" style="2" customWidth="1"/>
    <col min="1434" max="1435" width="0" style="2" hidden="1" customWidth="1"/>
    <col min="1436" max="1436" width="9.21875" style="2" customWidth="1"/>
    <col min="1437" max="1437" width="2.44140625" style="2" customWidth="1"/>
    <col min="1438" max="1444" width="2.77734375" style="2" customWidth="1"/>
    <col min="1445" max="1445" width="22.44140625" style="2" customWidth="1"/>
    <col min="1446" max="1448" width="9.21875" style="2" customWidth="1"/>
    <col min="1449" max="1449" width="0" style="2" hidden="1" customWidth="1"/>
    <col min="1450" max="1450" width="9.21875" style="2" customWidth="1"/>
    <col min="1451" max="1452" width="0" style="2" hidden="1" customWidth="1"/>
    <col min="1453" max="1459" width="2.77734375" style="2" customWidth="1"/>
    <col min="1460" max="1460" width="22.6640625" style="2" customWidth="1"/>
    <col min="1461" max="1463" width="10.44140625" style="2" customWidth="1"/>
    <col min="1464" max="1464" width="0" style="2" hidden="1" customWidth="1"/>
    <col min="1465" max="1465" width="10.21875" style="2" customWidth="1"/>
    <col min="1466" max="1467" width="0" style="2" hidden="1" customWidth="1"/>
    <col min="1468" max="1468" width="9.21875" style="2" customWidth="1"/>
    <col min="1469" max="1672" width="9.21875" style="2"/>
    <col min="1673" max="1673" width="5.6640625" style="2" customWidth="1"/>
    <col min="1674" max="1674" width="31.44140625" style="2" customWidth="1"/>
    <col min="1675" max="1679" width="9.21875" style="2" customWidth="1"/>
    <col min="1680" max="1681" width="0" style="2" hidden="1" customWidth="1"/>
    <col min="1682" max="1682" width="2.44140625" style="2" customWidth="1"/>
    <col min="1683" max="1683" width="6.21875" style="2" customWidth="1"/>
    <col min="1684" max="1684" width="32.6640625" style="2" customWidth="1"/>
    <col min="1685" max="1685" width="9.21875" style="2" customWidth="1"/>
    <col min="1686" max="1689" width="7.44140625" style="2" customWidth="1"/>
    <col min="1690" max="1691" width="0" style="2" hidden="1" customWidth="1"/>
    <col min="1692" max="1692" width="9.21875" style="2" customWidth="1"/>
    <col min="1693" max="1693" width="2.44140625" style="2" customWidth="1"/>
    <col min="1694" max="1700" width="2.77734375" style="2" customWidth="1"/>
    <col min="1701" max="1701" width="22.44140625" style="2" customWidth="1"/>
    <col min="1702" max="1704" width="9.21875" style="2" customWidth="1"/>
    <col min="1705" max="1705" width="0" style="2" hidden="1" customWidth="1"/>
    <col min="1706" max="1706" width="9.21875" style="2" customWidth="1"/>
    <col min="1707" max="1708" width="0" style="2" hidden="1" customWidth="1"/>
    <col min="1709" max="1715" width="2.77734375" style="2" customWidth="1"/>
    <col min="1716" max="1716" width="22.6640625" style="2" customWidth="1"/>
    <col min="1717" max="1719" width="10.44140625" style="2" customWidth="1"/>
    <col min="1720" max="1720" width="0" style="2" hidden="1" customWidth="1"/>
    <col min="1721" max="1721" width="10.21875" style="2" customWidth="1"/>
    <col min="1722" max="1723" width="0" style="2" hidden="1" customWidth="1"/>
    <col min="1724" max="1724" width="9.21875" style="2" customWidth="1"/>
    <col min="1725" max="1928" width="9.21875" style="2"/>
    <col min="1929" max="1929" width="5.6640625" style="2" customWidth="1"/>
    <col min="1930" max="1930" width="31.44140625" style="2" customWidth="1"/>
    <col min="1931" max="1935" width="9.21875" style="2" customWidth="1"/>
    <col min="1936" max="1937" width="0" style="2" hidden="1" customWidth="1"/>
    <col min="1938" max="1938" width="2.44140625" style="2" customWidth="1"/>
    <col min="1939" max="1939" width="6.21875" style="2" customWidth="1"/>
    <col min="1940" max="1940" width="32.6640625" style="2" customWidth="1"/>
    <col min="1941" max="1941" width="9.21875" style="2" customWidth="1"/>
    <col min="1942" max="1945" width="7.44140625" style="2" customWidth="1"/>
    <col min="1946" max="1947" width="0" style="2" hidden="1" customWidth="1"/>
    <col min="1948" max="1948" width="9.21875" style="2" customWidth="1"/>
    <col min="1949" max="1949" width="2.44140625" style="2" customWidth="1"/>
    <col min="1950" max="1956" width="2.77734375" style="2" customWidth="1"/>
    <col min="1957" max="1957" width="22.44140625" style="2" customWidth="1"/>
    <col min="1958" max="1960" width="9.21875" style="2" customWidth="1"/>
    <col min="1961" max="1961" width="0" style="2" hidden="1" customWidth="1"/>
    <col min="1962" max="1962" width="9.21875" style="2" customWidth="1"/>
    <col min="1963" max="1964" width="0" style="2" hidden="1" customWidth="1"/>
    <col min="1965" max="1971" width="2.77734375" style="2" customWidth="1"/>
    <col min="1972" max="1972" width="22.6640625" style="2" customWidth="1"/>
    <col min="1973" max="1975" width="10.44140625" style="2" customWidth="1"/>
    <col min="1976" max="1976" width="0" style="2" hidden="1" customWidth="1"/>
    <col min="1977" max="1977" width="10.21875" style="2" customWidth="1"/>
    <col min="1978" max="1979" width="0" style="2" hidden="1" customWidth="1"/>
    <col min="1980" max="1980" width="9.21875" style="2" customWidth="1"/>
    <col min="1981" max="2184" width="9.21875" style="2"/>
    <col min="2185" max="2185" width="5.6640625" style="2" customWidth="1"/>
    <col min="2186" max="2186" width="31.44140625" style="2" customWidth="1"/>
    <col min="2187" max="2191" width="9.21875" style="2" customWidth="1"/>
    <col min="2192" max="2193" width="0" style="2" hidden="1" customWidth="1"/>
    <col min="2194" max="2194" width="2.44140625" style="2" customWidth="1"/>
    <col min="2195" max="2195" width="6.21875" style="2" customWidth="1"/>
    <col min="2196" max="2196" width="32.6640625" style="2" customWidth="1"/>
    <col min="2197" max="2197" width="9.21875" style="2" customWidth="1"/>
    <col min="2198" max="2201" width="7.44140625" style="2" customWidth="1"/>
    <col min="2202" max="2203" width="0" style="2" hidden="1" customWidth="1"/>
    <col min="2204" max="2204" width="9.21875" style="2" customWidth="1"/>
    <col min="2205" max="2205" width="2.44140625" style="2" customWidth="1"/>
    <col min="2206" max="2212" width="2.77734375" style="2" customWidth="1"/>
    <col min="2213" max="2213" width="22.44140625" style="2" customWidth="1"/>
    <col min="2214" max="2216" width="9.21875" style="2" customWidth="1"/>
    <col min="2217" max="2217" width="0" style="2" hidden="1" customWidth="1"/>
    <col min="2218" max="2218" width="9.21875" style="2" customWidth="1"/>
    <col min="2219" max="2220" width="0" style="2" hidden="1" customWidth="1"/>
    <col min="2221" max="2227" width="2.77734375" style="2" customWidth="1"/>
    <col min="2228" max="2228" width="22.6640625" style="2" customWidth="1"/>
    <col min="2229" max="2231" width="10.44140625" style="2" customWidth="1"/>
    <col min="2232" max="2232" width="0" style="2" hidden="1" customWidth="1"/>
    <col min="2233" max="2233" width="10.21875" style="2" customWidth="1"/>
    <col min="2234" max="2235" width="0" style="2" hidden="1" customWidth="1"/>
    <col min="2236" max="2236" width="9.21875" style="2" customWidth="1"/>
    <col min="2237" max="2440" width="9.21875" style="2"/>
    <col min="2441" max="2441" width="5.6640625" style="2" customWidth="1"/>
    <col min="2442" max="2442" width="31.44140625" style="2" customWidth="1"/>
    <col min="2443" max="2447" width="9.21875" style="2" customWidth="1"/>
    <col min="2448" max="2449" width="0" style="2" hidden="1" customWidth="1"/>
    <col min="2450" max="2450" width="2.44140625" style="2" customWidth="1"/>
    <col min="2451" max="2451" width="6.21875" style="2" customWidth="1"/>
    <col min="2452" max="2452" width="32.6640625" style="2" customWidth="1"/>
    <col min="2453" max="2453" width="9.21875" style="2" customWidth="1"/>
    <col min="2454" max="2457" width="7.44140625" style="2" customWidth="1"/>
    <col min="2458" max="2459" width="0" style="2" hidden="1" customWidth="1"/>
    <col min="2460" max="2460" width="9.21875" style="2" customWidth="1"/>
    <col min="2461" max="2461" width="2.44140625" style="2" customWidth="1"/>
    <col min="2462" max="2468" width="2.77734375" style="2" customWidth="1"/>
    <col min="2469" max="2469" width="22.44140625" style="2" customWidth="1"/>
    <col min="2470" max="2472" width="9.21875" style="2" customWidth="1"/>
    <col min="2473" max="2473" width="0" style="2" hidden="1" customWidth="1"/>
    <col min="2474" max="2474" width="9.21875" style="2" customWidth="1"/>
    <col min="2475" max="2476" width="0" style="2" hidden="1" customWidth="1"/>
    <col min="2477" max="2483" width="2.77734375" style="2" customWidth="1"/>
    <col min="2484" max="2484" width="22.6640625" style="2" customWidth="1"/>
    <col min="2485" max="2487" width="10.44140625" style="2" customWidth="1"/>
    <col min="2488" max="2488" width="0" style="2" hidden="1" customWidth="1"/>
    <col min="2489" max="2489" width="10.21875" style="2" customWidth="1"/>
    <col min="2490" max="2491" width="0" style="2" hidden="1" customWidth="1"/>
    <col min="2492" max="2492" width="9.21875" style="2" customWidth="1"/>
    <col min="2493" max="2696" width="9.21875" style="2"/>
    <col min="2697" max="2697" width="5.6640625" style="2" customWidth="1"/>
    <col min="2698" max="2698" width="31.44140625" style="2" customWidth="1"/>
    <col min="2699" max="2703" width="9.21875" style="2" customWidth="1"/>
    <col min="2704" max="2705" width="0" style="2" hidden="1" customWidth="1"/>
    <col min="2706" max="2706" width="2.44140625" style="2" customWidth="1"/>
    <col min="2707" max="2707" width="6.21875" style="2" customWidth="1"/>
    <col min="2708" max="2708" width="32.6640625" style="2" customWidth="1"/>
    <col min="2709" max="2709" width="9.21875" style="2" customWidth="1"/>
    <col min="2710" max="2713" width="7.44140625" style="2" customWidth="1"/>
    <col min="2714" max="2715" width="0" style="2" hidden="1" customWidth="1"/>
    <col min="2716" max="2716" width="9.21875" style="2" customWidth="1"/>
    <col min="2717" max="2717" width="2.44140625" style="2" customWidth="1"/>
    <col min="2718" max="2724" width="2.77734375" style="2" customWidth="1"/>
    <col min="2725" max="2725" width="22.44140625" style="2" customWidth="1"/>
    <col min="2726" max="2728" width="9.21875" style="2" customWidth="1"/>
    <col min="2729" max="2729" width="0" style="2" hidden="1" customWidth="1"/>
    <col min="2730" max="2730" width="9.21875" style="2" customWidth="1"/>
    <col min="2731" max="2732" width="0" style="2" hidden="1" customWidth="1"/>
    <col min="2733" max="2739" width="2.77734375" style="2" customWidth="1"/>
    <col min="2740" max="2740" width="22.6640625" style="2" customWidth="1"/>
    <col min="2741" max="2743" width="10.44140625" style="2" customWidth="1"/>
    <col min="2744" max="2744" width="0" style="2" hidden="1" customWidth="1"/>
    <col min="2745" max="2745" width="10.21875" style="2" customWidth="1"/>
    <col min="2746" max="2747" width="0" style="2" hidden="1" customWidth="1"/>
    <col min="2748" max="2748" width="9.21875" style="2" customWidth="1"/>
    <col min="2749" max="2952" width="9.21875" style="2"/>
    <col min="2953" max="2953" width="5.6640625" style="2" customWidth="1"/>
    <col min="2954" max="2954" width="31.44140625" style="2" customWidth="1"/>
    <col min="2955" max="2959" width="9.21875" style="2" customWidth="1"/>
    <col min="2960" max="2961" width="0" style="2" hidden="1" customWidth="1"/>
    <col min="2962" max="2962" width="2.44140625" style="2" customWidth="1"/>
    <col min="2963" max="2963" width="6.21875" style="2" customWidth="1"/>
    <col min="2964" max="2964" width="32.6640625" style="2" customWidth="1"/>
    <col min="2965" max="2965" width="9.21875" style="2" customWidth="1"/>
    <col min="2966" max="2969" width="7.44140625" style="2" customWidth="1"/>
    <col min="2970" max="2971" width="0" style="2" hidden="1" customWidth="1"/>
    <col min="2972" max="2972" width="9.21875" style="2" customWidth="1"/>
    <col min="2973" max="2973" width="2.44140625" style="2" customWidth="1"/>
    <col min="2974" max="2980" width="2.77734375" style="2" customWidth="1"/>
    <col min="2981" max="2981" width="22.44140625" style="2" customWidth="1"/>
    <col min="2982" max="2984" width="9.21875" style="2" customWidth="1"/>
    <col min="2985" max="2985" width="0" style="2" hidden="1" customWidth="1"/>
    <col min="2986" max="2986" width="9.21875" style="2" customWidth="1"/>
    <col min="2987" max="2988" width="0" style="2" hidden="1" customWidth="1"/>
    <col min="2989" max="2995" width="2.77734375" style="2" customWidth="1"/>
    <col min="2996" max="2996" width="22.6640625" style="2" customWidth="1"/>
    <col min="2997" max="2999" width="10.44140625" style="2" customWidth="1"/>
    <col min="3000" max="3000" width="0" style="2" hidden="1" customWidth="1"/>
    <col min="3001" max="3001" width="10.21875" style="2" customWidth="1"/>
    <col min="3002" max="3003" width="0" style="2" hidden="1" customWidth="1"/>
    <col min="3004" max="3004" width="9.21875" style="2" customWidth="1"/>
    <col min="3005" max="3208" width="9.21875" style="2"/>
    <col min="3209" max="3209" width="5.6640625" style="2" customWidth="1"/>
    <col min="3210" max="3210" width="31.44140625" style="2" customWidth="1"/>
    <col min="3211" max="3215" width="9.21875" style="2" customWidth="1"/>
    <col min="3216" max="3217" width="0" style="2" hidden="1" customWidth="1"/>
    <col min="3218" max="3218" width="2.44140625" style="2" customWidth="1"/>
    <col min="3219" max="3219" width="6.21875" style="2" customWidth="1"/>
    <col min="3220" max="3220" width="32.6640625" style="2" customWidth="1"/>
    <col min="3221" max="3221" width="9.21875" style="2" customWidth="1"/>
    <col min="3222" max="3225" width="7.44140625" style="2" customWidth="1"/>
    <col min="3226" max="3227" width="0" style="2" hidden="1" customWidth="1"/>
    <col min="3228" max="3228" width="9.21875" style="2" customWidth="1"/>
    <col min="3229" max="3229" width="2.44140625" style="2" customWidth="1"/>
    <col min="3230" max="3236" width="2.77734375" style="2" customWidth="1"/>
    <col min="3237" max="3237" width="22.44140625" style="2" customWidth="1"/>
    <col min="3238" max="3240" width="9.21875" style="2" customWidth="1"/>
    <col min="3241" max="3241" width="0" style="2" hidden="1" customWidth="1"/>
    <col min="3242" max="3242" width="9.21875" style="2" customWidth="1"/>
    <col min="3243" max="3244" width="0" style="2" hidden="1" customWidth="1"/>
    <col min="3245" max="3251" width="2.77734375" style="2" customWidth="1"/>
    <col min="3252" max="3252" width="22.6640625" style="2" customWidth="1"/>
    <col min="3253" max="3255" width="10.44140625" style="2" customWidth="1"/>
    <col min="3256" max="3256" width="0" style="2" hidden="1" customWidth="1"/>
    <col min="3257" max="3257" width="10.21875" style="2" customWidth="1"/>
    <col min="3258" max="3259" width="0" style="2" hidden="1" customWidth="1"/>
    <col min="3260" max="3260" width="9.21875" style="2" customWidth="1"/>
    <col min="3261" max="3464" width="9.21875" style="2"/>
    <col min="3465" max="3465" width="5.6640625" style="2" customWidth="1"/>
    <col min="3466" max="3466" width="31.44140625" style="2" customWidth="1"/>
    <col min="3467" max="3471" width="9.21875" style="2" customWidth="1"/>
    <col min="3472" max="3473" width="0" style="2" hidden="1" customWidth="1"/>
    <col min="3474" max="3474" width="2.44140625" style="2" customWidth="1"/>
    <col min="3475" max="3475" width="6.21875" style="2" customWidth="1"/>
    <col min="3476" max="3476" width="32.6640625" style="2" customWidth="1"/>
    <col min="3477" max="3477" width="9.21875" style="2" customWidth="1"/>
    <col min="3478" max="3481" width="7.44140625" style="2" customWidth="1"/>
    <col min="3482" max="3483" width="0" style="2" hidden="1" customWidth="1"/>
    <col min="3484" max="3484" width="9.21875" style="2" customWidth="1"/>
    <col min="3485" max="3485" width="2.44140625" style="2" customWidth="1"/>
    <col min="3486" max="3492" width="2.77734375" style="2" customWidth="1"/>
    <col min="3493" max="3493" width="22.44140625" style="2" customWidth="1"/>
    <col min="3494" max="3496" width="9.21875" style="2" customWidth="1"/>
    <col min="3497" max="3497" width="0" style="2" hidden="1" customWidth="1"/>
    <col min="3498" max="3498" width="9.21875" style="2" customWidth="1"/>
    <col min="3499" max="3500" width="0" style="2" hidden="1" customWidth="1"/>
    <col min="3501" max="3507" width="2.77734375" style="2" customWidth="1"/>
    <col min="3508" max="3508" width="22.6640625" style="2" customWidth="1"/>
    <col min="3509" max="3511" width="10.44140625" style="2" customWidth="1"/>
    <col min="3512" max="3512" width="0" style="2" hidden="1" customWidth="1"/>
    <col min="3513" max="3513" width="10.21875" style="2" customWidth="1"/>
    <col min="3514" max="3515" width="0" style="2" hidden="1" customWidth="1"/>
    <col min="3516" max="3516" width="9.21875" style="2" customWidth="1"/>
    <col min="3517" max="3720" width="9.21875" style="2"/>
    <col min="3721" max="3721" width="5.6640625" style="2" customWidth="1"/>
    <col min="3722" max="3722" width="31.44140625" style="2" customWidth="1"/>
    <col min="3723" max="3727" width="9.21875" style="2" customWidth="1"/>
    <col min="3728" max="3729" width="0" style="2" hidden="1" customWidth="1"/>
    <col min="3730" max="3730" width="2.44140625" style="2" customWidth="1"/>
    <col min="3731" max="3731" width="6.21875" style="2" customWidth="1"/>
    <col min="3732" max="3732" width="32.6640625" style="2" customWidth="1"/>
    <col min="3733" max="3733" width="9.21875" style="2" customWidth="1"/>
    <col min="3734" max="3737" width="7.44140625" style="2" customWidth="1"/>
    <col min="3738" max="3739" width="0" style="2" hidden="1" customWidth="1"/>
    <col min="3740" max="3740" width="9.21875" style="2" customWidth="1"/>
    <col min="3741" max="3741" width="2.44140625" style="2" customWidth="1"/>
    <col min="3742" max="3748" width="2.77734375" style="2" customWidth="1"/>
    <col min="3749" max="3749" width="22.44140625" style="2" customWidth="1"/>
    <col min="3750" max="3752" width="9.21875" style="2" customWidth="1"/>
    <col min="3753" max="3753" width="0" style="2" hidden="1" customWidth="1"/>
    <col min="3754" max="3754" width="9.21875" style="2" customWidth="1"/>
    <col min="3755" max="3756" width="0" style="2" hidden="1" customWidth="1"/>
    <col min="3757" max="3763" width="2.77734375" style="2" customWidth="1"/>
    <col min="3764" max="3764" width="22.6640625" style="2" customWidth="1"/>
    <col min="3765" max="3767" width="10.44140625" style="2" customWidth="1"/>
    <col min="3768" max="3768" width="0" style="2" hidden="1" customWidth="1"/>
    <col min="3769" max="3769" width="10.21875" style="2" customWidth="1"/>
    <col min="3770" max="3771" width="0" style="2" hidden="1" customWidth="1"/>
    <col min="3772" max="3772" width="9.21875" style="2" customWidth="1"/>
    <col min="3773" max="3976" width="9.21875" style="2"/>
    <col min="3977" max="3977" width="5.6640625" style="2" customWidth="1"/>
    <col min="3978" max="3978" width="31.44140625" style="2" customWidth="1"/>
    <col min="3979" max="3983" width="9.21875" style="2" customWidth="1"/>
    <col min="3984" max="3985" width="0" style="2" hidden="1" customWidth="1"/>
    <col min="3986" max="3986" width="2.44140625" style="2" customWidth="1"/>
    <col min="3987" max="3987" width="6.21875" style="2" customWidth="1"/>
    <col min="3988" max="3988" width="32.6640625" style="2" customWidth="1"/>
    <col min="3989" max="3989" width="9.21875" style="2" customWidth="1"/>
    <col min="3990" max="3993" width="7.44140625" style="2" customWidth="1"/>
    <col min="3994" max="3995" width="0" style="2" hidden="1" customWidth="1"/>
    <col min="3996" max="3996" width="9.21875" style="2" customWidth="1"/>
    <col min="3997" max="3997" width="2.44140625" style="2" customWidth="1"/>
    <col min="3998" max="4004" width="2.77734375" style="2" customWidth="1"/>
    <col min="4005" max="4005" width="22.44140625" style="2" customWidth="1"/>
    <col min="4006" max="4008" width="9.21875" style="2" customWidth="1"/>
    <col min="4009" max="4009" width="0" style="2" hidden="1" customWidth="1"/>
    <col min="4010" max="4010" width="9.21875" style="2" customWidth="1"/>
    <col min="4011" max="4012" width="0" style="2" hidden="1" customWidth="1"/>
    <col min="4013" max="4019" width="2.77734375" style="2" customWidth="1"/>
    <col min="4020" max="4020" width="22.6640625" style="2" customWidth="1"/>
    <col min="4021" max="4023" width="10.44140625" style="2" customWidth="1"/>
    <col min="4024" max="4024" width="0" style="2" hidden="1" customWidth="1"/>
    <col min="4025" max="4025" width="10.21875" style="2" customWidth="1"/>
    <col min="4026" max="4027" width="0" style="2" hidden="1" customWidth="1"/>
    <col min="4028" max="4028" width="9.21875" style="2" customWidth="1"/>
    <col min="4029" max="4232" width="9.21875" style="2"/>
    <col min="4233" max="4233" width="5.6640625" style="2" customWidth="1"/>
    <col min="4234" max="4234" width="31.44140625" style="2" customWidth="1"/>
    <col min="4235" max="4239" width="9.21875" style="2" customWidth="1"/>
    <col min="4240" max="4241" width="0" style="2" hidden="1" customWidth="1"/>
    <col min="4242" max="4242" width="2.44140625" style="2" customWidth="1"/>
    <col min="4243" max="4243" width="6.21875" style="2" customWidth="1"/>
    <col min="4244" max="4244" width="32.6640625" style="2" customWidth="1"/>
    <col min="4245" max="4245" width="9.21875" style="2" customWidth="1"/>
    <col min="4246" max="4249" width="7.44140625" style="2" customWidth="1"/>
    <col min="4250" max="4251" width="0" style="2" hidden="1" customWidth="1"/>
    <col min="4252" max="4252" width="9.21875" style="2" customWidth="1"/>
    <col min="4253" max="4253" width="2.44140625" style="2" customWidth="1"/>
    <col min="4254" max="4260" width="2.77734375" style="2" customWidth="1"/>
    <col min="4261" max="4261" width="22.44140625" style="2" customWidth="1"/>
    <col min="4262" max="4264" width="9.21875" style="2" customWidth="1"/>
    <col min="4265" max="4265" width="0" style="2" hidden="1" customWidth="1"/>
    <col min="4266" max="4266" width="9.21875" style="2" customWidth="1"/>
    <col min="4267" max="4268" width="0" style="2" hidden="1" customWidth="1"/>
    <col min="4269" max="4275" width="2.77734375" style="2" customWidth="1"/>
    <col min="4276" max="4276" width="22.6640625" style="2" customWidth="1"/>
    <col min="4277" max="4279" width="10.44140625" style="2" customWidth="1"/>
    <col min="4280" max="4280" width="0" style="2" hidden="1" customWidth="1"/>
    <col min="4281" max="4281" width="10.21875" style="2" customWidth="1"/>
    <col min="4282" max="4283" width="0" style="2" hidden="1" customWidth="1"/>
    <col min="4284" max="4284" width="9.21875" style="2" customWidth="1"/>
    <col min="4285" max="4488" width="9.21875" style="2"/>
    <col min="4489" max="4489" width="5.6640625" style="2" customWidth="1"/>
    <col min="4490" max="4490" width="31.44140625" style="2" customWidth="1"/>
    <col min="4491" max="4495" width="9.21875" style="2" customWidth="1"/>
    <col min="4496" max="4497" width="0" style="2" hidden="1" customWidth="1"/>
    <col min="4498" max="4498" width="2.44140625" style="2" customWidth="1"/>
    <col min="4499" max="4499" width="6.21875" style="2" customWidth="1"/>
    <col min="4500" max="4500" width="32.6640625" style="2" customWidth="1"/>
    <col min="4501" max="4501" width="9.21875" style="2" customWidth="1"/>
    <col min="4502" max="4505" width="7.44140625" style="2" customWidth="1"/>
    <col min="4506" max="4507" width="0" style="2" hidden="1" customWidth="1"/>
    <col min="4508" max="4508" width="9.21875" style="2" customWidth="1"/>
    <col min="4509" max="4509" width="2.44140625" style="2" customWidth="1"/>
    <col min="4510" max="4516" width="2.77734375" style="2" customWidth="1"/>
    <col min="4517" max="4517" width="22.44140625" style="2" customWidth="1"/>
    <col min="4518" max="4520" width="9.21875" style="2" customWidth="1"/>
    <col min="4521" max="4521" width="0" style="2" hidden="1" customWidth="1"/>
    <col min="4522" max="4522" width="9.21875" style="2" customWidth="1"/>
    <col min="4523" max="4524" width="0" style="2" hidden="1" customWidth="1"/>
    <col min="4525" max="4531" width="2.77734375" style="2" customWidth="1"/>
    <col min="4532" max="4532" width="22.6640625" style="2" customWidth="1"/>
    <col min="4533" max="4535" width="10.44140625" style="2" customWidth="1"/>
    <col min="4536" max="4536" width="0" style="2" hidden="1" customWidth="1"/>
    <col min="4537" max="4537" width="10.21875" style="2" customWidth="1"/>
    <col min="4538" max="4539" width="0" style="2" hidden="1" customWidth="1"/>
    <col min="4540" max="4540" width="9.21875" style="2" customWidth="1"/>
    <col min="4541" max="4744" width="9.21875" style="2"/>
    <col min="4745" max="4745" width="5.6640625" style="2" customWidth="1"/>
    <col min="4746" max="4746" width="31.44140625" style="2" customWidth="1"/>
    <col min="4747" max="4751" width="9.21875" style="2" customWidth="1"/>
    <col min="4752" max="4753" width="0" style="2" hidden="1" customWidth="1"/>
    <col min="4754" max="4754" width="2.44140625" style="2" customWidth="1"/>
    <col min="4755" max="4755" width="6.21875" style="2" customWidth="1"/>
    <col min="4756" max="4756" width="32.6640625" style="2" customWidth="1"/>
    <col min="4757" max="4757" width="9.21875" style="2" customWidth="1"/>
    <col min="4758" max="4761" width="7.44140625" style="2" customWidth="1"/>
    <col min="4762" max="4763" width="0" style="2" hidden="1" customWidth="1"/>
    <col min="4764" max="4764" width="9.21875" style="2" customWidth="1"/>
    <col min="4765" max="4765" width="2.44140625" style="2" customWidth="1"/>
    <col min="4766" max="4772" width="2.77734375" style="2" customWidth="1"/>
    <col min="4773" max="4773" width="22.44140625" style="2" customWidth="1"/>
    <col min="4774" max="4776" width="9.21875" style="2" customWidth="1"/>
    <col min="4777" max="4777" width="0" style="2" hidden="1" customWidth="1"/>
    <col min="4778" max="4778" width="9.21875" style="2" customWidth="1"/>
    <col min="4779" max="4780" width="0" style="2" hidden="1" customWidth="1"/>
    <col min="4781" max="4787" width="2.77734375" style="2" customWidth="1"/>
    <col min="4788" max="4788" width="22.6640625" style="2" customWidth="1"/>
    <col min="4789" max="4791" width="10.44140625" style="2" customWidth="1"/>
    <col min="4792" max="4792" width="0" style="2" hidden="1" customWidth="1"/>
    <col min="4793" max="4793" width="10.21875" style="2" customWidth="1"/>
    <col min="4794" max="4795" width="0" style="2" hidden="1" customWidth="1"/>
    <col min="4796" max="4796" width="9.21875" style="2" customWidth="1"/>
    <col min="4797" max="5000" width="9.21875" style="2"/>
    <col min="5001" max="5001" width="5.6640625" style="2" customWidth="1"/>
    <col min="5002" max="5002" width="31.44140625" style="2" customWidth="1"/>
    <col min="5003" max="5007" width="9.21875" style="2" customWidth="1"/>
    <col min="5008" max="5009" width="0" style="2" hidden="1" customWidth="1"/>
    <col min="5010" max="5010" width="2.44140625" style="2" customWidth="1"/>
    <col min="5011" max="5011" width="6.21875" style="2" customWidth="1"/>
    <col min="5012" max="5012" width="32.6640625" style="2" customWidth="1"/>
    <col min="5013" max="5013" width="9.21875" style="2" customWidth="1"/>
    <col min="5014" max="5017" width="7.44140625" style="2" customWidth="1"/>
    <col min="5018" max="5019" width="0" style="2" hidden="1" customWidth="1"/>
    <col min="5020" max="5020" width="9.21875" style="2" customWidth="1"/>
    <col min="5021" max="5021" width="2.44140625" style="2" customWidth="1"/>
    <col min="5022" max="5028" width="2.77734375" style="2" customWidth="1"/>
    <col min="5029" max="5029" width="22.44140625" style="2" customWidth="1"/>
    <col min="5030" max="5032" width="9.21875" style="2" customWidth="1"/>
    <col min="5033" max="5033" width="0" style="2" hidden="1" customWidth="1"/>
    <col min="5034" max="5034" width="9.21875" style="2" customWidth="1"/>
    <col min="5035" max="5036" width="0" style="2" hidden="1" customWidth="1"/>
    <col min="5037" max="5043" width="2.77734375" style="2" customWidth="1"/>
    <col min="5044" max="5044" width="22.6640625" style="2" customWidth="1"/>
    <col min="5045" max="5047" width="10.44140625" style="2" customWidth="1"/>
    <col min="5048" max="5048" width="0" style="2" hidden="1" customWidth="1"/>
    <col min="5049" max="5049" width="10.21875" style="2" customWidth="1"/>
    <col min="5050" max="5051" width="0" style="2" hidden="1" customWidth="1"/>
    <col min="5052" max="5052" width="9.21875" style="2" customWidth="1"/>
    <col min="5053" max="5256" width="9.21875" style="2"/>
    <col min="5257" max="5257" width="5.6640625" style="2" customWidth="1"/>
    <col min="5258" max="5258" width="31.44140625" style="2" customWidth="1"/>
    <col min="5259" max="5263" width="9.21875" style="2" customWidth="1"/>
    <col min="5264" max="5265" width="0" style="2" hidden="1" customWidth="1"/>
    <col min="5266" max="5266" width="2.44140625" style="2" customWidth="1"/>
    <col min="5267" max="5267" width="6.21875" style="2" customWidth="1"/>
    <col min="5268" max="5268" width="32.6640625" style="2" customWidth="1"/>
    <col min="5269" max="5269" width="9.21875" style="2" customWidth="1"/>
    <col min="5270" max="5273" width="7.44140625" style="2" customWidth="1"/>
    <col min="5274" max="5275" width="0" style="2" hidden="1" customWidth="1"/>
    <col min="5276" max="5276" width="9.21875" style="2" customWidth="1"/>
    <col min="5277" max="5277" width="2.44140625" style="2" customWidth="1"/>
    <col min="5278" max="5284" width="2.77734375" style="2" customWidth="1"/>
    <col min="5285" max="5285" width="22.44140625" style="2" customWidth="1"/>
    <col min="5286" max="5288" width="9.21875" style="2" customWidth="1"/>
    <col min="5289" max="5289" width="0" style="2" hidden="1" customWidth="1"/>
    <col min="5290" max="5290" width="9.21875" style="2" customWidth="1"/>
    <col min="5291" max="5292" width="0" style="2" hidden="1" customWidth="1"/>
    <col min="5293" max="5299" width="2.77734375" style="2" customWidth="1"/>
    <col min="5300" max="5300" width="22.6640625" style="2" customWidth="1"/>
    <col min="5301" max="5303" width="10.44140625" style="2" customWidth="1"/>
    <col min="5304" max="5304" width="0" style="2" hidden="1" customWidth="1"/>
    <col min="5305" max="5305" width="10.21875" style="2" customWidth="1"/>
    <col min="5306" max="5307" width="0" style="2" hidden="1" customWidth="1"/>
    <col min="5308" max="5308" width="9.21875" style="2" customWidth="1"/>
    <col min="5309" max="5512" width="9.21875" style="2"/>
    <col min="5513" max="5513" width="5.6640625" style="2" customWidth="1"/>
    <col min="5514" max="5514" width="31.44140625" style="2" customWidth="1"/>
    <col min="5515" max="5519" width="9.21875" style="2" customWidth="1"/>
    <col min="5520" max="5521" width="0" style="2" hidden="1" customWidth="1"/>
    <col min="5522" max="5522" width="2.44140625" style="2" customWidth="1"/>
    <col min="5523" max="5523" width="6.21875" style="2" customWidth="1"/>
    <col min="5524" max="5524" width="32.6640625" style="2" customWidth="1"/>
    <col min="5525" max="5525" width="9.21875" style="2" customWidth="1"/>
    <col min="5526" max="5529" width="7.44140625" style="2" customWidth="1"/>
    <col min="5530" max="5531" width="0" style="2" hidden="1" customWidth="1"/>
    <col min="5532" max="5532" width="9.21875" style="2" customWidth="1"/>
    <col min="5533" max="5533" width="2.44140625" style="2" customWidth="1"/>
    <col min="5534" max="5540" width="2.77734375" style="2" customWidth="1"/>
    <col min="5541" max="5541" width="22.44140625" style="2" customWidth="1"/>
    <col min="5542" max="5544" width="9.21875" style="2" customWidth="1"/>
    <col min="5545" max="5545" width="0" style="2" hidden="1" customWidth="1"/>
    <col min="5546" max="5546" width="9.21875" style="2" customWidth="1"/>
    <col min="5547" max="5548" width="0" style="2" hidden="1" customWidth="1"/>
    <col min="5549" max="5555" width="2.77734375" style="2" customWidth="1"/>
    <col min="5556" max="5556" width="22.6640625" style="2" customWidth="1"/>
    <col min="5557" max="5559" width="10.44140625" style="2" customWidth="1"/>
    <col min="5560" max="5560" width="0" style="2" hidden="1" customWidth="1"/>
    <col min="5561" max="5561" width="10.21875" style="2" customWidth="1"/>
    <col min="5562" max="5563" width="0" style="2" hidden="1" customWidth="1"/>
    <col min="5564" max="5564" width="9.21875" style="2" customWidth="1"/>
    <col min="5565" max="5768" width="9.21875" style="2"/>
    <col min="5769" max="5769" width="5.6640625" style="2" customWidth="1"/>
    <col min="5770" max="5770" width="31.44140625" style="2" customWidth="1"/>
    <col min="5771" max="5775" width="9.21875" style="2" customWidth="1"/>
    <col min="5776" max="5777" width="0" style="2" hidden="1" customWidth="1"/>
    <col min="5778" max="5778" width="2.44140625" style="2" customWidth="1"/>
    <col min="5779" max="5779" width="6.21875" style="2" customWidth="1"/>
    <col min="5780" max="5780" width="32.6640625" style="2" customWidth="1"/>
    <col min="5781" max="5781" width="9.21875" style="2" customWidth="1"/>
    <col min="5782" max="5785" width="7.44140625" style="2" customWidth="1"/>
    <col min="5786" max="5787" width="0" style="2" hidden="1" customWidth="1"/>
    <col min="5788" max="5788" width="9.21875" style="2" customWidth="1"/>
    <col min="5789" max="5789" width="2.44140625" style="2" customWidth="1"/>
    <col min="5790" max="5796" width="2.77734375" style="2" customWidth="1"/>
    <col min="5797" max="5797" width="22.44140625" style="2" customWidth="1"/>
    <col min="5798" max="5800" width="9.21875" style="2" customWidth="1"/>
    <col min="5801" max="5801" width="0" style="2" hidden="1" customWidth="1"/>
    <col min="5802" max="5802" width="9.21875" style="2" customWidth="1"/>
    <col min="5803" max="5804" width="0" style="2" hidden="1" customWidth="1"/>
    <col min="5805" max="5811" width="2.77734375" style="2" customWidth="1"/>
    <col min="5812" max="5812" width="22.6640625" style="2" customWidth="1"/>
    <col min="5813" max="5815" width="10.44140625" style="2" customWidth="1"/>
    <col min="5816" max="5816" width="0" style="2" hidden="1" customWidth="1"/>
    <col min="5817" max="5817" width="10.21875" style="2" customWidth="1"/>
    <col min="5818" max="5819" width="0" style="2" hidden="1" customWidth="1"/>
    <col min="5820" max="5820" width="9.21875" style="2" customWidth="1"/>
    <col min="5821" max="6024" width="9.21875" style="2"/>
    <col min="6025" max="6025" width="5.6640625" style="2" customWidth="1"/>
    <col min="6026" max="6026" width="31.44140625" style="2" customWidth="1"/>
    <col min="6027" max="6031" width="9.21875" style="2" customWidth="1"/>
    <col min="6032" max="6033" width="0" style="2" hidden="1" customWidth="1"/>
    <col min="6034" max="6034" width="2.44140625" style="2" customWidth="1"/>
    <col min="6035" max="6035" width="6.21875" style="2" customWidth="1"/>
    <col min="6036" max="6036" width="32.6640625" style="2" customWidth="1"/>
    <col min="6037" max="6037" width="9.21875" style="2" customWidth="1"/>
    <col min="6038" max="6041" width="7.44140625" style="2" customWidth="1"/>
    <col min="6042" max="6043" width="0" style="2" hidden="1" customWidth="1"/>
    <col min="6044" max="6044" width="9.21875" style="2" customWidth="1"/>
    <col min="6045" max="6045" width="2.44140625" style="2" customWidth="1"/>
    <col min="6046" max="6052" width="2.77734375" style="2" customWidth="1"/>
    <col min="6053" max="6053" width="22.44140625" style="2" customWidth="1"/>
    <col min="6054" max="6056" width="9.21875" style="2" customWidth="1"/>
    <col min="6057" max="6057" width="0" style="2" hidden="1" customWidth="1"/>
    <col min="6058" max="6058" width="9.21875" style="2" customWidth="1"/>
    <col min="6059" max="6060" width="0" style="2" hidden="1" customWidth="1"/>
    <col min="6061" max="6067" width="2.77734375" style="2" customWidth="1"/>
    <col min="6068" max="6068" width="22.6640625" style="2" customWidth="1"/>
    <col min="6069" max="6071" width="10.44140625" style="2" customWidth="1"/>
    <col min="6072" max="6072" width="0" style="2" hidden="1" customWidth="1"/>
    <col min="6073" max="6073" width="10.21875" style="2" customWidth="1"/>
    <col min="6074" max="6075" width="0" style="2" hidden="1" customWidth="1"/>
    <col min="6076" max="6076" width="9.21875" style="2" customWidth="1"/>
    <col min="6077" max="6280" width="9.21875" style="2"/>
    <col min="6281" max="6281" width="5.6640625" style="2" customWidth="1"/>
    <col min="6282" max="6282" width="31.44140625" style="2" customWidth="1"/>
    <col min="6283" max="6287" width="9.21875" style="2" customWidth="1"/>
    <col min="6288" max="6289" width="0" style="2" hidden="1" customWidth="1"/>
    <col min="6290" max="6290" width="2.44140625" style="2" customWidth="1"/>
    <col min="6291" max="6291" width="6.21875" style="2" customWidth="1"/>
    <col min="6292" max="6292" width="32.6640625" style="2" customWidth="1"/>
    <col min="6293" max="6293" width="9.21875" style="2" customWidth="1"/>
    <col min="6294" max="6297" width="7.44140625" style="2" customWidth="1"/>
    <col min="6298" max="6299" width="0" style="2" hidden="1" customWidth="1"/>
    <col min="6300" max="6300" width="9.21875" style="2" customWidth="1"/>
    <col min="6301" max="6301" width="2.44140625" style="2" customWidth="1"/>
    <col min="6302" max="6308" width="2.77734375" style="2" customWidth="1"/>
    <col min="6309" max="6309" width="22.44140625" style="2" customWidth="1"/>
    <col min="6310" max="6312" width="9.21875" style="2" customWidth="1"/>
    <col min="6313" max="6313" width="0" style="2" hidden="1" customWidth="1"/>
    <col min="6314" max="6314" width="9.21875" style="2" customWidth="1"/>
    <col min="6315" max="6316" width="0" style="2" hidden="1" customWidth="1"/>
    <col min="6317" max="6323" width="2.77734375" style="2" customWidth="1"/>
    <col min="6324" max="6324" width="22.6640625" style="2" customWidth="1"/>
    <col min="6325" max="6327" width="10.44140625" style="2" customWidth="1"/>
    <col min="6328" max="6328" width="0" style="2" hidden="1" customWidth="1"/>
    <col min="6329" max="6329" width="10.21875" style="2" customWidth="1"/>
    <col min="6330" max="6331" width="0" style="2" hidden="1" customWidth="1"/>
    <col min="6332" max="6332" width="9.21875" style="2" customWidth="1"/>
    <col min="6333" max="6536" width="9.21875" style="2"/>
    <col min="6537" max="6537" width="5.6640625" style="2" customWidth="1"/>
    <col min="6538" max="6538" width="31.44140625" style="2" customWidth="1"/>
    <col min="6539" max="6543" width="9.21875" style="2" customWidth="1"/>
    <col min="6544" max="6545" width="0" style="2" hidden="1" customWidth="1"/>
    <col min="6546" max="6546" width="2.44140625" style="2" customWidth="1"/>
    <col min="6547" max="6547" width="6.21875" style="2" customWidth="1"/>
    <col min="6548" max="6548" width="32.6640625" style="2" customWidth="1"/>
    <col min="6549" max="6549" width="9.21875" style="2" customWidth="1"/>
    <col min="6550" max="6553" width="7.44140625" style="2" customWidth="1"/>
    <col min="6554" max="6555" width="0" style="2" hidden="1" customWidth="1"/>
    <col min="6556" max="6556" width="9.21875" style="2" customWidth="1"/>
    <col min="6557" max="6557" width="2.44140625" style="2" customWidth="1"/>
    <col min="6558" max="6564" width="2.77734375" style="2" customWidth="1"/>
    <col min="6565" max="6565" width="22.44140625" style="2" customWidth="1"/>
    <col min="6566" max="6568" width="9.21875" style="2" customWidth="1"/>
    <col min="6569" max="6569" width="0" style="2" hidden="1" customWidth="1"/>
    <col min="6570" max="6570" width="9.21875" style="2" customWidth="1"/>
    <col min="6571" max="6572" width="0" style="2" hidden="1" customWidth="1"/>
    <col min="6573" max="6579" width="2.77734375" style="2" customWidth="1"/>
    <col min="6580" max="6580" width="22.6640625" style="2" customWidth="1"/>
    <col min="6581" max="6583" width="10.44140625" style="2" customWidth="1"/>
    <col min="6584" max="6584" width="0" style="2" hidden="1" customWidth="1"/>
    <col min="6585" max="6585" width="10.21875" style="2" customWidth="1"/>
    <col min="6586" max="6587" width="0" style="2" hidden="1" customWidth="1"/>
    <col min="6588" max="6588" width="9.21875" style="2" customWidth="1"/>
    <col min="6589" max="6792" width="9.21875" style="2"/>
    <col min="6793" max="6793" width="5.6640625" style="2" customWidth="1"/>
    <col min="6794" max="6794" width="31.44140625" style="2" customWidth="1"/>
    <col min="6795" max="6799" width="9.21875" style="2" customWidth="1"/>
    <col min="6800" max="6801" width="0" style="2" hidden="1" customWidth="1"/>
    <col min="6802" max="6802" width="2.44140625" style="2" customWidth="1"/>
    <col min="6803" max="6803" width="6.21875" style="2" customWidth="1"/>
    <col min="6804" max="6804" width="32.6640625" style="2" customWidth="1"/>
    <col min="6805" max="6805" width="9.21875" style="2" customWidth="1"/>
    <col min="6806" max="6809" width="7.44140625" style="2" customWidth="1"/>
    <col min="6810" max="6811" width="0" style="2" hidden="1" customWidth="1"/>
    <col min="6812" max="6812" width="9.21875" style="2" customWidth="1"/>
    <col min="6813" max="6813" width="2.44140625" style="2" customWidth="1"/>
    <col min="6814" max="6820" width="2.77734375" style="2" customWidth="1"/>
    <col min="6821" max="6821" width="22.44140625" style="2" customWidth="1"/>
    <col min="6822" max="6824" width="9.21875" style="2" customWidth="1"/>
    <col min="6825" max="6825" width="0" style="2" hidden="1" customWidth="1"/>
    <col min="6826" max="6826" width="9.21875" style="2" customWidth="1"/>
    <col min="6827" max="6828" width="0" style="2" hidden="1" customWidth="1"/>
    <col min="6829" max="6835" width="2.77734375" style="2" customWidth="1"/>
    <col min="6836" max="6836" width="22.6640625" style="2" customWidth="1"/>
    <col min="6837" max="6839" width="10.44140625" style="2" customWidth="1"/>
    <col min="6840" max="6840" width="0" style="2" hidden="1" customWidth="1"/>
    <col min="6841" max="6841" width="10.21875" style="2" customWidth="1"/>
    <col min="6842" max="6843" width="0" style="2" hidden="1" customWidth="1"/>
    <col min="6844" max="6844" width="9.21875" style="2" customWidth="1"/>
    <col min="6845" max="7048" width="9.21875" style="2"/>
    <col min="7049" max="7049" width="5.6640625" style="2" customWidth="1"/>
    <col min="7050" max="7050" width="31.44140625" style="2" customWidth="1"/>
    <col min="7051" max="7055" width="9.21875" style="2" customWidth="1"/>
    <col min="7056" max="7057" width="0" style="2" hidden="1" customWidth="1"/>
    <col min="7058" max="7058" width="2.44140625" style="2" customWidth="1"/>
    <col min="7059" max="7059" width="6.21875" style="2" customWidth="1"/>
    <col min="7060" max="7060" width="32.6640625" style="2" customWidth="1"/>
    <col min="7061" max="7061" width="9.21875" style="2" customWidth="1"/>
    <col min="7062" max="7065" width="7.44140625" style="2" customWidth="1"/>
    <col min="7066" max="7067" width="0" style="2" hidden="1" customWidth="1"/>
    <col min="7068" max="7068" width="9.21875" style="2" customWidth="1"/>
    <col min="7069" max="7069" width="2.44140625" style="2" customWidth="1"/>
    <col min="7070" max="7076" width="2.77734375" style="2" customWidth="1"/>
    <col min="7077" max="7077" width="22.44140625" style="2" customWidth="1"/>
    <col min="7078" max="7080" width="9.21875" style="2" customWidth="1"/>
    <col min="7081" max="7081" width="0" style="2" hidden="1" customWidth="1"/>
    <col min="7082" max="7082" width="9.21875" style="2" customWidth="1"/>
    <col min="7083" max="7084" width="0" style="2" hidden="1" customWidth="1"/>
    <col min="7085" max="7091" width="2.77734375" style="2" customWidth="1"/>
    <col min="7092" max="7092" width="22.6640625" style="2" customWidth="1"/>
    <col min="7093" max="7095" width="10.44140625" style="2" customWidth="1"/>
    <col min="7096" max="7096" width="0" style="2" hidden="1" customWidth="1"/>
    <col min="7097" max="7097" width="10.21875" style="2" customWidth="1"/>
    <col min="7098" max="7099" width="0" style="2" hidden="1" customWidth="1"/>
    <col min="7100" max="7100" width="9.21875" style="2" customWidth="1"/>
    <col min="7101" max="7304" width="9.21875" style="2"/>
    <col min="7305" max="7305" width="5.6640625" style="2" customWidth="1"/>
    <col min="7306" max="7306" width="31.44140625" style="2" customWidth="1"/>
    <col min="7307" max="7311" width="9.21875" style="2" customWidth="1"/>
    <col min="7312" max="7313" width="0" style="2" hidden="1" customWidth="1"/>
    <col min="7314" max="7314" width="2.44140625" style="2" customWidth="1"/>
    <col min="7315" max="7315" width="6.21875" style="2" customWidth="1"/>
    <col min="7316" max="7316" width="32.6640625" style="2" customWidth="1"/>
    <col min="7317" max="7317" width="9.21875" style="2" customWidth="1"/>
    <col min="7318" max="7321" width="7.44140625" style="2" customWidth="1"/>
    <col min="7322" max="7323" width="0" style="2" hidden="1" customWidth="1"/>
    <col min="7324" max="7324" width="9.21875" style="2" customWidth="1"/>
    <col min="7325" max="7325" width="2.44140625" style="2" customWidth="1"/>
    <col min="7326" max="7332" width="2.77734375" style="2" customWidth="1"/>
    <col min="7333" max="7333" width="22.44140625" style="2" customWidth="1"/>
    <col min="7334" max="7336" width="9.21875" style="2" customWidth="1"/>
    <col min="7337" max="7337" width="0" style="2" hidden="1" customWidth="1"/>
    <col min="7338" max="7338" width="9.21875" style="2" customWidth="1"/>
    <col min="7339" max="7340" width="0" style="2" hidden="1" customWidth="1"/>
    <col min="7341" max="7347" width="2.77734375" style="2" customWidth="1"/>
    <col min="7348" max="7348" width="22.6640625" style="2" customWidth="1"/>
    <col min="7349" max="7351" width="10.44140625" style="2" customWidth="1"/>
    <col min="7352" max="7352" width="0" style="2" hidden="1" customWidth="1"/>
    <col min="7353" max="7353" width="10.21875" style="2" customWidth="1"/>
    <col min="7354" max="7355" width="0" style="2" hidden="1" customWidth="1"/>
    <col min="7356" max="7356" width="9.21875" style="2" customWidth="1"/>
    <col min="7357" max="7560" width="9.21875" style="2"/>
    <col min="7561" max="7561" width="5.6640625" style="2" customWidth="1"/>
    <col min="7562" max="7562" width="31.44140625" style="2" customWidth="1"/>
    <col min="7563" max="7567" width="9.21875" style="2" customWidth="1"/>
    <col min="7568" max="7569" width="0" style="2" hidden="1" customWidth="1"/>
    <col min="7570" max="7570" width="2.44140625" style="2" customWidth="1"/>
    <col min="7571" max="7571" width="6.21875" style="2" customWidth="1"/>
    <col min="7572" max="7572" width="32.6640625" style="2" customWidth="1"/>
    <col min="7573" max="7573" width="9.21875" style="2" customWidth="1"/>
    <col min="7574" max="7577" width="7.44140625" style="2" customWidth="1"/>
    <col min="7578" max="7579" width="0" style="2" hidden="1" customWidth="1"/>
    <col min="7580" max="7580" width="9.21875" style="2" customWidth="1"/>
    <col min="7581" max="7581" width="2.44140625" style="2" customWidth="1"/>
    <col min="7582" max="7588" width="2.77734375" style="2" customWidth="1"/>
    <col min="7589" max="7589" width="22.44140625" style="2" customWidth="1"/>
    <col min="7590" max="7592" width="9.21875" style="2" customWidth="1"/>
    <col min="7593" max="7593" width="0" style="2" hidden="1" customWidth="1"/>
    <col min="7594" max="7594" width="9.21875" style="2" customWidth="1"/>
    <col min="7595" max="7596" width="0" style="2" hidden="1" customWidth="1"/>
    <col min="7597" max="7603" width="2.77734375" style="2" customWidth="1"/>
    <col min="7604" max="7604" width="22.6640625" style="2" customWidth="1"/>
    <col min="7605" max="7607" width="10.44140625" style="2" customWidth="1"/>
    <col min="7608" max="7608" width="0" style="2" hidden="1" customWidth="1"/>
    <col min="7609" max="7609" width="10.21875" style="2" customWidth="1"/>
    <col min="7610" max="7611" width="0" style="2" hidden="1" customWidth="1"/>
    <col min="7612" max="7612" width="9.21875" style="2" customWidth="1"/>
    <col min="7613" max="7816" width="9.21875" style="2"/>
    <col min="7817" max="7817" width="5.6640625" style="2" customWidth="1"/>
    <col min="7818" max="7818" width="31.44140625" style="2" customWidth="1"/>
    <col min="7819" max="7823" width="9.21875" style="2" customWidth="1"/>
    <col min="7824" max="7825" width="0" style="2" hidden="1" customWidth="1"/>
    <col min="7826" max="7826" width="2.44140625" style="2" customWidth="1"/>
    <col min="7827" max="7827" width="6.21875" style="2" customWidth="1"/>
    <col min="7828" max="7828" width="32.6640625" style="2" customWidth="1"/>
    <col min="7829" max="7829" width="9.21875" style="2" customWidth="1"/>
    <col min="7830" max="7833" width="7.44140625" style="2" customWidth="1"/>
    <col min="7834" max="7835" width="0" style="2" hidden="1" customWidth="1"/>
    <col min="7836" max="7836" width="9.21875" style="2" customWidth="1"/>
    <col min="7837" max="7837" width="2.44140625" style="2" customWidth="1"/>
    <col min="7838" max="7844" width="2.77734375" style="2" customWidth="1"/>
    <col min="7845" max="7845" width="22.44140625" style="2" customWidth="1"/>
    <col min="7846" max="7848" width="9.21875" style="2" customWidth="1"/>
    <col min="7849" max="7849" width="0" style="2" hidden="1" customWidth="1"/>
    <col min="7850" max="7850" width="9.21875" style="2" customWidth="1"/>
    <col min="7851" max="7852" width="0" style="2" hidden="1" customWidth="1"/>
    <col min="7853" max="7859" width="2.77734375" style="2" customWidth="1"/>
    <col min="7860" max="7860" width="22.6640625" style="2" customWidth="1"/>
    <col min="7861" max="7863" width="10.44140625" style="2" customWidth="1"/>
    <col min="7864" max="7864" width="0" style="2" hidden="1" customWidth="1"/>
    <col min="7865" max="7865" width="10.21875" style="2" customWidth="1"/>
    <col min="7866" max="7867" width="0" style="2" hidden="1" customWidth="1"/>
    <col min="7868" max="7868" width="9.21875" style="2" customWidth="1"/>
    <col min="7869" max="8072" width="9.21875" style="2"/>
    <col min="8073" max="8073" width="5.6640625" style="2" customWidth="1"/>
    <col min="8074" max="8074" width="31.44140625" style="2" customWidth="1"/>
    <col min="8075" max="8079" width="9.21875" style="2" customWidth="1"/>
    <col min="8080" max="8081" width="0" style="2" hidden="1" customWidth="1"/>
    <col min="8082" max="8082" width="2.44140625" style="2" customWidth="1"/>
    <col min="8083" max="8083" width="6.21875" style="2" customWidth="1"/>
    <col min="8084" max="8084" width="32.6640625" style="2" customWidth="1"/>
    <col min="8085" max="8085" width="9.21875" style="2" customWidth="1"/>
    <col min="8086" max="8089" width="7.44140625" style="2" customWidth="1"/>
    <col min="8090" max="8091" width="0" style="2" hidden="1" customWidth="1"/>
    <col min="8092" max="8092" width="9.21875" style="2" customWidth="1"/>
    <col min="8093" max="8093" width="2.44140625" style="2" customWidth="1"/>
    <col min="8094" max="8100" width="2.77734375" style="2" customWidth="1"/>
    <col min="8101" max="8101" width="22.44140625" style="2" customWidth="1"/>
    <col min="8102" max="8104" width="9.21875" style="2" customWidth="1"/>
    <col min="8105" max="8105" width="0" style="2" hidden="1" customWidth="1"/>
    <col min="8106" max="8106" width="9.21875" style="2" customWidth="1"/>
    <col min="8107" max="8108" width="0" style="2" hidden="1" customWidth="1"/>
    <col min="8109" max="8115" width="2.77734375" style="2" customWidth="1"/>
    <col min="8116" max="8116" width="22.6640625" style="2" customWidth="1"/>
    <col min="8117" max="8119" width="10.44140625" style="2" customWidth="1"/>
    <col min="8120" max="8120" width="0" style="2" hidden="1" customWidth="1"/>
    <col min="8121" max="8121" width="10.21875" style="2" customWidth="1"/>
    <col min="8122" max="8123" width="0" style="2" hidden="1" customWidth="1"/>
    <col min="8124" max="8124" width="9.21875" style="2" customWidth="1"/>
    <col min="8125" max="8328" width="9.21875" style="2"/>
    <col min="8329" max="8329" width="5.6640625" style="2" customWidth="1"/>
    <col min="8330" max="8330" width="31.44140625" style="2" customWidth="1"/>
    <col min="8331" max="8335" width="9.21875" style="2" customWidth="1"/>
    <col min="8336" max="8337" width="0" style="2" hidden="1" customWidth="1"/>
    <col min="8338" max="8338" width="2.44140625" style="2" customWidth="1"/>
    <col min="8339" max="8339" width="6.21875" style="2" customWidth="1"/>
    <col min="8340" max="8340" width="32.6640625" style="2" customWidth="1"/>
    <col min="8341" max="8341" width="9.21875" style="2" customWidth="1"/>
    <col min="8342" max="8345" width="7.44140625" style="2" customWidth="1"/>
    <col min="8346" max="8347" width="0" style="2" hidden="1" customWidth="1"/>
    <col min="8348" max="8348" width="9.21875" style="2" customWidth="1"/>
    <col min="8349" max="8349" width="2.44140625" style="2" customWidth="1"/>
    <col min="8350" max="8356" width="2.77734375" style="2" customWidth="1"/>
    <col min="8357" max="8357" width="22.44140625" style="2" customWidth="1"/>
    <col min="8358" max="8360" width="9.21875" style="2" customWidth="1"/>
    <col min="8361" max="8361" width="0" style="2" hidden="1" customWidth="1"/>
    <col min="8362" max="8362" width="9.21875" style="2" customWidth="1"/>
    <col min="8363" max="8364" width="0" style="2" hidden="1" customWidth="1"/>
    <col min="8365" max="8371" width="2.77734375" style="2" customWidth="1"/>
    <col min="8372" max="8372" width="22.6640625" style="2" customWidth="1"/>
    <col min="8373" max="8375" width="10.44140625" style="2" customWidth="1"/>
    <col min="8376" max="8376" width="0" style="2" hidden="1" customWidth="1"/>
    <col min="8377" max="8377" width="10.21875" style="2" customWidth="1"/>
    <col min="8378" max="8379" width="0" style="2" hidden="1" customWidth="1"/>
    <col min="8380" max="8380" width="9.21875" style="2" customWidth="1"/>
    <col min="8381" max="8584" width="9.21875" style="2"/>
    <col min="8585" max="8585" width="5.6640625" style="2" customWidth="1"/>
    <col min="8586" max="8586" width="31.44140625" style="2" customWidth="1"/>
    <col min="8587" max="8591" width="9.21875" style="2" customWidth="1"/>
    <col min="8592" max="8593" width="0" style="2" hidden="1" customWidth="1"/>
    <col min="8594" max="8594" width="2.44140625" style="2" customWidth="1"/>
    <col min="8595" max="8595" width="6.21875" style="2" customWidth="1"/>
    <col min="8596" max="8596" width="32.6640625" style="2" customWidth="1"/>
    <col min="8597" max="8597" width="9.21875" style="2" customWidth="1"/>
    <col min="8598" max="8601" width="7.44140625" style="2" customWidth="1"/>
    <col min="8602" max="8603" width="0" style="2" hidden="1" customWidth="1"/>
    <col min="8604" max="8604" width="9.21875" style="2" customWidth="1"/>
    <col min="8605" max="8605" width="2.44140625" style="2" customWidth="1"/>
    <col min="8606" max="8612" width="2.77734375" style="2" customWidth="1"/>
    <col min="8613" max="8613" width="22.44140625" style="2" customWidth="1"/>
    <col min="8614" max="8616" width="9.21875" style="2" customWidth="1"/>
    <col min="8617" max="8617" width="0" style="2" hidden="1" customWidth="1"/>
    <col min="8618" max="8618" width="9.21875" style="2" customWidth="1"/>
    <col min="8619" max="8620" width="0" style="2" hidden="1" customWidth="1"/>
    <col min="8621" max="8627" width="2.77734375" style="2" customWidth="1"/>
    <col min="8628" max="8628" width="22.6640625" style="2" customWidth="1"/>
    <col min="8629" max="8631" width="10.44140625" style="2" customWidth="1"/>
    <col min="8632" max="8632" width="0" style="2" hidden="1" customWidth="1"/>
    <col min="8633" max="8633" width="10.21875" style="2" customWidth="1"/>
    <col min="8634" max="8635" width="0" style="2" hidden="1" customWidth="1"/>
    <col min="8636" max="8636" width="9.21875" style="2" customWidth="1"/>
    <col min="8637" max="8840" width="9.21875" style="2"/>
    <col min="8841" max="8841" width="5.6640625" style="2" customWidth="1"/>
    <col min="8842" max="8842" width="31.44140625" style="2" customWidth="1"/>
    <col min="8843" max="8847" width="9.21875" style="2" customWidth="1"/>
    <col min="8848" max="8849" width="0" style="2" hidden="1" customWidth="1"/>
    <col min="8850" max="8850" width="2.44140625" style="2" customWidth="1"/>
    <col min="8851" max="8851" width="6.21875" style="2" customWidth="1"/>
    <col min="8852" max="8852" width="32.6640625" style="2" customWidth="1"/>
    <col min="8853" max="8853" width="9.21875" style="2" customWidth="1"/>
    <col min="8854" max="8857" width="7.44140625" style="2" customWidth="1"/>
    <col min="8858" max="8859" width="0" style="2" hidden="1" customWidth="1"/>
    <col min="8860" max="8860" width="9.21875" style="2" customWidth="1"/>
    <col min="8861" max="8861" width="2.44140625" style="2" customWidth="1"/>
    <col min="8862" max="8868" width="2.77734375" style="2" customWidth="1"/>
    <col min="8869" max="8869" width="22.44140625" style="2" customWidth="1"/>
    <col min="8870" max="8872" width="9.21875" style="2" customWidth="1"/>
    <col min="8873" max="8873" width="0" style="2" hidden="1" customWidth="1"/>
    <col min="8874" max="8874" width="9.21875" style="2" customWidth="1"/>
    <col min="8875" max="8876" width="0" style="2" hidden="1" customWidth="1"/>
    <col min="8877" max="8883" width="2.77734375" style="2" customWidth="1"/>
    <col min="8884" max="8884" width="22.6640625" style="2" customWidth="1"/>
    <col min="8885" max="8887" width="10.44140625" style="2" customWidth="1"/>
    <col min="8888" max="8888" width="0" style="2" hidden="1" customWidth="1"/>
    <col min="8889" max="8889" width="10.21875" style="2" customWidth="1"/>
    <col min="8890" max="8891" width="0" style="2" hidden="1" customWidth="1"/>
    <col min="8892" max="8892" width="9.21875" style="2" customWidth="1"/>
    <col min="8893" max="9096" width="9.21875" style="2"/>
    <col min="9097" max="9097" width="5.6640625" style="2" customWidth="1"/>
    <col min="9098" max="9098" width="31.44140625" style="2" customWidth="1"/>
    <col min="9099" max="9103" width="9.21875" style="2" customWidth="1"/>
    <col min="9104" max="9105" width="0" style="2" hidden="1" customWidth="1"/>
    <col min="9106" max="9106" width="2.44140625" style="2" customWidth="1"/>
    <col min="9107" max="9107" width="6.21875" style="2" customWidth="1"/>
    <col min="9108" max="9108" width="32.6640625" style="2" customWidth="1"/>
    <col min="9109" max="9109" width="9.21875" style="2" customWidth="1"/>
    <col min="9110" max="9113" width="7.44140625" style="2" customWidth="1"/>
    <col min="9114" max="9115" width="0" style="2" hidden="1" customWidth="1"/>
    <col min="9116" max="9116" width="9.21875" style="2" customWidth="1"/>
    <col min="9117" max="9117" width="2.44140625" style="2" customWidth="1"/>
    <col min="9118" max="9124" width="2.77734375" style="2" customWidth="1"/>
    <col min="9125" max="9125" width="22.44140625" style="2" customWidth="1"/>
    <col min="9126" max="9128" width="9.21875" style="2" customWidth="1"/>
    <col min="9129" max="9129" width="0" style="2" hidden="1" customWidth="1"/>
    <col min="9130" max="9130" width="9.21875" style="2" customWidth="1"/>
    <col min="9131" max="9132" width="0" style="2" hidden="1" customWidth="1"/>
    <col min="9133" max="9139" width="2.77734375" style="2" customWidth="1"/>
    <col min="9140" max="9140" width="22.6640625" style="2" customWidth="1"/>
    <col min="9141" max="9143" width="10.44140625" style="2" customWidth="1"/>
    <col min="9144" max="9144" width="0" style="2" hidden="1" customWidth="1"/>
    <col min="9145" max="9145" width="10.21875" style="2" customWidth="1"/>
    <col min="9146" max="9147" width="0" style="2" hidden="1" customWidth="1"/>
    <col min="9148" max="9148" width="9.21875" style="2" customWidth="1"/>
    <col min="9149" max="9352" width="9.21875" style="2"/>
    <col min="9353" max="9353" width="5.6640625" style="2" customWidth="1"/>
    <col min="9354" max="9354" width="31.44140625" style="2" customWidth="1"/>
    <col min="9355" max="9359" width="9.21875" style="2" customWidth="1"/>
    <col min="9360" max="9361" width="0" style="2" hidden="1" customWidth="1"/>
    <col min="9362" max="9362" width="2.44140625" style="2" customWidth="1"/>
    <col min="9363" max="9363" width="6.21875" style="2" customWidth="1"/>
    <col min="9364" max="9364" width="32.6640625" style="2" customWidth="1"/>
    <col min="9365" max="9365" width="9.21875" style="2" customWidth="1"/>
    <col min="9366" max="9369" width="7.44140625" style="2" customWidth="1"/>
    <col min="9370" max="9371" width="0" style="2" hidden="1" customWidth="1"/>
    <col min="9372" max="9372" width="9.21875" style="2" customWidth="1"/>
    <col min="9373" max="9373" width="2.44140625" style="2" customWidth="1"/>
    <col min="9374" max="9380" width="2.77734375" style="2" customWidth="1"/>
    <col min="9381" max="9381" width="22.44140625" style="2" customWidth="1"/>
    <col min="9382" max="9384" width="9.21875" style="2" customWidth="1"/>
    <col min="9385" max="9385" width="0" style="2" hidden="1" customWidth="1"/>
    <col min="9386" max="9386" width="9.21875" style="2" customWidth="1"/>
    <col min="9387" max="9388" width="0" style="2" hidden="1" customWidth="1"/>
    <col min="9389" max="9395" width="2.77734375" style="2" customWidth="1"/>
    <col min="9396" max="9396" width="22.6640625" style="2" customWidth="1"/>
    <col min="9397" max="9399" width="10.44140625" style="2" customWidth="1"/>
    <col min="9400" max="9400" width="0" style="2" hidden="1" customWidth="1"/>
    <col min="9401" max="9401" width="10.21875" style="2" customWidth="1"/>
    <col min="9402" max="9403" width="0" style="2" hidden="1" customWidth="1"/>
    <col min="9404" max="9404" width="9.21875" style="2" customWidth="1"/>
    <col min="9405" max="9608" width="9.21875" style="2"/>
    <col min="9609" max="9609" width="5.6640625" style="2" customWidth="1"/>
    <col min="9610" max="9610" width="31.44140625" style="2" customWidth="1"/>
    <col min="9611" max="9615" width="9.21875" style="2" customWidth="1"/>
    <col min="9616" max="9617" width="0" style="2" hidden="1" customWidth="1"/>
    <col min="9618" max="9618" width="2.44140625" style="2" customWidth="1"/>
    <col min="9619" max="9619" width="6.21875" style="2" customWidth="1"/>
    <col min="9620" max="9620" width="32.6640625" style="2" customWidth="1"/>
    <col min="9621" max="9621" width="9.21875" style="2" customWidth="1"/>
    <col min="9622" max="9625" width="7.44140625" style="2" customWidth="1"/>
    <col min="9626" max="9627" width="0" style="2" hidden="1" customWidth="1"/>
    <col min="9628" max="9628" width="9.21875" style="2" customWidth="1"/>
    <col min="9629" max="9629" width="2.44140625" style="2" customWidth="1"/>
    <col min="9630" max="9636" width="2.77734375" style="2" customWidth="1"/>
    <col min="9637" max="9637" width="22.44140625" style="2" customWidth="1"/>
    <col min="9638" max="9640" width="9.21875" style="2" customWidth="1"/>
    <col min="9641" max="9641" width="0" style="2" hidden="1" customWidth="1"/>
    <col min="9642" max="9642" width="9.21875" style="2" customWidth="1"/>
    <col min="9643" max="9644" width="0" style="2" hidden="1" customWidth="1"/>
    <col min="9645" max="9651" width="2.77734375" style="2" customWidth="1"/>
    <col min="9652" max="9652" width="22.6640625" style="2" customWidth="1"/>
    <col min="9653" max="9655" width="10.44140625" style="2" customWidth="1"/>
    <col min="9656" max="9656" width="0" style="2" hidden="1" customWidth="1"/>
    <col min="9657" max="9657" width="10.21875" style="2" customWidth="1"/>
    <col min="9658" max="9659" width="0" style="2" hidden="1" customWidth="1"/>
    <col min="9660" max="9660" width="9.21875" style="2" customWidth="1"/>
    <col min="9661" max="9864" width="9.21875" style="2"/>
    <col min="9865" max="9865" width="5.6640625" style="2" customWidth="1"/>
    <col min="9866" max="9866" width="31.44140625" style="2" customWidth="1"/>
    <col min="9867" max="9871" width="9.21875" style="2" customWidth="1"/>
    <col min="9872" max="9873" width="0" style="2" hidden="1" customWidth="1"/>
    <col min="9874" max="9874" width="2.44140625" style="2" customWidth="1"/>
    <col min="9875" max="9875" width="6.21875" style="2" customWidth="1"/>
    <col min="9876" max="9876" width="32.6640625" style="2" customWidth="1"/>
    <col min="9877" max="9877" width="9.21875" style="2" customWidth="1"/>
    <col min="9878" max="9881" width="7.44140625" style="2" customWidth="1"/>
    <col min="9882" max="9883" width="0" style="2" hidden="1" customWidth="1"/>
    <col min="9884" max="9884" width="9.21875" style="2" customWidth="1"/>
    <col min="9885" max="9885" width="2.44140625" style="2" customWidth="1"/>
    <col min="9886" max="9892" width="2.77734375" style="2" customWidth="1"/>
    <col min="9893" max="9893" width="22.44140625" style="2" customWidth="1"/>
    <col min="9894" max="9896" width="9.21875" style="2" customWidth="1"/>
    <col min="9897" max="9897" width="0" style="2" hidden="1" customWidth="1"/>
    <col min="9898" max="9898" width="9.21875" style="2" customWidth="1"/>
    <col min="9899" max="9900" width="0" style="2" hidden="1" customWidth="1"/>
    <col min="9901" max="9907" width="2.77734375" style="2" customWidth="1"/>
    <col min="9908" max="9908" width="22.6640625" style="2" customWidth="1"/>
    <col min="9909" max="9911" width="10.44140625" style="2" customWidth="1"/>
    <col min="9912" max="9912" width="0" style="2" hidden="1" customWidth="1"/>
    <col min="9913" max="9913" width="10.21875" style="2" customWidth="1"/>
    <col min="9914" max="9915" width="0" style="2" hidden="1" customWidth="1"/>
    <col min="9916" max="9916" width="9.21875" style="2" customWidth="1"/>
    <col min="9917" max="10120" width="9.21875" style="2"/>
    <col min="10121" max="10121" width="5.6640625" style="2" customWidth="1"/>
    <col min="10122" max="10122" width="31.44140625" style="2" customWidth="1"/>
    <col min="10123" max="10127" width="9.21875" style="2" customWidth="1"/>
    <col min="10128" max="10129" width="0" style="2" hidden="1" customWidth="1"/>
    <col min="10130" max="10130" width="2.44140625" style="2" customWidth="1"/>
    <col min="10131" max="10131" width="6.21875" style="2" customWidth="1"/>
    <col min="10132" max="10132" width="32.6640625" style="2" customWidth="1"/>
    <col min="10133" max="10133" width="9.21875" style="2" customWidth="1"/>
    <col min="10134" max="10137" width="7.44140625" style="2" customWidth="1"/>
    <col min="10138" max="10139" width="0" style="2" hidden="1" customWidth="1"/>
    <col min="10140" max="10140" width="9.21875" style="2" customWidth="1"/>
    <col min="10141" max="10141" width="2.44140625" style="2" customWidth="1"/>
    <col min="10142" max="10148" width="2.77734375" style="2" customWidth="1"/>
    <col min="10149" max="10149" width="22.44140625" style="2" customWidth="1"/>
    <col min="10150" max="10152" width="9.21875" style="2" customWidth="1"/>
    <col min="10153" max="10153" width="0" style="2" hidden="1" customWidth="1"/>
    <col min="10154" max="10154" width="9.21875" style="2" customWidth="1"/>
    <col min="10155" max="10156" width="0" style="2" hidden="1" customWidth="1"/>
    <col min="10157" max="10163" width="2.77734375" style="2" customWidth="1"/>
    <col min="10164" max="10164" width="22.6640625" style="2" customWidth="1"/>
    <col min="10165" max="10167" width="10.44140625" style="2" customWidth="1"/>
    <col min="10168" max="10168" width="0" style="2" hidden="1" customWidth="1"/>
    <col min="10169" max="10169" width="10.21875" style="2" customWidth="1"/>
    <col min="10170" max="10171" width="0" style="2" hidden="1" customWidth="1"/>
    <col min="10172" max="10172" width="9.21875" style="2" customWidth="1"/>
    <col min="10173" max="10376" width="9.21875" style="2"/>
    <col min="10377" max="10377" width="5.6640625" style="2" customWidth="1"/>
    <col min="10378" max="10378" width="31.44140625" style="2" customWidth="1"/>
    <col min="10379" max="10383" width="9.21875" style="2" customWidth="1"/>
    <col min="10384" max="10385" width="0" style="2" hidden="1" customWidth="1"/>
    <col min="10386" max="10386" width="2.44140625" style="2" customWidth="1"/>
    <col min="10387" max="10387" width="6.21875" style="2" customWidth="1"/>
    <col min="10388" max="10388" width="32.6640625" style="2" customWidth="1"/>
    <col min="10389" max="10389" width="9.21875" style="2" customWidth="1"/>
    <col min="10390" max="10393" width="7.44140625" style="2" customWidth="1"/>
    <col min="10394" max="10395" width="0" style="2" hidden="1" customWidth="1"/>
    <col min="10396" max="10396" width="9.21875" style="2" customWidth="1"/>
    <col min="10397" max="10397" width="2.44140625" style="2" customWidth="1"/>
    <col min="10398" max="10404" width="2.77734375" style="2" customWidth="1"/>
    <col min="10405" max="10405" width="22.44140625" style="2" customWidth="1"/>
    <col min="10406" max="10408" width="9.21875" style="2" customWidth="1"/>
    <col min="10409" max="10409" width="0" style="2" hidden="1" customWidth="1"/>
    <col min="10410" max="10410" width="9.21875" style="2" customWidth="1"/>
    <col min="10411" max="10412" width="0" style="2" hidden="1" customWidth="1"/>
    <col min="10413" max="10419" width="2.77734375" style="2" customWidth="1"/>
    <col min="10420" max="10420" width="22.6640625" style="2" customWidth="1"/>
    <col min="10421" max="10423" width="10.44140625" style="2" customWidth="1"/>
    <col min="10424" max="10424" width="0" style="2" hidden="1" customWidth="1"/>
    <col min="10425" max="10425" width="10.21875" style="2" customWidth="1"/>
    <col min="10426" max="10427" width="0" style="2" hidden="1" customWidth="1"/>
    <col min="10428" max="10428" width="9.21875" style="2" customWidth="1"/>
    <col min="10429" max="10632" width="9.21875" style="2"/>
    <col min="10633" max="10633" width="5.6640625" style="2" customWidth="1"/>
    <col min="10634" max="10634" width="31.44140625" style="2" customWidth="1"/>
    <col min="10635" max="10639" width="9.21875" style="2" customWidth="1"/>
    <col min="10640" max="10641" width="0" style="2" hidden="1" customWidth="1"/>
    <col min="10642" max="10642" width="2.44140625" style="2" customWidth="1"/>
    <col min="10643" max="10643" width="6.21875" style="2" customWidth="1"/>
    <col min="10644" max="10644" width="32.6640625" style="2" customWidth="1"/>
    <col min="10645" max="10645" width="9.21875" style="2" customWidth="1"/>
    <col min="10646" max="10649" width="7.44140625" style="2" customWidth="1"/>
    <col min="10650" max="10651" width="0" style="2" hidden="1" customWidth="1"/>
    <col min="10652" max="10652" width="9.21875" style="2" customWidth="1"/>
    <col min="10653" max="10653" width="2.44140625" style="2" customWidth="1"/>
    <col min="10654" max="10660" width="2.77734375" style="2" customWidth="1"/>
    <col min="10661" max="10661" width="22.44140625" style="2" customWidth="1"/>
    <col min="10662" max="10664" width="9.21875" style="2" customWidth="1"/>
    <col min="10665" max="10665" width="0" style="2" hidden="1" customWidth="1"/>
    <col min="10666" max="10666" width="9.21875" style="2" customWidth="1"/>
    <col min="10667" max="10668" width="0" style="2" hidden="1" customWidth="1"/>
    <col min="10669" max="10675" width="2.77734375" style="2" customWidth="1"/>
    <col min="10676" max="10676" width="22.6640625" style="2" customWidth="1"/>
    <col min="10677" max="10679" width="10.44140625" style="2" customWidth="1"/>
    <col min="10680" max="10680" width="0" style="2" hidden="1" customWidth="1"/>
    <col min="10681" max="10681" width="10.21875" style="2" customWidth="1"/>
    <col min="10682" max="10683" width="0" style="2" hidden="1" customWidth="1"/>
    <col min="10684" max="10684" width="9.21875" style="2" customWidth="1"/>
    <col min="10685" max="10888" width="9.21875" style="2"/>
    <col min="10889" max="10889" width="5.6640625" style="2" customWidth="1"/>
    <col min="10890" max="10890" width="31.44140625" style="2" customWidth="1"/>
    <col min="10891" max="10895" width="9.21875" style="2" customWidth="1"/>
    <col min="10896" max="10897" width="0" style="2" hidden="1" customWidth="1"/>
    <col min="10898" max="10898" width="2.44140625" style="2" customWidth="1"/>
    <col min="10899" max="10899" width="6.21875" style="2" customWidth="1"/>
    <col min="10900" max="10900" width="32.6640625" style="2" customWidth="1"/>
    <col min="10901" max="10901" width="9.21875" style="2" customWidth="1"/>
    <col min="10902" max="10905" width="7.44140625" style="2" customWidth="1"/>
    <col min="10906" max="10907" width="0" style="2" hidden="1" customWidth="1"/>
    <col min="10908" max="10908" width="9.21875" style="2" customWidth="1"/>
    <col min="10909" max="10909" width="2.44140625" style="2" customWidth="1"/>
    <col min="10910" max="10916" width="2.77734375" style="2" customWidth="1"/>
    <col min="10917" max="10917" width="22.44140625" style="2" customWidth="1"/>
    <col min="10918" max="10920" width="9.21875" style="2" customWidth="1"/>
    <col min="10921" max="10921" width="0" style="2" hidden="1" customWidth="1"/>
    <col min="10922" max="10922" width="9.21875" style="2" customWidth="1"/>
    <col min="10923" max="10924" width="0" style="2" hidden="1" customWidth="1"/>
    <col min="10925" max="10931" width="2.77734375" style="2" customWidth="1"/>
    <col min="10932" max="10932" width="22.6640625" style="2" customWidth="1"/>
    <col min="10933" max="10935" width="10.44140625" style="2" customWidth="1"/>
    <col min="10936" max="10936" width="0" style="2" hidden="1" customWidth="1"/>
    <col min="10937" max="10937" width="10.21875" style="2" customWidth="1"/>
    <col min="10938" max="10939" width="0" style="2" hidden="1" customWidth="1"/>
    <col min="10940" max="10940" width="9.21875" style="2" customWidth="1"/>
    <col min="10941" max="11144" width="9.21875" style="2"/>
    <col min="11145" max="11145" width="5.6640625" style="2" customWidth="1"/>
    <col min="11146" max="11146" width="31.44140625" style="2" customWidth="1"/>
    <col min="11147" max="11151" width="9.21875" style="2" customWidth="1"/>
    <col min="11152" max="11153" width="0" style="2" hidden="1" customWidth="1"/>
    <col min="11154" max="11154" width="2.44140625" style="2" customWidth="1"/>
    <col min="11155" max="11155" width="6.21875" style="2" customWidth="1"/>
    <col min="11156" max="11156" width="32.6640625" style="2" customWidth="1"/>
    <col min="11157" max="11157" width="9.21875" style="2" customWidth="1"/>
    <col min="11158" max="11161" width="7.44140625" style="2" customWidth="1"/>
    <col min="11162" max="11163" width="0" style="2" hidden="1" customWidth="1"/>
    <col min="11164" max="11164" width="9.21875" style="2" customWidth="1"/>
    <col min="11165" max="11165" width="2.44140625" style="2" customWidth="1"/>
    <col min="11166" max="11172" width="2.77734375" style="2" customWidth="1"/>
    <col min="11173" max="11173" width="22.44140625" style="2" customWidth="1"/>
    <col min="11174" max="11176" width="9.21875" style="2" customWidth="1"/>
    <col min="11177" max="11177" width="0" style="2" hidden="1" customWidth="1"/>
    <col min="11178" max="11178" width="9.21875" style="2" customWidth="1"/>
    <col min="11179" max="11180" width="0" style="2" hidden="1" customWidth="1"/>
    <col min="11181" max="11187" width="2.77734375" style="2" customWidth="1"/>
    <col min="11188" max="11188" width="22.6640625" style="2" customWidth="1"/>
    <col min="11189" max="11191" width="10.44140625" style="2" customWidth="1"/>
    <col min="11192" max="11192" width="0" style="2" hidden="1" customWidth="1"/>
    <col min="11193" max="11193" width="10.21875" style="2" customWidth="1"/>
    <col min="11194" max="11195" width="0" style="2" hidden="1" customWidth="1"/>
    <col min="11196" max="11196" width="9.21875" style="2" customWidth="1"/>
    <col min="11197" max="11400" width="9.21875" style="2"/>
    <col min="11401" max="11401" width="5.6640625" style="2" customWidth="1"/>
    <col min="11402" max="11402" width="31.44140625" style="2" customWidth="1"/>
    <col min="11403" max="11407" width="9.21875" style="2" customWidth="1"/>
    <col min="11408" max="11409" width="0" style="2" hidden="1" customWidth="1"/>
    <col min="11410" max="11410" width="2.44140625" style="2" customWidth="1"/>
    <col min="11411" max="11411" width="6.21875" style="2" customWidth="1"/>
    <col min="11412" max="11412" width="32.6640625" style="2" customWidth="1"/>
    <col min="11413" max="11413" width="9.21875" style="2" customWidth="1"/>
    <col min="11414" max="11417" width="7.44140625" style="2" customWidth="1"/>
    <col min="11418" max="11419" width="0" style="2" hidden="1" customWidth="1"/>
    <col min="11420" max="11420" width="9.21875" style="2" customWidth="1"/>
    <col min="11421" max="11421" width="2.44140625" style="2" customWidth="1"/>
    <col min="11422" max="11428" width="2.77734375" style="2" customWidth="1"/>
    <col min="11429" max="11429" width="22.44140625" style="2" customWidth="1"/>
    <col min="11430" max="11432" width="9.21875" style="2" customWidth="1"/>
    <col min="11433" max="11433" width="0" style="2" hidden="1" customWidth="1"/>
    <col min="11434" max="11434" width="9.21875" style="2" customWidth="1"/>
    <col min="11435" max="11436" width="0" style="2" hidden="1" customWidth="1"/>
    <col min="11437" max="11443" width="2.77734375" style="2" customWidth="1"/>
    <col min="11444" max="11444" width="22.6640625" style="2" customWidth="1"/>
    <col min="11445" max="11447" width="10.44140625" style="2" customWidth="1"/>
    <col min="11448" max="11448" width="0" style="2" hidden="1" customWidth="1"/>
    <col min="11449" max="11449" width="10.21875" style="2" customWidth="1"/>
    <col min="11450" max="11451" width="0" style="2" hidden="1" customWidth="1"/>
    <col min="11452" max="11452" width="9.21875" style="2" customWidth="1"/>
    <col min="11453" max="11656" width="9.21875" style="2"/>
    <col min="11657" max="11657" width="5.6640625" style="2" customWidth="1"/>
    <col min="11658" max="11658" width="31.44140625" style="2" customWidth="1"/>
    <col min="11659" max="11663" width="9.21875" style="2" customWidth="1"/>
    <col min="11664" max="11665" width="0" style="2" hidden="1" customWidth="1"/>
    <col min="11666" max="11666" width="2.44140625" style="2" customWidth="1"/>
    <col min="11667" max="11667" width="6.21875" style="2" customWidth="1"/>
    <col min="11668" max="11668" width="32.6640625" style="2" customWidth="1"/>
    <col min="11669" max="11669" width="9.21875" style="2" customWidth="1"/>
    <col min="11670" max="11673" width="7.44140625" style="2" customWidth="1"/>
    <col min="11674" max="11675" width="0" style="2" hidden="1" customWidth="1"/>
    <col min="11676" max="11676" width="9.21875" style="2" customWidth="1"/>
    <col min="11677" max="11677" width="2.44140625" style="2" customWidth="1"/>
    <col min="11678" max="11684" width="2.77734375" style="2" customWidth="1"/>
    <col min="11685" max="11685" width="22.44140625" style="2" customWidth="1"/>
    <col min="11686" max="11688" width="9.21875" style="2" customWidth="1"/>
    <col min="11689" max="11689" width="0" style="2" hidden="1" customWidth="1"/>
    <col min="11690" max="11690" width="9.21875" style="2" customWidth="1"/>
    <col min="11691" max="11692" width="0" style="2" hidden="1" customWidth="1"/>
    <col min="11693" max="11699" width="2.77734375" style="2" customWidth="1"/>
    <col min="11700" max="11700" width="22.6640625" style="2" customWidth="1"/>
    <col min="11701" max="11703" width="10.44140625" style="2" customWidth="1"/>
    <col min="11704" max="11704" width="0" style="2" hidden="1" customWidth="1"/>
    <col min="11705" max="11705" width="10.21875" style="2" customWidth="1"/>
    <col min="11706" max="11707" width="0" style="2" hidden="1" customWidth="1"/>
    <col min="11708" max="11708" width="9.21875" style="2" customWidth="1"/>
    <col min="11709" max="11912" width="9.21875" style="2"/>
    <col min="11913" max="11913" width="5.6640625" style="2" customWidth="1"/>
    <col min="11914" max="11914" width="31.44140625" style="2" customWidth="1"/>
    <col min="11915" max="11919" width="9.21875" style="2" customWidth="1"/>
    <col min="11920" max="11921" width="0" style="2" hidden="1" customWidth="1"/>
    <col min="11922" max="11922" width="2.44140625" style="2" customWidth="1"/>
    <col min="11923" max="11923" width="6.21875" style="2" customWidth="1"/>
    <col min="11924" max="11924" width="32.6640625" style="2" customWidth="1"/>
    <col min="11925" max="11925" width="9.21875" style="2" customWidth="1"/>
    <col min="11926" max="11929" width="7.44140625" style="2" customWidth="1"/>
    <col min="11930" max="11931" width="0" style="2" hidden="1" customWidth="1"/>
    <col min="11932" max="11932" width="9.21875" style="2" customWidth="1"/>
    <col min="11933" max="11933" width="2.44140625" style="2" customWidth="1"/>
    <col min="11934" max="11940" width="2.77734375" style="2" customWidth="1"/>
    <col min="11941" max="11941" width="22.44140625" style="2" customWidth="1"/>
    <col min="11942" max="11944" width="9.21875" style="2" customWidth="1"/>
    <col min="11945" max="11945" width="0" style="2" hidden="1" customWidth="1"/>
    <col min="11946" max="11946" width="9.21875" style="2" customWidth="1"/>
    <col min="11947" max="11948" width="0" style="2" hidden="1" customWidth="1"/>
    <col min="11949" max="11955" width="2.77734375" style="2" customWidth="1"/>
    <col min="11956" max="11956" width="22.6640625" style="2" customWidth="1"/>
    <col min="11957" max="11959" width="10.44140625" style="2" customWidth="1"/>
    <col min="11960" max="11960" width="0" style="2" hidden="1" customWidth="1"/>
    <col min="11961" max="11961" width="10.21875" style="2" customWidth="1"/>
    <col min="11962" max="11963" width="0" style="2" hidden="1" customWidth="1"/>
    <col min="11964" max="11964" width="9.21875" style="2" customWidth="1"/>
    <col min="11965" max="12168" width="9.21875" style="2"/>
    <col min="12169" max="12169" width="5.6640625" style="2" customWidth="1"/>
    <col min="12170" max="12170" width="31.44140625" style="2" customWidth="1"/>
    <col min="12171" max="12175" width="9.21875" style="2" customWidth="1"/>
    <col min="12176" max="12177" width="0" style="2" hidden="1" customWidth="1"/>
    <col min="12178" max="12178" width="2.44140625" style="2" customWidth="1"/>
    <col min="12179" max="12179" width="6.21875" style="2" customWidth="1"/>
    <col min="12180" max="12180" width="32.6640625" style="2" customWidth="1"/>
    <col min="12181" max="12181" width="9.21875" style="2" customWidth="1"/>
    <col min="12182" max="12185" width="7.44140625" style="2" customWidth="1"/>
    <col min="12186" max="12187" width="0" style="2" hidden="1" customWidth="1"/>
    <col min="12188" max="12188" width="9.21875" style="2" customWidth="1"/>
    <col min="12189" max="12189" width="2.44140625" style="2" customWidth="1"/>
    <col min="12190" max="12196" width="2.77734375" style="2" customWidth="1"/>
    <col min="12197" max="12197" width="22.44140625" style="2" customWidth="1"/>
    <col min="12198" max="12200" width="9.21875" style="2" customWidth="1"/>
    <col min="12201" max="12201" width="0" style="2" hidden="1" customWidth="1"/>
    <col min="12202" max="12202" width="9.21875" style="2" customWidth="1"/>
    <col min="12203" max="12204" width="0" style="2" hidden="1" customWidth="1"/>
    <col min="12205" max="12211" width="2.77734375" style="2" customWidth="1"/>
    <col min="12212" max="12212" width="22.6640625" style="2" customWidth="1"/>
    <col min="12213" max="12215" width="10.44140625" style="2" customWidth="1"/>
    <col min="12216" max="12216" width="0" style="2" hidden="1" customWidth="1"/>
    <col min="12217" max="12217" width="10.21875" style="2" customWidth="1"/>
    <col min="12218" max="12219" width="0" style="2" hidden="1" customWidth="1"/>
    <col min="12220" max="12220" width="9.21875" style="2" customWidth="1"/>
    <col min="12221" max="12424" width="9.21875" style="2"/>
    <col min="12425" max="12425" width="5.6640625" style="2" customWidth="1"/>
    <col min="12426" max="12426" width="31.44140625" style="2" customWidth="1"/>
    <col min="12427" max="12431" width="9.21875" style="2" customWidth="1"/>
    <col min="12432" max="12433" width="0" style="2" hidden="1" customWidth="1"/>
    <col min="12434" max="12434" width="2.44140625" style="2" customWidth="1"/>
    <col min="12435" max="12435" width="6.21875" style="2" customWidth="1"/>
    <col min="12436" max="12436" width="32.6640625" style="2" customWidth="1"/>
    <col min="12437" max="12437" width="9.21875" style="2" customWidth="1"/>
    <col min="12438" max="12441" width="7.44140625" style="2" customWidth="1"/>
    <col min="12442" max="12443" width="0" style="2" hidden="1" customWidth="1"/>
    <col min="12444" max="12444" width="9.21875" style="2" customWidth="1"/>
    <col min="12445" max="12445" width="2.44140625" style="2" customWidth="1"/>
    <col min="12446" max="12452" width="2.77734375" style="2" customWidth="1"/>
    <col min="12453" max="12453" width="22.44140625" style="2" customWidth="1"/>
    <col min="12454" max="12456" width="9.21875" style="2" customWidth="1"/>
    <col min="12457" max="12457" width="0" style="2" hidden="1" customWidth="1"/>
    <col min="12458" max="12458" width="9.21875" style="2" customWidth="1"/>
    <col min="12459" max="12460" width="0" style="2" hidden="1" customWidth="1"/>
    <col min="12461" max="12467" width="2.77734375" style="2" customWidth="1"/>
    <col min="12468" max="12468" width="22.6640625" style="2" customWidth="1"/>
    <col min="12469" max="12471" width="10.44140625" style="2" customWidth="1"/>
    <col min="12472" max="12472" width="0" style="2" hidden="1" customWidth="1"/>
    <col min="12473" max="12473" width="10.21875" style="2" customWidth="1"/>
    <col min="12474" max="12475" width="0" style="2" hidden="1" customWidth="1"/>
    <col min="12476" max="12476" width="9.21875" style="2" customWidth="1"/>
    <col min="12477" max="12680" width="9.21875" style="2"/>
    <col min="12681" max="12681" width="5.6640625" style="2" customWidth="1"/>
    <col min="12682" max="12682" width="31.44140625" style="2" customWidth="1"/>
    <col min="12683" max="12687" width="9.21875" style="2" customWidth="1"/>
    <col min="12688" max="12689" width="0" style="2" hidden="1" customWidth="1"/>
    <col min="12690" max="12690" width="2.44140625" style="2" customWidth="1"/>
    <col min="12691" max="12691" width="6.21875" style="2" customWidth="1"/>
    <col min="12692" max="12692" width="32.6640625" style="2" customWidth="1"/>
    <col min="12693" max="12693" width="9.21875" style="2" customWidth="1"/>
    <col min="12694" max="12697" width="7.44140625" style="2" customWidth="1"/>
    <col min="12698" max="12699" width="0" style="2" hidden="1" customWidth="1"/>
    <col min="12700" max="12700" width="9.21875" style="2" customWidth="1"/>
    <col min="12701" max="12701" width="2.44140625" style="2" customWidth="1"/>
    <col min="12702" max="12708" width="2.77734375" style="2" customWidth="1"/>
    <col min="12709" max="12709" width="22.44140625" style="2" customWidth="1"/>
    <col min="12710" max="12712" width="9.21875" style="2" customWidth="1"/>
    <col min="12713" max="12713" width="0" style="2" hidden="1" customWidth="1"/>
    <col min="12714" max="12714" width="9.21875" style="2" customWidth="1"/>
    <col min="12715" max="12716" width="0" style="2" hidden="1" customWidth="1"/>
    <col min="12717" max="12723" width="2.77734375" style="2" customWidth="1"/>
    <col min="12724" max="12724" width="22.6640625" style="2" customWidth="1"/>
    <col min="12725" max="12727" width="10.44140625" style="2" customWidth="1"/>
    <col min="12728" max="12728" width="0" style="2" hidden="1" customWidth="1"/>
    <col min="12729" max="12729" width="10.21875" style="2" customWidth="1"/>
    <col min="12730" max="12731" width="0" style="2" hidden="1" customWidth="1"/>
    <col min="12732" max="12732" width="9.21875" style="2" customWidth="1"/>
    <col min="12733" max="12936" width="9.21875" style="2"/>
    <col min="12937" max="12937" width="5.6640625" style="2" customWidth="1"/>
    <col min="12938" max="12938" width="31.44140625" style="2" customWidth="1"/>
    <col min="12939" max="12943" width="9.21875" style="2" customWidth="1"/>
    <col min="12944" max="12945" width="0" style="2" hidden="1" customWidth="1"/>
    <col min="12946" max="12946" width="2.44140625" style="2" customWidth="1"/>
    <col min="12947" max="12947" width="6.21875" style="2" customWidth="1"/>
    <col min="12948" max="12948" width="32.6640625" style="2" customWidth="1"/>
    <col min="12949" max="12949" width="9.21875" style="2" customWidth="1"/>
    <col min="12950" max="12953" width="7.44140625" style="2" customWidth="1"/>
    <col min="12954" max="12955" width="0" style="2" hidden="1" customWidth="1"/>
    <col min="12956" max="12956" width="9.21875" style="2" customWidth="1"/>
    <col min="12957" max="12957" width="2.44140625" style="2" customWidth="1"/>
    <col min="12958" max="12964" width="2.77734375" style="2" customWidth="1"/>
    <col min="12965" max="12965" width="22.44140625" style="2" customWidth="1"/>
    <col min="12966" max="12968" width="9.21875" style="2" customWidth="1"/>
    <col min="12969" max="12969" width="0" style="2" hidden="1" customWidth="1"/>
    <col min="12970" max="12970" width="9.21875" style="2" customWidth="1"/>
    <col min="12971" max="12972" width="0" style="2" hidden="1" customWidth="1"/>
    <col min="12973" max="12979" width="2.77734375" style="2" customWidth="1"/>
    <col min="12980" max="12980" width="22.6640625" style="2" customWidth="1"/>
    <col min="12981" max="12983" width="10.44140625" style="2" customWidth="1"/>
    <col min="12984" max="12984" width="0" style="2" hidden="1" customWidth="1"/>
    <col min="12985" max="12985" width="10.21875" style="2" customWidth="1"/>
    <col min="12986" max="12987" width="0" style="2" hidden="1" customWidth="1"/>
    <col min="12988" max="12988" width="9.21875" style="2" customWidth="1"/>
    <col min="12989" max="13192" width="9.21875" style="2"/>
    <col min="13193" max="13193" width="5.6640625" style="2" customWidth="1"/>
    <col min="13194" max="13194" width="31.44140625" style="2" customWidth="1"/>
    <col min="13195" max="13199" width="9.21875" style="2" customWidth="1"/>
    <col min="13200" max="13201" width="0" style="2" hidden="1" customWidth="1"/>
    <col min="13202" max="13202" width="2.44140625" style="2" customWidth="1"/>
    <col min="13203" max="13203" width="6.21875" style="2" customWidth="1"/>
    <col min="13204" max="13204" width="32.6640625" style="2" customWidth="1"/>
    <col min="13205" max="13205" width="9.21875" style="2" customWidth="1"/>
    <col min="13206" max="13209" width="7.44140625" style="2" customWidth="1"/>
    <col min="13210" max="13211" width="0" style="2" hidden="1" customWidth="1"/>
    <col min="13212" max="13212" width="9.21875" style="2" customWidth="1"/>
    <col min="13213" max="13213" width="2.44140625" style="2" customWidth="1"/>
    <col min="13214" max="13220" width="2.77734375" style="2" customWidth="1"/>
    <col min="13221" max="13221" width="22.44140625" style="2" customWidth="1"/>
    <col min="13222" max="13224" width="9.21875" style="2" customWidth="1"/>
    <col min="13225" max="13225" width="0" style="2" hidden="1" customWidth="1"/>
    <col min="13226" max="13226" width="9.21875" style="2" customWidth="1"/>
    <col min="13227" max="13228" width="0" style="2" hidden="1" customWidth="1"/>
    <col min="13229" max="13235" width="2.77734375" style="2" customWidth="1"/>
    <col min="13236" max="13236" width="22.6640625" style="2" customWidth="1"/>
    <col min="13237" max="13239" width="10.44140625" style="2" customWidth="1"/>
    <col min="13240" max="13240" width="0" style="2" hidden="1" customWidth="1"/>
    <col min="13241" max="13241" width="10.21875" style="2" customWidth="1"/>
    <col min="13242" max="13243" width="0" style="2" hidden="1" customWidth="1"/>
    <col min="13244" max="13244" width="9.21875" style="2" customWidth="1"/>
    <col min="13245" max="13448" width="9.21875" style="2"/>
    <col min="13449" max="13449" width="5.6640625" style="2" customWidth="1"/>
    <col min="13450" max="13450" width="31.44140625" style="2" customWidth="1"/>
    <col min="13451" max="13455" width="9.21875" style="2" customWidth="1"/>
    <col min="13456" max="13457" width="0" style="2" hidden="1" customWidth="1"/>
    <col min="13458" max="13458" width="2.44140625" style="2" customWidth="1"/>
    <col min="13459" max="13459" width="6.21875" style="2" customWidth="1"/>
    <col min="13460" max="13460" width="32.6640625" style="2" customWidth="1"/>
    <col min="13461" max="13461" width="9.21875" style="2" customWidth="1"/>
    <col min="13462" max="13465" width="7.44140625" style="2" customWidth="1"/>
    <col min="13466" max="13467" width="0" style="2" hidden="1" customWidth="1"/>
    <col min="13468" max="13468" width="9.21875" style="2" customWidth="1"/>
    <col min="13469" max="13469" width="2.44140625" style="2" customWidth="1"/>
    <col min="13470" max="13476" width="2.77734375" style="2" customWidth="1"/>
    <col min="13477" max="13477" width="22.44140625" style="2" customWidth="1"/>
    <col min="13478" max="13480" width="9.21875" style="2" customWidth="1"/>
    <col min="13481" max="13481" width="0" style="2" hidden="1" customWidth="1"/>
    <col min="13482" max="13482" width="9.21875" style="2" customWidth="1"/>
    <col min="13483" max="13484" width="0" style="2" hidden="1" customWidth="1"/>
    <col min="13485" max="13491" width="2.77734375" style="2" customWidth="1"/>
    <col min="13492" max="13492" width="22.6640625" style="2" customWidth="1"/>
    <col min="13493" max="13495" width="10.44140625" style="2" customWidth="1"/>
    <col min="13496" max="13496" width="0" style="2" hidden="1" customWidth="1"/>
    <col min="13497" max="13497" width="10.21875" style="2" customWidth="1"/>
    <col min="13498" max="13499" width="0" style="2" hidden="1" customWidth="1"/>
    <col min="13500" max="13500" width="9.21875" style="2" customWidth="1"/>
    <col min="13501" max="13704" width="9.21875" style="2"/>
    <col min="13705" max="13705" width="5.6640625" style="2" customWidth="1"/>
    <col min="13706" max="13706" width="31.44140625" style="2" customWidth="1"/>
    <col min="13707" max="13711" width="9.21875" style="2" customWidth="1"/>
    <col min="13712" max="13713" width="0" style="2" hidden="1" customWidth="1"/>
    <col min="13714" max="13714" width="2.44140625" style="2" customWidth="1"/>
    <col min="13715" max="13715" width="6.21875" style="2" customWidth="1"/>
    <col min="13716" max="13716" width="32.6640625" style="2" customWidth="1"/>
    <col min="13717" max="13717" width="9.21875" style="2" customWidth="1"/>
    <col min="13718" max="13721" width="7.44140625" style="2" customWidth="1"/>
    <col min="13722" max="13723" width="0" style="2" hidden="1" customWidth="1"/>
    <col min="13724" max="13724" width="9.21875" style="2" customWidth="1"/>
    <col min="13725" max="13725" width="2.44140625" style="2" customWidth="1"/>
    <col min="13726" max="13732" width="2.77734375" style="2" customWidth="1"/>
    <col min="13733" max="13733" width="22.44140625" style="2" customWidth="1"/>
    <col min="13734" max="13736" width="9.21875" style="2" customWidth="1"/>
    <col min="13737" max="13737" width="0" style="2" hidden="1" customWidth="1"/>
    <col min="13738" max="13738" width="9.21875" style="2" customWidth="1"/>
    <col min="13739" max="13740" width="0" style="2" hidden="1" customWidth="1"/>
    <col min="13741" max="13747" width="2.77734375" style="2" customWidth="1"/>
    <col min="13748" max="13748" width="22.6640625" style="2" customWidth="1"/>
    <col min="13749" max="13751" width="10.44140625" style="2" customWidth="1"/>
    <col min="13752" max="13752" width="0" style="2" hidden="1" customWidth="1"/>
    <col min="13753" max="13753" width="10.21875" style="2" customWidth="1"/>
    <col min="13754" max="13755" width="0" style="2" hidden="1" customWidth="1"/>
    <col min="13756" max="13756" width="9.21875" style="2" customWidth="1"/>
    <col min="13757" max="13960" width="9.21875" style="2"/>
    <col min="13961" max="13961" width="5.6640625" style="2" customWidth="1"/>
    <col min="13962" max="13962" width="31.44140625" style="2" customWidth="1"/>
    <col min="13963" max="13967" width="9.21875" style="2" customWidth="1"/>
    <col min="13968" max="13969" width="0" style="2" hidden="1" customWidth="1"/>
    <col min="13970" max="13970" width="2.44140625" style="2" customWidth="1"/>
    <col min="13971" max="13971" width="6.21875" style="2" customWidth="1"/>
    <col min="13972" max="13972" width="32.6640625" style="2" customWidth="1"/>
    <col min="13973" max="13973" width="9.21875" style="2" customWidth="1"/>
    <col min="13974" max="13977" width="7.44140625" style="2" customWidth="1"/>
    <col min="13978" max="13979" width="0" style="2" hidden="1" customWidth="1"/>
    <col min="13980" max="13980" width="9.21875" style="2" customWidth="1"/>
    <col min="13981" max="13981" width="2.44140625" style="2" customWidth="1"/>
    <col min="13982" max="13988" width="2.77734375" style="2" customWidth="1"/>
    <col min="13989" max="13989" width="22.44140625" style="2" customWidth="1"/>
    <col min="13990" max="13992" width="9.21875" style="2" customWidth="1"/>
    <col min="13993" max="13993" width="0" style="2" hidden="1" customWidth="1"/>
    <col min="13994" max="13994" width="9.21875" style="2" customWidth="1"/>
    <col min="13995" max="13996" width="0" style="2" hidden="1" customWidth="1"/>
    <col min="13997" max="14003" width="2.77734375" style="2" customWidth="1"/>
    <col min="14004" max="14004" width="22.6640625" style="2" customWidth="1"/>
    <col min="14005" max="14007" width="10.44140625" style="2" customWidth="1"/>
    <col min="14008" max="14008" width="0" style="2" hidden="1" customWidth="1"/>
    <col min="14009" max="14009" width="10.21875" style="2" customWidth="1"/>
    <col min="14010" max="14011" width="0" style="2" hidden="1" customWidth="1"/>
    <col min="14012" max="14012" width="9.21875" style="2" customWidth="1"/>
    <col min="14013" max="14216" width="9.21875" style="2"/>
    <col min="14217" max="14217" width="5.6640625" style="2" customWidth="1"/>
    <col min="14218" max="14218" width="31.44140625" style="2" customWidth="1"/>
    <col min="14219" max="14223" width="9.21875" style="2" customWidth="1"/>
    <col min="14224" max="14225" width="0" style="2" hidden="1" customWidth="1"/>
    <col min="14226" max="14226" width="2.44140625" style="2" customWidth="1"/>
    <col min="14227" max="14227" width="6.21875" style="2" customWidth="1"/>
    <col min="14228" max="14228" width="32.6640625" style="2" customWidth="1"/>
    <col min="14229" max="14229" width="9.21875" style="2" customWidth="1"/>
    <col min="14230" max="14233" width="7.44140625" style="2" customWidth="1"/>
    <col min="14234" max="14235" width="0" style="2" hidden="1" customWidth="1"/>
    <col min="14236" max="14236" width="9.21875" style="2" customWidth="1"/>
    <col min="14237" max="14237" width="2.44140625" style="2" customWidth="1"/>
    <col min="14238" max="14244" width="2.77734375" style="2" customWidth="1"/>
    <col min="14245" max="14245" width="22.44140625" style="2" customWidth="1"/>
    <col min="14246" max="14248" width="9.21875" style="2" customWidth="1"/>
    <col min="14249" max="14249" width="0" style="2" hidden="1" customWidth="1"/>
    <col min="14250" max="14250" width="9.21875" style="2" customWidth="1"/>
    <col min="14251" max="14252" width="0" style="2" hidden="1" customWidth="1"/>
    <col min="14253" max="14259" width="2.77734375" style="2" customWidth="1"/>
    <col min="14260" max="14260" width="22.6640625" style="2" customWidth="1"/>
    <col min="14261" max="14263" width="10.44140625" style="2" customWidth="1"/>
    <col min="14264" max="14264" width="0" style="2" hidden="1" customWidth="1"/>
    <col min="14265" max="14265" width="10.21875" style="2" customWidth="1"/>
    <col min="14266" max="14267" width="0" style="2" hidden="1" customWidth="1"/>
    <col min="14268" max="14268" width="9.21875" style="2" customWidth="1"/>
    <col min="14269" max="14472" width="9.21875" style="2"/>
    <col min="14473" max="14473" width="5.6640625" style="2" customWidth="1"/>
    <col min="14474" max="14474" width="31.44140625" style="2" customWidth="1"/>
    <col min="14475" max="14479" width="9.21875" style="2" customWidth="1"/>
    <col min="14480" max="14481" width="0" style="2" hidden="1" customWidth="1"/>
    <col min="14482" max="14482" width="2.44140625" style="2" customWidth="1"/>
    <col min="14483" max="14483" width="6.21875" style="2" customWidth="1"/>
    <col min="14484" max="14484" width="32.6640625" style="2" customWidth="1"/>
    <col min="14485" max="14485" width="9.21875" style="2" customWidth="1"/>
    <col min="14486" max="14489" width="7.44140625" style="2" customWidth="1"/>
    <col min="14490" max="14491" width="0" style="2" hidden="1" customWidth="1"/>
    <col min="14492" max="14492" width="9.21875" style="2" customWidth="1"/>
    <col min="14493" max="14493" width="2.44140625" style="2" customWidth="1"/>
    <col min="14494" max="14500" width="2.77734375" style="2" customWidth="1"/>
    <col min="14501" max="14501" width="22.44140625" style="2" customWidth="1"/>
    <col min="14502" max="14504" width="9.21875" style="2" customWidth="1"/>
    <col min="14505" max="14505" width="0" style="2" hidden="1" customWidth="1"/>
    <col min="14506" max="14506" width="9.21875" style="2" customWidth="1"/>
    <col min="14507" max="14508" width="0" style="2" hidden="1" customWidth="1"/>
    <col min="14509" max="14515" width="2.77734375" style="2" customWidth="1"/>
    <col min="14516" max="14516" width="22.6640625" style="2" customWidth="1"/>
    <col min="14517" max="14519" width="10.44140625" style="2" customWidth="1"/>
    <col min="14520" max="14520" width="0" style="2" hidden="1" customWidth="1"/>
    <col min="14521" max="14521" width="10.21875" style="2" customWidth="1"/>
    <col min="14522" max="14523" width="0" style="2" hidden="1" customWidth="1"/>
    <col min="14524" max="14524" width="9.21875" style="2" customWidth="1"/>
    <col min="14525" max="14728" width="9.21875" style="2"/>
    <col min="14729" max="14729" width="5.6640625" style="2" customWidth="1"/>
    <col min="14730" max="14730" width="31.44140625" style="2" customWidth="1"/>
    <col min="14731" max="14735" width="9.21875" style="2" customWidth="1"/>
    <col min="14736" max="14737" width="0" style="2" hidden="1" customWidth="1"/>
    <col min="14738" max="14738" width="2.44140625" style="2" customWidth="1"/>
    <col min="14739" max="14739" width="6.21875" style="2" customWidth="1"/>
    <col min="14740" max="14740" width="32.6640625" style="2" customWidth="1"/>
    <col min="14741" max="14741" width="9.21875" style="2" customWidth="1"/>
    <col min="14742" max="14745" width="7.44140625" style="2" customWidth="1"/>
    <col min="14746" max="14747" width="0" style="2" hidden="1" customWidth="1"/>
    <col min="14748" max="14748" width="9.21875" style="2" customWidth="1"/>
    <col min="14749" max="14749" width="2.44140625" style="2" customWidth="1"/>
    <col min="14750" max="14756" width="2.77734375" style="2" customWidth="1"/>
    <col min="14757" max="14757" width="22.44140625" style="2" customWidth="1"/>
    <col min="14758" max="14760" width="9.21875" style="2" customWidth="1"/>
    <col min="14761" max="14761" width="0" style="2" hidden="1" customWidth="1"/>
    <col min="14762" max="14762" width="9.21875" style="2" customWidth="1"/>
    <col min="14763" max="14764" width="0" style="2" hidden="1" customWidth="1"/>
    <col min="14765" max="14771" width="2.77734375" style="2" customWidth="1"/>
    <col min="14772" max="14772" width="22.6640625" style="2" customWidth="1"/>
    <col min="14773" max="14775" width="10.44140625" style="2" customWidth="1"/>
    <col min="14776" max="14776" width="0" style="2" hidden="1" customWidth="1"/>
    <col min="14777" max="14777" width="10.21875" style="2" customWidth="1"/>
    <col min="14778" max="14779" width="0" style="2" hidden="1" customWidth="1"/>
    <col min="14780" max="14780" width="9.21875" style="2" customWidth="1"/>
    <col min="14781" max="14984" width="9.21875" style="2"/>
    <col min="14985" max="14985" width="5.6640625" style="2" customWidth="1"/>
    <col min="14986" max="14986" width="31.44140625" style="2" customWidth="1"/>
    <col min="14987" max="14991" width="9.21875" style="2" customWidth="1"/>
    <col min="14992" max="14993" width="0" style="2" hidden="1" customWidth="1"/>
    <col min="14994" max="14994" width="2.44140625" style="2" customWidth="1"/>
    <col min="14995" max="14995" width="6.21875" style="2" customWidth="1"/>
    <col min="14996" max="14996" width="32.6640625" style="2" customWidth="1"/>
    <col min="14997" max="14997" width="9.21875" style="2" customWidth="1"/>
    <col min="14998" max="15001" width="7.44140625" style="2" customWidth="1"/>
    <col min="15002" max="15003" width="0" style="2" hidden="1" customWidth="1"/>
    <col min="15004" max="15004" width="9.21875" style="2" customWidth="1"/>
    <col min="15005" max="15005" width="2.44140625" style="2" customWidth="1"/>
    <col min="15006" max="15012" width="2.77734375" style="2" customWidth="1"/>
    <col min="15013" max="15013" width="22.44140625" style="2" customWidth="1"/>
    <col min="15014" max="15016" width="9.21875" style="2" customWidth="1"/>
    <col min="15017" max="15017" width="0" style="2" hidden="1" customWidth="1"/>
    <col min="15018" max="15018" width="9.21875" style="2" customWidth="1"/>
    <col min="15019" max="15020" width="0" style="2" hidden="1" customWidth="1"/>
    <col min="15021" max="15027" width="2.77734375" style="2" customWidth="1"/>
    <col min="15028" max="15028" width="22.6640625" style="2" customWidth="1"/>
    <col min="15029" max="15031" width="10.44140625" style="2" customWidth="1"/>
    <col min="15032" max="15032" width="0" style="2" hidden="1" customWidth="1"/>
    <col min="15033" max="15033" width="10.21875" style="2" customWidth="1"/>
    <col min="15034" max="15035" width="0" style="2" hidden="1" customWidth="1"/>
    <col min="15036" max="15036" width="9.21875" style="2" customWidth="1"/>
    <col min="15037" max="15240" width="9.21875" style="2"/>
    <col min="15241" max="15241" width="5.6640625" style="2" customWidth="1"/>
    <col min="15242" max="15242" width="31.44140625" style="2" customWidth="1"/>
    <col min="15243" max="15247" width="9.21875" style="2" customWidth="1"/>
    <col min="15248" max="15249" width="0" style="2" hidden="1" customWidth="1"/>
    <col min="15250" max="15250" width="2.44140625" style="2" customWidth="1"/>
    <col min="15251" max="15251" width="6.21875" style="2" customWidth="1"/>
    <col min="15252" max="15252" width="32.6640625" style="2" customWidth="1"/>
    <col min="15253" max="15253" width="9.21875" style="2" customWidth="1"/>
    <col min="15254" max="15257" width="7.44140625" style="2" customWidth="1"/>
    <col min="15258" max="15259" width="0" style="2" hidden="1" customWidth="1"/>
    <col min="15260" max="15260" width="9.21875" style="2" customWidth="1"/>
    <col min="15261" max="15261" width="2.44140625" style="2" customWidth="1"/>
    <col min="15262" max="15268" width="2.77734375" style="2" customWidth="1"/>
    <col min="15269" max="15269" width="22.44140625" style="2" customWidth="1"/>
    <col min="15270" max="15272" width="9.21875" style="2" customWidth="1"/>
    <col min="15273" max="15273" width="0" style="2" hidden="1" customWidth="1"/>
    <col min="15274" max="15274" width="9.21875" style="2" customWidth="1"/>
    <col min="15275" max="15276" width="0" style="2" hidden="1" customWidth="1"/>
    <col min="15277" max="15283" width="2.77734375" style="2" customWidth="1"/>
    <col min="15284" max="15284" width="22.6640625" style="2" customWidth="1"/>
    <col min="15285" max="15287" width="10.44140625" style="2" customWidth="1"/>
    <col min="15288" max="15288" width="0" style="2" hidden="1" customWidth="1"/>
    <col min="15289" max="15289" width="10.21875" style="2" customWidth="1"/>
    <col min="15290" max="15291" width="0" style="2" hidden="1" customWidth="1"/>
    <col min="15292" max="15292" width="9.21875" style="2" customWidth="1"/>
    <col min="15293" max="15496" width="9.21875" style="2"/>
    <col min="15497" max="15497" width="5.6640625" style="2" customWidth="1"/>
    <col min="15498" max="15498" width="31.44140625" style="2" customWidth="1"/>
    <col min="15499" max="15503" width="9.21875" style="2" customWidth="1"/>
    <col min="15504" max="15505" width="0" style="2" hidden="1" customWidth="1"/>
    <col min="15506" max="15506" width="2.44140625" style="2" customWidth="1"/>
    <col min="15507" max="15507" width="6.21875" style="2" customWidth="1"/>
    <col min="15508" max="15508" width="32.6640625" style="2" customWidth="1"/>
    <col min="15509" max="15509" width="9.21875" style="2" customWidth="1"/>
    <col min="15510" max="15513" width="7.44140625" style="2" customWidth="1"/>
    <col min="15514" max="15515" width="0" style="2" hidden="1" customWidth="1"/>
    <col min="15516" max="15516" width="9.21875" style="2" customWidth="1"/>
    <col min="15517" max="15517" width="2.44140625" style="2" customWidth="1"/>
    <col min="15518" max="15524" width="2.77734375" style="2" customWidth="1"/>
    <col min="15525" max="15525" width="22.44140625" style="2" customWidth="1"/>
    <col min="15526" max="15528" width="9.21875" style="2" customWidth="1"/>
    <col min="15529" max="15529" width="0" style="2" hidden="1" customWidth="1"/>
    <col min="15530" max="15530" width="9.21875" style="2" customWidth="1"/>
    <col min="15531" max="15532" width="0" style="2" hidden="1" customWidth="1"/>
    <col min="15533" max="15539" width="2.77734375" style="2" customWidth="1"/>
    <col min="15540" max="15540" width="22.6640625" style="2" customWidth="1"/>
    <col min="15541" max="15543" width="10.44140625" style="2" customWidth="1"/>
    <col min="15544" max="15544" width="0" style="2" hidden="1" customWidth="1"/>
    <col min="15545" max="15545" width="10.21875" style="2" customWidth="1"/>
    <col min="15546" max="15547" width="0" style="2" hidden="1" customWidth="1"/>
    <col min="15548" max="15548" width="9.21875" style="2" customWidth="1"/>
    <col min="15549" max="15752" width="9.21875" style="2"/>
    <col min="15753" max="15753" width="5.6640625" style="2" customWidth="1"/>
    <col min="15754" max="15754" width="31.44140625" style="2" customWidth="1"/>
    <col min="15755" max="15759" width="9.21875" style="2" customWidth="1"/>
    <col min="15760" max="15761" width="0" style="2" hidden="1" customWidth="1"/>
    <col min="15762" max="15762" width="2.44140625" style="2" customWidth="1"/>
    <col min="15763" max="15763" width="6.21875" style="2" customWidth="1"/>
    <col min="15764" max="15764" width="32.6640625" style="2" customWidth="1"/>
    <col min="15765" max="15765" width="9.21875" style="2" customWidth="1"/>
    <col min="15766" max="15769" width="7.44140625" style="2" customWidth="1"/>
    <col min="15770" max="15771" width="0" style="2" hidden="1" customWidth="1"/>
    <col min="15772" max="15772" width="9.21875" style="2" customWidth="1"/>
    <col min="15773" max="15773" width="2.44140625" style="2" customWidth="1"/>
    <col min="15774" max="15780" width="2.77734375" style="2" customWidth="1"/>
    <col min="15781" max="15781" width="22.44140625" style="2" customWidth="1"/>
    <col min="15782" max="15784" width="9.21875" style="2" customWidth="1"/>
    <col min="15785" max="15785" width="0" style="2" hidden="1" customWidth="1"/>
    <col min="15786" max="15786" width="9.21875" style="2" customWidth="1"/>
    <col min="15787" max="15788" width="0" style="2" hidden="1" customWidth="1"/>
    <col min="15789" max="15795" width="2.77734375" style="2" customWidth="1"/>
    <col min="15796" max="15796" width="22.6640625" style="2" customWidth="1"/>
    <col min="15797" max="15799" width="10.44140625" style="2" customWidth="1"/>
    <col min="15800" max="15800" width="0" style="2" hidden="1" customWidth="1"/>
    <col min="15801" max="15801" width="10.21875" style="2" customWidth="1"/>
    <col min="15802" max="15803" width="0" style="2" hidden="1" customWidth="1"/>
    <col min="15804" max="15804" width="9.21875" style="2" customWidth="1"/>
    <col min="15805" max="16008" width="9.21875" style="2"/>
    <col min="16009" max="16009" width="5.6640625" style="2" customWidth="1"/>
    <col min="16010" max="16010" width="31.44140625" style="2" customWidth="1"/>
    <col min="16011" max="16015" width="9.21875" style="2" customWidth="1"/>
    <col min="16016" max="16017" width="0" style="2" hidden="1" customWidth="1"/>
    <col min="16018" max="16018" width="2.44140625" style="2" customWidth="1"/>
    <col min="16019" max="16019" width="6.21875" style="2" customWidth="1"/>
    <col min="16020" max="16020" width="32.6640625" style="2" customWidth="1"/>
    <col min="16021" max="16021" width="9.21875" style="2" customWidth="1"/>
    <col min="16022" max="16025" width="7.44140625" style="2" customWidth="1"/>
    <col min="16026" max="16027" width="0" style="2" hidden="1" customWidth="1"/>
    <col min="16028" max="16028" width="9.21875" style="2" customWidth="1"/>
    <col min="16029" max="16029" width="2.44140625" style="2" customWidth="1"/>
    <col min="16030" max="16036" width="2.77734375" style="2" customWidth="1"/>
    <col min="16037" max="16037" width="22.44140625" style="2" customWidth="1"/>
    <col min="16038" max="16040" width="9.21875" style="2" customWidth="1"/>
    <col min="16041" max="16041" width="0" style="2" hidden="1" customWidth="1"/>
    <col min="16042" max="16042" width="9.21875" style="2" customWidth="1"/>
    <col min="16043" max="16044" width="0" style="2" hidden="1" customWidth="1"/>
    <col min="16045" max="16051" width="2.77734375" style="2" customWidth="1"/>
    <col min="16052" max="16052" width="22.6640625" style="2" customWidth="1"/>
    <col min="16053" max="16055" width="10.44140625" style="2" customWidth="1"/>
    <col min="16056" max="16056" width="0" style="2" hidden="1" customWidth="1"/>
    <col min="16057" max="16057" width="10.21875" style="2" customWidth="1"/>
    <col min="16058" max="16059" width="0" style="2" hidden="1" customWidth="1"/>
    <col min="16060" max="16060" width="9.21875" style="2" customWidth="1"/>
    <col min="16061" max="16384" width="9.21875" style="2"/>
  </cols>
  <sheetData>
    <row r="1" spans="1:25">
      <c r="A1" s="1" t="s">
        <v>0</v>
      </c>
      <c r="B1" s="1"/>
      <c r="C1" s="1" t="s">
        <v>145</v>
      </c>
      <c r="M1" s="2" t="s">
        <v>88</v>
      </c>
      <c r="U1" s="97">
        <v>3.1838000000000002</v>
      </c>
      <c r="V1" s="98">
        <v>3.7099000000000002</v>
      </c>
      <c r="W1" s="99">
        <v>4.5155000000000003</v>
      </c>
      <c r="X1" s="99">
        <v>6.0279999999999996</v>
      </c>
      <c r="Y1" s="99">
        <v>6.6505999999999998</v>
      </c>
    </row>
    <row r="2" spans="1:25">
      <c r="A2" s="1" t="s">
        <v>1</v>
      </c>
      <c r="B2" s="1"/>
      <c r="C2" s="1" t="s">
        <v>2</v>
      </c>
      <c r="M2" s="2" t="s">
        <v>89</v>
      </c>
      <c r="U2" s="100">
        <v>3.0240999999999998</v>
      </c>
      <c r="V2" s="100">
        <v>3.3435999999999999</v>
      </c>
      <c r="W2" s="99">
        <v>4.1158999999999999</v>
      </c>
      <c r="X2" s="99">
        <v>5.6788999999999996</v>
      </c>
      <c r="Y2" s="99">
        <v>6.3480999999999996</v>
      </c>
    </row>
    <row r="3" spans="1:25">
      <c r="G3" s="55"/>
      <c r="W3" s="4"/>
      <c r="X3" s="5"/>
      <c r="Y3" s="5"/>
    </row>
    <row r="4" spans="1:25">
      <c r="B4" s="8"/>
      <c r="G4" s="7"/>
      <c r="H4" s="7"/>
      <c r="I4" s="7"/>
      <c r="J4" s="7"/>
      <c r="K4" s="7"/>
      <c r="M4" s="8"/>
      <c r="U4" s="7"/>
      <c r="V4" s="7"/>
      <c r="W4" s="7"/>
      <c r="X4" s="7"/>
      <c r="Y4" s="7"/>
    </row>
    <row r="5" spans="1:25" s="6" customFormat="1">
      <c r="B5" s="11" t="s">
        <v>3</v>
      </c>
      <c r="C5" s="9"/>
      <c r="D5" s="9"/>
      <c r="E5" s="9"/>
      <c r="F5" s="9"/>
      <c r="G5" s="10"/>
      <c r="H5" s="10"/>
      <c r="I5" s="10"/>
      <c r="J5" s="12"/>
      <c r="K5" s="12"/>
      <c r="L5" s="13"/>
      <c r="M5" s="11" t="s">
        <v>3</v>
      </c>
      <c r="N5" s="9"/>
      <c r="O5" s="9"/>
      <c r="P5" s="9"/>
      <c r="Q5" s="9"/>
      <c r="R5" s="10"/>
      <c r="S5" s="10"/>
      <c r="T5" s="10"/>
      <c r="U5" s="10"/>
      <c r="V5" s="10"/>
      <c r="W5" s="10"/>
      <c r="X5" s="12"/>
      <c r="Y5" s="12"/>
    </row>
    <row r="6" spans="1:25" s="6" customFormat="1">
      <c r="B6" s="16"/>
      <c r="C6" s="16" t="s">
        <v>4</v>
      </c>
      <c r="D6" s="17"/>
      <c r="E6" s="17"/>
      <c r="F6" s="17"/>
      <c r="G6" s="18">
        <v>2015</v>
      </c>
      <c r="H6" s="18">
        <f>+G6+1</f>
        <v>2016</v>
      </c>
      <c r="I6" s="18">
        <f t="shared" ref="I6:J6" si="0">+H6+1</f>
        <v>2017</v>
      </c>
      <c r="J6" s="18">
        <f t="shared" si="0"/>
        <v>2018</v>
      </c>
      <c r="K6" s="18">
        <v>2019</v>
      </c>
      <c r="L6" s="13"/>
      <c r="M6" s="16"/>
      <c r="N6" s="16" t="str">
        <f xml:space="preserve"> "in " &amp;  ([1]Yayla!C2) &amp;  " thousands"</f>
        <v>in EUR thousands</v>
      </c>
      <c r="O6" s="17"/>
      <c r="P6" s="17"/>
      <c r="Q6" s="18"/>
      <c r="R6" s="18"/>
      <c r="S6" s="18"/>
      <c r="T6" s="18"/>
      <c r="U6" s="18">
        <f>+G6</f>
        <v>2015</v>
      </c>
      <c r="V6" s="16">
        <f>+H6</f>
        <v>2016</v>
      </c>
      <c r="W6" s="16">
        <f>+I6</f>
        <v>2017</v>
      </c>
      <c r="X6" s="17">
        <f>+J6</f>
        <v>2018</v>
      </c>
      <c r="Y6" s="51">
        <f>+K6</f>
        <v>2019</v>
      </c>
    </row>
    <row r="7" spans="1:25">
      <c r="B7" s="2" t="s">
        <v>6</v>
      </c>
      <c r="G7" s="55">
        <v>14451.597</v>
      </c>
      <c r="H7" s="55">
        <v>15761.144</v>
      </c>
      <c r="I7" s="55">
        <v>439356.37800000003</v>
      </c>
      <c r="J7" s="55">
        <v>19448.273000000001</v>
      </c>
      <c r="K7" s="55">
        <v>13208.215</v>
      </c>
      <c r="L7" s="20"/>
      <c r="M7" s="2" t="str">
        <f xml:space="preserve"> B7</f>
        <v>Cash and cash equivalents</v>
      </c>
      <c r="Q7" s="20"/>
      <c r="R7" s="20"/>
      <c r="S7" s="20"/>
      <c r="T7" s="20"/>
      <c r="U7" s="66">
        <f xml:space="preserve"> G7 / U$1</f>
        <v>4539.1032728186437</v>
      </c>
      <c r="V7" s="66">
        <f t="shared" ref="V7:V18" si="1" xml:space="preserve"> H7/V$1</f>
        <v>4248.401304617375</v>
      </c>
      <c r="W7" s="66">
        <f t="shared" ref="W7:W18" si="2" xml:space="preserve"> I7 / W$1</f>
        <v>97299.607573912086</v>
      </c>
      <c r="X7" s="66">
        <f t="shared" ref="X7:X18" si="3" xml:space="preserve"> J7 /X$1</f>
        <v>3226.3226609157268</v>
      </c>
      <c r="Y7" s="66">
        <f t="shared" ref="Y7:Y18" si="4" xml:space="preserve"> K7 / Y$1</f>
        <v>1986.0185547168678</v>
      </c>
    </row>
    <row r="8" spans="1:25">
      <c r="B8" s="2" t="s">
        <v>8</v>
      </c>
      <c r="G8" s="55">
        <v>434354.80900000001</v>
      </c>
      <c r="H8" s="55">
        <v>512728.89799999999</v>
      </c>
      <c r="I8" s="55">
        <v>573697.31299999997</v>
      </c>
      <c r="J8" s="55">
        <v>509398.9</v>
      </c>
      <c r="K8" s="55">
        <v>447038.978</v>
      </c>
      <c r="L8" s="22"/>
      <c r="M8" s="2" t="str">
        <f xml:space="preserve"> B8</f>
        <v>Trade receivables</v>
      </c>
      <c r="Q8" s="20"/>
      <c r="R8" s="20"/>
      <c r="S8" s="20"/>
      <c r="T8" s="20"/>
      <c r="U8" s="66">
        <f xml:space="preserve"> G8 / U$1</f>
        <v>136426.53715685659</v>
      </c>
      <c r="V8" s="66">
        <f t="shared" si="1"/>
        <v>138205.58451710286</v>
      </c>
      <c r="W8" s="66">
        <f t="shared" si="2"/>
        <v>127050.67279371053</v>
      </c>
      <c r="X8" s="66">
        <f t="shared" si="3"/>
        <v>84505.457863304589</v>
      </c>
      <c r="Y8" s="66">
        <f t="shared" si="4"/>
        <v>67217.841698493372</v>
      </c>
    </row>
    <row r="9" spans="1:25" collapsed="1">
      <c r="B9" s="23"/>
      <c r="C9" s="23" t="s">
        <v>10</v>
      </c>
      <c r="D9" s="23"/>
      <c r="E9" s="23"/>
      <c r="F9" s="23"/>
      <c r="G9" s="55">
        <v>261224.15299999999</v>
      </c>
      <c r="H9" s="55">
        <v>319610.80800000002</v>
      </c>
      <c r="I9" s="55">
        <v>354496.79200000002</v>
      </c>
      <c r="J9" s="55">
        <v>337686.27899999998</v>
      </c>
      <c r="K9" s="55">
        <v>269099.66600000003</v>
      </c>
      <c r="L9" s="24"/>
      <c r="M9" s="23"/>
      <c r="N9" s="23" t="str">
        <f xml:space="preserve"> C9</f>
        <v>from related parties</v>
      </c>
      <c r="O9" s="23"/>
      <c r="P9" s="23"/>
      <c r="Q9" s="24"/>
      <c r="R9" s="24"/>
      <c r="S9" s="24"/>
      <c r="T9" s="24"/>
      <c r="U9" s="78">
        <f xml:space="preserve"> G9 / U$1</f>
        <v>82047.915384132168</v>
      </c>
      <c r="V9" s="66">
        <f t="shared" si="1"/>
        <v>86150.787891856919</v>
      </c>
      <c r="W9" s="66">
        <f t="shared" si="2"/>
        <v>78506.653083822384</v>
      </c>
      <c r="X9" s="66">
        <f t="shared" si="3"/>
        <v>56019.621599203718</v>
      </c>
      <c r="Y9" s="66">
        <f t="shared" si="4"/>
        <v>40462.464439298717</v>
      </c>
    </row>
    <row r="10" spans="1:25" s="23" customFormat="1">
      <c r="C10" s="23" t="s">
        <v>12</v>
      </c>
      <c r="G10" s="55">
        <v>173130.65599999999</v>
      </c>
      <c r="H10" s="55">
        <v>193118.09</v>
      </c>
      <c r="I10" s="55">
        <v>219200.52100000001</v>
      </c>
      <c r="J10" s="55">
        <v>171712.62100000001</v>
      </c>
      <c r="K10" s="55">
        <v>177939.31200000001</v>
      </c>
      <c r="L10" s="24"/>
      <c r="N10" s="23" t="str">
        <f xml:space="preserve"> C10</f>
        <v>from third parties</v>
      </c>
      <c r="Q10" s="24"/>
      <c r="R10" s="24"/>
      <c r="S10" s="24"/>
      <c r="T10" s="24"/>
      <c r="U10" s="78">
        <f>G10/ U$1</f>
        <v>54378.621772724407</v>
      </c>
      <c r="V10" s="66">
        <f t="shared" si="1"/>
        <v>52054.796625245959</v>
      </c>
      <c r="W10" s="66">
        <f t="shared" si="2"/>
        <v>48544.019709888162</v>
      </c>
      <c r="X10" s="66">
        <f t="shared" si="3"/>
        <v>28485.836264100868</v>
      </c>
      <c r="Y10" s="66">
        <f t="shared" si="4"/>
        <v>26755.377259194662</v>
      </c>
    </row>
    <row r="11" spans="1:25" s="23" customFormat="1">
      <c r="B11" s="23" t="s">
        <v>120</v>
      </c>
      <c r="G11" s="55">
        <v>473967.21100000001</v>
      </c>
      <c r="H11" s="55">
        <v>891429.62899999996</v>
      </c>
      <c r="I11" s="55">
        <v>438350.30200000003</v>
      </c>
      <c r="J11" s="55">
        <v>920776.37100000004</v>
      </c>
      <c r="K11" s="55">
        <v>638071.76300000004</v>
      </c>
      <c r="L11" s="24"/>
      <c r="M11" s="23" t="s">
        <v>120</v>
      </c>
      <c r="Q11" s="24"/>
      <c r="R11" s="24"/>
      <c r="S11" s="24"/>
      <c r="T11" s="24"/>
      <c r="U11" s="78">
        <f>G11/U$1</f>
        <v>148868.39971103711</v>
      </c>
      <c r="V11" s="66">
        <f t="shared" si="1"/>
        <v>240284.00469015335</v>
      </c>
      <c r="W11" s="66">
        <f t="shared" si="2"/>
        <v>97076.802568929241</v>
      </c>
      <c r="X11" s="66">
        <f t="shared" si="3"/>
        <v>152749.89565361646</v>
      </c>
      <c r="Y11" s="66">
        <f t="shared" si="4"/>
        <v>95941.984632965454</v>
      </c>
    </row>
    <row r="12" spans="1:25" s="23" customFormat="1">
      <c r="C12" s="23" t="s">
        <v>10</v>
      </c>
      <c r="G12" s="55">
        <v>467649.82400000002</v>
      </c>
      <c r="H12" s="55">
        <v>881295.94499999995</v>
      </c>
      <c r="I12" s="55">
        <v>433440.45699999999</v>
      </c>
      <c r="J12" s="55">
        <v>915584.10400000005</v>
      </c>
      <c r="K12" s="55">
        <v>632699.65800000005</v>
      </c>
      <c r="L12" s="24"/>
      <c r="N12" s="23" t="s">
        <v>10</v>
      </c>
      <c r="Q12" s="24"/>
      <c r="R12" s="24"/>
      <c r="S12" s="24"/>
      <c r="T12" s="24"/>
      <c r="U12" s="78">
        <f>G12/U$1</f>
        <v>146884.17111627615</v>
      </c>
      <c r="V12" s="66">
        <f t="shared" si="1"/>
        <v>237552.47985120889</v>
      </c>
      <c r="W12" s="66">
        <f t="shared" si="2"/>
        <v>95989.471154910862</v>
      </c>
      <c r="X12" s="66">
        <f t="shared" si="3"/>
        <v>151888.53749170539</v>
      </c>
      <c r="Y12" s="66">
        <f t="shared" si="4"/>
        <v>95134.222175442832</v>
      </c>
    </row>
    <row r="13" spans="1:25" s="23" customFormat="1">
      <c r="C13" s="23" t="s">
        <v>12</v>
      </c>
      <c r="G13" s="55">
        <v>6317.3869999999997</v>
      </c>
      <c r="H13" s="55">
        <v>10133.683999999999</v>
      </c>
      <c r="I13" s="55">
        <v>4909.8450000000003</v>
      </c>
      <c r="J13" s="55">
        <v>5192.2669999999998</v>
      </c>
      <c r="K13" s="55">
        <v>5372.1049999999996</v>
      </c>
      <c r="L13" s="24"/>
      <c r="N13" s="23" t="str">
        <f xml:space="preserve"> C13</f>
        <v>from third parties</v>
      </c>
      <c r="Q13" s="24"/>
      <c r="R13" s="24"/>
      <c r="S13" s="24"/>
      <c r="T13" s="24"/>
      <c r="U13" s="78">
        <f>G13/U$1</f>
        <v>1984.2285947609773</v>
      </c>
      <c r="V13" s="66">
        <f t="shared" si="1"/>
        <v>2731.5248389444455</v>
      </c>
      <c r="W13" s="66">
        <f t="shared" si="2"/>
        <v>1087.3314140183811</v>
      </c>
      <c r="X13" s="66">
        <f t="shared" si="3"/>
        <v>861.35816191108165</v>
      </c>
      <c r="Y13" s="66">
        <f t="shared" si="4"/>
        <v>807.76245752262946</v>
      </c>
    </row>
    <row r="14" spans="1:25" s="23" customFormat="1">
      <c r="B14" s="23" t="s">
        <v>150</v>
      </c>
      <c r="G14" s="55">
        <v>0</v>
      </c>
      <c r="H14" s="55">
        <v>5672.9549999999999</v>
      </c>
      <c r="I14" s="55">
        <v>0</v>
      </c>
      <c r="J14" s="55">
        <v>0</v>
      </c>
      <c r="K14" s="55">
        <v>0</v>
      </c>
      <c r="L14" s="24"/>
      <c r="M14" s="23" t="s">
        <v>150</v>
      </c>
      <c r="Q14" s="24"/>
      <c r="R14" s="24"/>
      <c r="S14" s="24"/>
      <c r="T14" s="24"/>
      <c r="U14" s="78"/>
      <c r="V14" s="66">
        <f t="shared" si="1"/>
        <v>1529.1395994501199</v>
      </c>
      <c r="W14" s="66">
        <f t="shared" si="2"/>
        <v>0</v>
      </c>
      <c r="X14" s="66">
        <f t="shared" si="3"/>
        <v>0</v>
      </c>
      <c r="Y14" s="66">
        <f t="shared" si="4"/>
        <v>0</v>
      </c>
    </row>
    <row r="15" spans="1:25" s="23" customFormat="1">
      <c r="B15" s="2" t="s">
        <v>14</v>
      </c>
      <c r="C15" s="2"/>
      <c r="D15" s="2"/>
      <c r="E15" s="2"/>
      <c r="F15" s="2"/>
      <c r="G15" s="55">
        <v>277073.45199999999</v>
      </c>
      <c r="H15" s="55">
        <v>330442.12699999998</v>
      </c>
      <c r="I15" s="55">
        <v>335427.24400000001</v>
      </c>
      <c r="J15" s="55">
        <v>363038.61599999998</v>
      </c>
      <c r="K15" s="55">
        <v>417527.03</v>
      </c>
      <c r="L15" s="25"/>
      <c r="M15" s="2" t="str">
        <f xml:space="preserve"> B15</f>
        <v>Inventories</v>
      </c>
      <c r="N15" s="2"/>
      <c r="O15" s="2"/>
      <c r="P15" s="2"/>
      <c r="Q15" s="20"/>
      <c r="R15" s="20"/>
      <c r="S15" s="20"/>
      <c r="T15" s="20"/>
      <c r="U15" s="66">
        <f xml:space="preserve"> G15 / U$1</f>
        <v>87026.022991393926</v>
      </c>
      <c r="V15" s="66">
        <f t="shared" si="1"/>
        <v>89070.359578425283</v>
      </c>
      <c r="W15" s="66">
        <f t="shared" si="2"/>
        <v>74283.522090576895</v>
      </c>
      <c r="X15" s="66">
        <f t="shared" si="3"/>
        <v>60225.384207033843</v>
      </c>
      <c r="Y15" s="66">
        <f t="shared" si="4"/>
        <v>62780.35515592579</v>
      </c>
    </row>
    <row r="16" spans="1:25" collapsed="1">
      <c r="B16" s="2" t="s">
        <v>16</v>
      </c>
      <c r="G16" s="55">
        <v>44263.408000000003</v>
      </c>
      <c r="H16" s="55">
        <v>17141.46</v>
      </c>
      <c r="I16" s="55">
        <v>18608.057000000001</v>
      </c>
      <c r="J16" s="55">
        <v>20397.419000000002</v>
      </c>
      <c r="K16" s="55">
        <v>10733.554</v>
      </c>
      <c r="L16" s="20"/>
      <c r="M16" s="2" t="str">
        <f xml:space="preserve"> B16</f>
        <v>Prepayments, Accrued Income, Other</v>
      </c>
      <c r="Q16" s="20"/>
      <c r="R16" s="20"/>
      <c r="S16" s="20"/>
      <c r="T16" s="20"/>
      <c r="U16" s="66">
        <f xml:space="preserve"> G16 / U$1</f>
        <v>13902.697405615931</v>
      </c>
      <c r="V16" s="66">
        <f t="shared" si="1"/>
        <v>4620.4641634545396</v>
      </c>
      <c r="W16" s="66">
        <f t="shared" si="2"/>
        <v>4120.9294651755063</v>
      </c>
      <c r="X16" s="66">
        <f t="shared" si="3"/>
        <v>3383.7788652952891</v>
      </c>
      <c r="Y16" s="66">
        <f t="shared" si="4"/>
        <v>1613.9226535951643</v>
      </c>
    </row>
    <row r="17" spans="1:25">
      <c r="B17" s="56" t="s">
        <v>128</v>
      </c>
      <c r="G17" s="55">
        <v>86.433000000000007</v>
      </c>
      <c r="H17" s="55">
        <v>178.01400000000001</v>
      </c>
      <c r="I17" s="55">
        <v>6530.9269999999997</v>
      </c>
      <c r="J17" s="55">
        <v>4867.3490000000002</v>
      </c>
      <c r="K17" s="55">
        <v>15.473000000000001</v>
      </c>
      <c r="L17" s="20"/>
      <c r="M17" s="56" t="s">
        <v>128</v>
      </c>
      <c r="Q17" s="20"/>
      <c r="R17" s="20"/>
      <c r="S17" s="20"/>
      <c r="T17" s="20"/>
      <c r="U17" s="66">
        <f xml:space="preserve"> G17 / U$1</f>
        <v>27.147747974118978</v>
      </c>
      <c r="V17" s="66">
        <f t="shared" si="1"/>
        <v>47.983503598479743</v>
      </c>
      <c r="W17" s="66">
        <f t="shared" si="2"/>
        <v>1446.3352895581884</v>
      </c>
      <c r="X17" s="66">
        <f t="shared" si="3"/>
        <v>807.4567020570671</v>
      </c>
      <c r="Y17" s="66">
        <f t="shared" si="4"/>
        <v>2.3265570023757256</v>
      </c>
    </row>
    <row r="18" spans="1:25">
      <c r="B18" s="2" t="s">
        <v>103</v>
      </c>
      <c r="G18" s="55">
        <v>21767.496999999999</v>
      </c>
      <c r="H18" s="55">
        <v>26200.671999999999</v>
      </c>
      <c r="I18" s="55">
        <v>28552.720000000001</v>
      </c>
      <c r="J18" s="55">
        <v>20058.293000000001</v>
      </c>
      <c r="K18" s="55">
        <v>6525.7969999999996</v>
      </c>
      <c r="L18" s="20"/>
      <c r="M18" s="2" t="s">
        <v>103</v>
      </c>
      <c r="Q18" s="20"/>
      <c r="R18" s="20"/>
      <c r="S18" s="20"/>
      <c r="T18" s="20"/>
      <c r="U18" s="66">
        <f xml:space="preserve"> G18 / U$1</f>
        <v>6836.9548966643624</v>
      </c>
      <c r="V18" s="66">
        <f t="shared" si="1"/>
        <v>7062.3661015121697</v>
      </c>
      <c r="W18" s="66">
        <f t="shared" si="2"/>
        <v>6323.2687410032113</v>
      </c>
      <c r="X18" s="66">
        <f t="shared" si="3"/>
        <v>3327.5204047777047</v>
      </c>
      <c r="Y18" s="66">
        <f t="shared" si="4"/>
        <v>981.23432472258139</v>
      </c>
    </row>
    <row r="19" spans="1:25">
      <c r="B19" s="29" t="s">
        <v>18</v>
      </c>
      <c r="C19" s="29"/>
      <c r="D19" s="29"/>
      <c r="E19" s="29"/>
      <c r="F19" s="29"/>
      <c r="G19" s="30">
        <f xml:space="preserve"> SUM(G7:G18) - (G9+G10+G12+G13)</f>
        <v>1265964.4070000001</v>
      </c>
      <c r="H19" s="30">
        <f t="shared" ref="H19:K19" si="5" xml:space="preserve"> SUM(H7:H18) - (H9+H10+H12+H13)</f>
        <v>1799554.8989999997</v>
      </c>
      <c r="I19" s="30">
        <f t="shared" si="5"/>
        <v>1840522.9410000003</v>
      </c>
      <c r="J19" s="30">
        <f xml:space="preserve"> SUM(J7:J18) - (J9+J10+J12+J13)</f>
        <v>1857985.2210000004</v>
      </c>
      <c r="K19" s="30">
        <f t="shared" si="5"/>
        <v>1533120.81</v>
      </c>
      <c r="L19" s="22">
        <f>I19/I32</f>
        <v>0.5419408218752223</v>
      </c>
      <c r="M19" s="29" t="str">
        <f xml:space="preserve"> B19</f>
        <v>Total current assets</v>
      </c>
      <c r="N19" s="29"/>
      <c r="O19" s="29"/>
      <c r="P19" s="29"/>
      <c r="Q19" s="30"/>
      <c r="R19" s="30"/>
      <c r="S19" s="30"/>
      <c r="T19" s="30"/>
      <c r="U19" s="67">
        <f t="shared" ref="U19:Y19" si="6" xml:space="preserve"> U7 + U8+ U15 + U16</f>
        <v>241894.36082668509</v>
      </c>
      <c r="V19" s="67">
        <f t="shared" si="6"/>
        <v>236144.80956360005</v>
      </c>
      <c r="W19" s="67">
        <f t="shared" si="6"/>
        <v>302754.73192337499</v>
      </c>
      <c r="X19" s="67">
        <f t="shared" si="6"/>
        <v>151340.94359654945</v>
      </c>
      <c r="Y19" s="67">
        <f t="shared" si="6"/>
        <v>133598.13806273119</v>
      </c>
    </row>
    <row r="20" spans="1:25" s="6" customFormat="1" ht="12" customHeight="1">
      <c r="A20" s="6" t="s">
        <v>159</v>
      </c>
      <c r="B20" s="2" t="s">
        <v>94</v>
      </c>
      <c r="C20" s="2"/>
      <c r="D20" s="2"/>
      <c r="E20" s="2"/>
      <c r="F20" s="2"/>
      <c r="G20" s="55">
        <v>4448.8440000000001</v>
      </c>
      <c r="H20" s="55">
        <v>4448.8440000000001</v>
      </c>
      <c r="I20" s="55">
        <v>4448.8440000000001</v>
      </c>
      <c r="J20" s="55">
        <v>1420.5940000000001</v>
      </c>
      <c r="K20" s="55">
        <v>1394.933</v>
      </c>
      <c r="L20" s="109">
        <f>K19/K32</f>
        <v>0.56299014923900614</v>
      </c>
      <c r="M20" s="2" t="str">
        <f xml:space="preserve"> B20</f>
        <v>Investments in affiliated companies</v>
      </c>
      <c r="N20" s="2"/>
      <c r="O20" s="2"/>
      <c r="P20" s="2"/>
      <c r="Q20" s="20"/>
      <c r="R20" s="20"/>
      <c r="S20" s="20"/>
      <c r="T20" s="20"/>
      <c r="U20" s="66">
        <f xml:space="preserve"> G20 / U$1</f>
        <v>1397.3377724731452</v>
      </c>
      <c r="V20" s="66">
        <f xml:space="preserve"> H20 /V$1</f>
        <v>1199.1816491010538</v>
      </c>
      <c r="W20" s="66">
        <f t="shared" ref="W20:W51" si="7" xml:space="preserve"> I20 / W$1</f>
        <v>985.2384010630052</v>
      </c>
      <c r="X20" s="66">
        <f t="shared" ref="X20:X51" si="8" xml:space="preserve"> J20 /X$1</f>
        <v>235.66589250165896</v>
      </c>
      <c r="Y20" s="66">
        <f t="shared" ref="Y20:Y51" si="9" xml:space="preserve"> K20 / Y$1</f>
        <v>209.74543650196975</v>
      </c>
    </row>
    <row r="21" spans="1:25" s="6" customFormat="1" ht="12" customHeight="1">
      <c r="B21" s="2" t="s">
        <v>130</v>
      </c>
      <c r="C21" s="2"/>
      <c r="D21" s="2"/>
      <c r="E21" s="2"/>
      <c r="F21" s="2"/>
      <c r="G21" s="55">
        <v>96009.1</v>
      </c>
      <c r="H21" s="55">
        <v>169418.7</v>
      </c>
      <c r="I21" s="55">
        <v>254103</v>
      </c>
      <c r="J21" s="55">
        <v>212107.00099999999</v>
      </c>
      <c r="K21" s="55">
        <v>219842.00099999999</v>
      </c>
      <c r="L21" s="20"/>
      <c r="M21" s="2" t="s">
        <v>130</v>
      </c>
      <c r="N21" s="2"/>
      <c r="O21" s="2"/>
      <c r="P21" s="2"/>
      <c r="Q21" s="20"/>
      <c r="R21" s="20"/>
      <c r="S21" s="20"/>
      <c r="T21" s="20"/>
      <c r="U21" s="66">
        <f xml:space="preserve"> G21 / U$1</f>
        <v>30155.505999120549</v>
      </c>
      <c r="V21" s="66">
        <f xml:space="preserve"> H21 /V$1</f>
        <v>45666.648696730372</v>
      </c>
      <c r="W21" s="66">
        <f t="shared" si="7"/>
        <v>56273.502380688733</v>
      </c>
      <c r="X21" s="66">
        <f t="shared" si="8"/>
        <v>35186.96101526211</v>
      </c>
      <c r="Y21" s="66">
        <f t="shared" si="9"/>
        <v>33055.965025711965</v>
      </c>
    </row>
    <row r="22" spans="1:25" s="6" customFormat="1" ht="12" customHeight="1">
      <c r="B22" s="2" t="s">
        <v>121</v>
      </c>
      <c r="C22" s="2"/>
      <c r="D22" s="2"/>
      <c r="E22" s="2"/>
      <c r="F22" s="2"/>
      <c r="G22" s="55">
        <v>214985.772</v>
      </c>
      <c r="H22" s="55">
        <v>13706.438</v>
      </c>
      <c r="I22" s="55">
        <v>414100.76799999998</v>
      </c>
      <c r="J22" s="55">
        <v>5487.5050000000001</v>
      </c>
      <c r="K22" s="55">
        <v>1466.5889999999999</v>
      </c>
      <c r="L22" s="20"/>
      <c r="M22" s="2" t="str">
        <f xml:space="preserve"> B22</f>
        <v>Other non-current receivables</v>
      </c>
      <c r="N22" s="2"/>
      <c r="O22" s="2"/>
      <c r="P22" s="2"/>
      <c r="Q22" s="20"/>
      <c r="R22" s="20"/>
      <c r="S22" s="20"/>
      <c r="T22" s="20"/>
      <c r="U22" s="66">
        <f xml:space="preserve"> G22 / U$1</f>
        <v>67524.898548903817</v>
      </c>
      <c r="V22" s="66">
        <f xml:space="preserve"> H22 /V$1</f>
        <v>3694.5572656944928</v>
      </c>
      <c r="W22" s="66">
        <f t="shared" si="7"/>
        <v>91706.514893145824</v>
      </c>
      <c r="X22" s="66">
        <f t="shared" si="8"/>
        <v>910.3359323158594</v>
      </c>
      <c r="Y22" s="66">
        <f t="shared" si="9"/>
        <v>220.5198027245662</v>
      </c>
    </row>
    <row r="23" spans="1:25" s="6" customFormat="1" ht="12" customHeight="1">
      <c r="B23" s="2"/>
      <c r="C23" s="23" t="s">
        <v>10</v>
      </c>
      <c r="D23" s="2"/>
      <c r="E23" s="2"/>
      <c r="F23" s="2"/>
      <c r="G23" s="55">
        <v>214693.201</v>
      </c>
      <c r="H23" s="55">
        <v>12903.735000000001</v>
      </c>
      <c r="I23" s="55">
        <v>413830.30099999998</v>
      </c>
      <c r="J23" s="55">
        <v>0</v>
      </c>
      <c r="K23" s="55">
        <v>0</v>
      </c>
      <c r="L23" s="20"/>
      <c r="M23" s="2"/>
      <c r="N23" s="23" t="s">
        <v>10</v>
      </c>
      <c r="O23" s="2"/>
      <c r="P23" s="2"/>
      <c r="Q23" s="20"/>
      <c r="R23" s="20"/>
      <c r="S23" s="20"/>
      <c r="T23" s="20"/>
      <c r="U23" s="66">
        <f xml:space="preserve"> G23 / U$1</f>
        <v>67433.004899805266</v>
      </c>
      <c r="V23" s="66">
        <f xml:space="preserve"> H23 /V$1</f>
        <v>3478.1894390684383</v>
      </c>
      <c r="W23" s="66">
        <f t="shared" si="7"/>
        <v>91646.617428856145</v>
      </c>
      <c r="X23" s="66">
        <f t="shared" si="8"/>
        <v>0</v>
      </c>
      <c r="Y23" s="66">
        <f t="shared" si="9"/>
        <v>0</v>
      </c>
    </row>
    <row r="24" spans="1:25" s="6" customFormat="1" ht="12" customHeight="1">
      <c r="B24" s="2"/>
      <c r="C24" s="23" t="s">
        <v>12</v>
      </c>
      <c r="D24" s="2"/>
      <c r="E24" s="2"/>
      <c r="F24" s="2"/>
      <c r="G24" s="55">
        <v>292.57100000000003</v>
      </c>
      <c r="H24" s="55">
        <v>802.70299999999997</v>
      </c>
      <c r="I24" s="55">
        <v>270.46699999999998</v>
      </c>
      <c r="J24" s="55">
        <v>5487.5050000000001</v>
      </c>
      <c r="K24" s="55">
        <v>1466.5889999999999</v>
      </c>
      <c r="L24" s="20"/>
      <c r="M24" s="2"/>
      <c r="N24" s="23" t="s">
        <v>12</v>
      </c>
      <c r="O24" s="2"/>
      <c r="P24" s="2"/>
      <c r="Q24" s="20"/>
      <c r="R24" s="20"/>
      <c r="S24" s="20"/>
      <c r="T24" s="20"/>
      <c r="U24" s="66">
        <f xml:space="preserve"> G24 / U$1</f>
        <v>91.893649098561468</v>
      </c>
      <c r="V24" s="66">
        <f xml:space="preserve"> H24 /V$1</f>
        <v>216.36782662605458</v>
      </c>
      <c r="W24" s="66">
        <f t="shared" si="7"/>
        <v>59.89746428966891</v>
      </c>
      <c r="X24" s="66">
        <f t="shared" si="8"/>
        <v>910.3359323158594</v>
      </c>
      <c r="Y24" s="66">
        <f t="shared" si="9"/>
        <v>220.5198027245662</v>
      </c>
    </row>
    <row r="25" spans="1:25">
      <c r="A25" s="2" t="s">
        <v>159</v>
      </c>
      <c r="B25" s="2" t="s">
        <v>21</v>
      </c>
      <c r="G25" s="55">
        <v>365042.66100000002</v>
      </c>
      <c r="H25" s="55">
        <v>432574.42800000001</v>
      </c>
      <c r="I25" s="55">
        <v>819153.04700000002</v>
      </c>
      <c r="J25" s="55">
        <v>874144.62300000002</v>
      </c>
      <c r="K25" s="55">
        <v>865150.92500000005</v>
      </c>
      <c r="L25" s="20"/>
      <c r="M25" s="2" t="str">
        <f xml:space="preserve"> B25</f>
        <v>Property, plant and equipment</v>
      </c>
      <c r="Q25" s="20"/>
      <c r="R25" s="20"/>
      <c r="S25" s="20"/>
      <c r="T25" s="20"/>
      <c r="U25" s="66">
        <f>G25/ U$1</f>
        <v>114656.27897480997</v>
      </c>
      <c r="V25" s="66">
        <f>H25/ V$1</f>
        <v>116600.0237203159</v>
      </c>
      <c r="W25" s="66">
        <f t="shared" si="7"/>
        <v>181409.15668253793</v>
      </c>
      <c r="X25" s="66">
        <f t="shared" si="8"/>
        <v>145014.0383211679</v>
      </c>
      <c r="Y25" s="66">
        <f t="shared" si="9"/>
        <v>130086.1463627342</v>
      </c>
    </row>
    <row r="26" spans="1:25">
      <c r="A26" s="2" t="s">
        <v>159</v>
      </c>
      <c r="B26" s="2" t="s">
        <v>23</v>
      </c>
      <c r="G26" s="55">
        <v>1870.365</v>
      </c>
      <c r="H26" s="55">
        <v>3628.8049999999998</v>
      </c>
      <c r="I26" s="55">
        <v>6276.3310000000001</v>
      </c>
      <c r="J26" s="55">
        <v>11167.324000000001</v>
      </c>
      <c r="K26" s="55">
        <v>15045.787</v>
      </c>
      <c r="L26" s="20"/>
      <c r="M26" s="2" t="str">
        <f xml:space="preserve"> B26</f>
        <v>Intangible assets</v>
      </c>
      <c r="Q26" s="20"/>
      <c r="R26" s="20"/>
      <c r="S26" s="20"/>
      <c r="T26" s="20"/>
      <c r="U26" s="66">
        <f>G26/ U$1</f>
        <v>587.46309441547828</v>
      </c>
      <c r="V26" s="66">
        <f>H26 / V$1</f>
        <v>978.14092024043759</v>
      </c>
      <c r="W26" s="66">
        <f t="shared" si="7"/>
        <v>1389.9526076846416</v>
      </c>
      <c r="X26" s="66">
        <f t="shared" si="8"/>
        <v>1852.5753151957533</v>
      </c>
      <c r="Y26" s="66">
        <f t="shared" si="9"/>
        <v>2262.3202417826965</v>
      </c>
    </row>
    <row r="27" spans="1:25">
      <c r="B27" s="2" t="s">
        <v>24</v>
      </c>
      <c r="G27" s="55">
        <v>4445.5739999999996</v>
      </c>
      <c r="H27" s="55">
        <v>4551.6989999999996</v>
      </c>
      <c r="I27" s="55">
        <v>6792.8069999999998</v>
      </c>
      <c r="J27" s="55">
        <v>4177.5780000000004</v>
      </c>
      <c r="K27" s="55">
        <v>8069.5519999999997</v>
      </c>
      <c r="L27" s="20"/>
      <c r="M27" s="2" t="str">
        <f xml:space="preserve"> B27</f>
        <v>Prepaid expenses</v>
      </c>
      <c r="Q27" s="20"/>
      <c r="R27" s="20"/>
      <c r="S27" s="20"/>
      <c r="T27" s="20"/>
      <c r="U27" s="66">
        <f xml:space="preserve"> G27 / U$1</f>
        <v>1396.3106979081599</v>
      </c>
      <c r="V27" s="66">
        <f xml:space="preserve"> H27 /V$1</f>
        <v>1226.9061160678184</v>
      </c>
      <c r="W27" s="66">
        <f t="shared" si="7"/>
        <v>1504.3310818292546</v>
      </c>
      <c r="X27" s="66">
        <f t="shared" si="8"/>
        <v>693.02886529528882</v>
      </c>
      <c r="Y27" s="66">
        <f t="shared" si="9"/>
        <v>1213.3569903467355</v>
      </c>
    </row>
    <row r="28" spans="1:25">
      <c r="B28" s="2" t="s">
        <v>129</v>
      </c>
      <c r="G28" s="55">
        <v>32243.330999999998</v>
      </c>
      <c r="H28" s="55">
        <v>40940.247000000003</v>
      </c>
      <c r="I28" s="55">
        <v>33279.349000000002</v>
      </c>
      <c r="J28" s="55">
        <v>59951.124000000003</v>
      </c>
      <c r="K28" s="55">
        <v>74839.146999999997</v>
      </c>
      <c r="L28" s="20"/>
      <c r="M28" s="2" t="s">
        <v>129</v>
      </c>
      <c r="Q28" s="20"/>
      <c r="R28" s="20"/>
      <c r="S28" s="20"/>
      <c r="T28" s="20"/>
      <c r="U28" s="66">
        <f xml:space="preserve"> G28 / U$1</f>
        <v>10127.310446636095</v>
      </c>
      <c r="V28" s="66">
        <f xml:space="preserve"> H28 /V$1</f>
        <v>11035.404458341196</v>
      </c>
      <c r="W28" s="66">
        <f t="shared" si="7"/>
        <v>7370.0252463736024</v>
      </c>
      <c r="X28" s="66">
        <f t="shared" si="8"/>
        <v>9945.4419376244205</v>
      </c>
      <c r="Y28" s="66">
        <f t="shared" si="9"/>
        <v>11252.991760141942</v>
      </c>
    </row>
    <row r="29" spans="1:25">
      <c r="B29" s="2" t="s">
        <v>122</v>
      </c>
      <c r="G29" s="55">
        <v>14850.641</v>
      </c>
      <c r="H29" s="55">
        <v>18096.03</v>
      </c>
      <c r="I29" s="55">
        <v>17492.507000000001</v>
      </c>
      <c r="J29" s="55">
        <v>13393.111000000001</v>
      </c>
      <c r="K29" s="55">
        <v>0</v>
      </c>
      <c r="L29" s="20"/>
      <c r="M29" s="2" t="str">
        <f xml:space="preserve"> B29</f>
        <v>Other non-current assets</v>
      </c>
      <c r="Q29" s="20"/>
      <c r="R29" s="20"/>
      <c r="S29" s="20"/>
      <c r="T29" s="20"/>
      <c r="U29" s="66">
        <f xml:space="preserve"> G25 / U$1</f>
        <v>114656.27897480997</v>
      </c>
      <c r="V29" s="66">
        <f xml:space="preserve"> H25 /V$1</f>
        <v>116600.0237203159</v>
      </c>
      <c r="W29" s="66">
        <f t="shared" si="7"/>
        <v>3873.8804119145166</v>
      </c>
      <c r="X29" s="66">
        <f t="shared" si="8"/>
        <v>2221.8166887856673</v>
      </c>
      <c r="Y29" s="66">
        <f t="shared" si="9"/>
        <v>0</v>
      </c>
    </row>
    <row r="30" spans="1:25">
      <c r="B30" s="59" t="s">
        <v>147</v>
      </c>
      <c r="G30" s="55">
        <v>0</v>
      </c>
      <c r="H30" s="55">
        <v>0</v>
      </c>
      <c r="I30" s="55">
        <v>0</v>
      </c>
      <c r="J30" s="55">
        <v>0</v>
      </c>
      <c r="K30" s="55">
        <v>4245.4520000000002</v>
      </c>
      <c r="L30" s="20"/>
      <c r="M30" s="59" t="s">
        <v>147</v>
      </c>
      <c r="Q30" s="20"/>
      <c r="R30" s="20"/>
      <c r="S30" s="20"/>
      <c r="T30" s="20"/>
      <c r="U30" s="66">
        <f t="shared" ref="U30:U37" si="10" xml:space="preserve"> G30 / U$1</f>
        <v>0</v>
      </c>
      <c r="V30" s="66">
        <f t="shared" ref="V30:V37" si="11" xml:space="preserve"> H30 /V$1</f>
        <v>0</v>
      </c>
      <c r="W30" s="66">
        <f t="shared" si="7"/>
        <v>0</v>
      </c>
      <c r="X30" s="66">
        <f t="shared" si="8"/>
        <v>0</v>
      </c>
      <c r="Y30" s="66">
        <f t="shared" si="9"/>
        <v>638.35623853486914</v>
      </c>
    </row>
    <row r="31" spans="1:25">
      <c r="B31" s="29" t="s">
        <v>25</v>
      </c>
      <c r="C31" s="29"/>
      <c r="D31" s="29"/>
      <c r="E31" s="29"/>
      <c r="F31" s="29"/>
      <c r="G31" s="67">
        <f>SUM(G20:G30) - (G23+G24)</f>
        <v>733896.28799999994</v>
      </c>
      <c r="H31" s="67">
        <f>SUM(H20:H30) - (H23+H24)</f>
        <v>687365.19100000011</v>
      </c>
      <c r="I31" s="67">
        <f t="shared" ref="I31:J31" si="12">SUM(I20:I29) - (I23+I24)</f>
        <v>1555646.6529999999</v>
      </c>
      <c r="J31" s="67">
        <f t="shared" si="12"/>
        <v>1181848.8600000003</v>
      </c>
      <c r="K31" s="67">
        <f>SUM(K20:K30) - (K23+K24)</f>
        <v>1190054.3860000002</v>
      </c>
      <c r="L31" s="22"/>
      <c r="M31" s="29" t="str">
        <f xml:space="preserve"> B31</f>
        <v>Total non-current assets</v>
      </c>
      <c r="N31" s="29"/>
      <c r="O31" s="29"/>
      <c r="P31" s="29"/>
      <c r="Q31" s="30"/>
      <c r="R31" s="30"/>
      <c r="S31" s="30"/>
      <c r="T31" s="30"/>
      <c r="U31" s="67">
        <f t="shared" si="10"/>
        <v>230509.54456938247</v>
      </c>
      <c r="V31" s="67">
        <f t="shared" si="11"/>
        <v>185278.63042130516</v>
      </c>
      <c r="W31" s="67">
        <f t="shared" si="7"/>
        <v>344512.60170523747</v>
      </c>
      <c r="X31" s="67">
        <f t="shared" si="8"/>
        <v>196059.86396814871</v>
      </c>
      <c r="Y31" s="67">
        <f t="shared" si="9"/>
        <v>178939.40185847896</v>
      </c>
    </row>
    <row r="32" spans="1:25">
      <c r="B32" s="29" t="s">
        <v>27</v>
      </c>
      <c r="C32" s="29"/>
      <c r="D32" s="29"/>
      <c r="E32" s="29"/>
      <c r="F32" s="29"/>
      <c r="G32" s="67">
        <f>G31+G19</f>
        <v>1999860.6950000001</v>
      </c>
      <c r="H32" s="67">
        <f>H31+H19</f>
        <v>2486920.09</v>
      </c>
      <c r="I32" s="67">
        <f>I31+I19</f>
        <v>3396169.5940000005</v>
      </c>
      <c r="J32" s="67">
        <f>J31+J19</f>
        <v>3039834.0810000007</v>
      </c>
      <c r="K32" s="67">
        <f>K31+K19</f>
        <v>2723175.1960000005</v>
      </c>
      <c r="L32" s="26"/>
      <c r="M32" s="29" t="str">
        <f xml:space="preserve"> B32</f>
        <v>Total Assets</v>
      </c>
      <c r="N32" s="29"/>
      <c r="O32" s="29"/>
      <c r="P32" s="29"/>
      <c r="Q32" s="30"/>
      <c r="R32" s="30"/>
      <c r="S32" s="30"/>
      <c r="T32" s="30"/>
      <c r="U32" s="67">
        <f t="shared" si="10"/>
        <v>628136.40775174322</v>
      </c>
      <c r="V32" s="67">
        <f t="shared" si="11"/>
        <v>670346.93387961935</v>
      </c>
      <c r="W32" s="67">
        <f t="shared" si="7"/>
        <v>752113.74022810324</v>
      </c>
      <c r="X32" s="67">
        <f t="shared" si="8"/>
        <v>504285.68032514944</v>
      </c>
      <c r="Y32" s="67">
        <f t="shared" si="9"/>
        <v>409463.0854359006</v>
      </c>
    </row>
    <row r="33" spans="1:25">
      <c r="A33" s="6"/>
      <c r="B33" s="2" t="s">
        <v>95</v>
      </c>
      <c r="G33" s="55">
        <v>1069618.993</v>
      </c>
      <c r="H33" s="55">
        <v>1294229.2709999999</v>
      </c>
      <c r="I33" s="55">
        <v>874584.8</v>
      </c>
      <c r="J33" s="55">
        <v>317984.87400000001</v>
      </c>
      <c r="K33" s="55">
        <v>71353.171000000002</v>
      </c>
      <c r="L33" s="31"/>
      <c r="M33" s="2" t="str">
        <f xml:space="preserve"> B33</f>
        <v>Short-term financial liabilities</v>
      </c>
      <c r="Q33" s="20"/>
      <c r="R33" s="20"/>
      <c r="S33" s="20"/>
      <c r="T33" s="20"/>
      <c r="U33" s="66">
        <f t="shared" si="10"/>
        <v>335956.71618820279</v>
      </c>
      <c r="V33" s="66">
        <f t="shared" si="11"/>
        <v>348858.26329550659</v>
      </c>
      <c r="W33" s="66">
        <f t="shared" si="7"/>
        <v>193685.04041634369</v>
      </c>
      <c r="X33" s="66">
        <f t="shared" si="8"/>
        <v>52751.30623755807</v>
      </c>
      <c r="Y33" s="66">
        <f t="shared" si="9"/>
        <v>10728.832135446426</v>
      </c>
    </row>
    <row r="34" spans="1:25">
      <c r="A34" s="6"/>
      <c r="B34" s="2" t="s">
        <v>96</v>
      </c>
      <c r="G34" s="55">
        <v>69554.294999999998</v>
      </c>
      <c r="H34" s="55">
        <v>251993.106</v>
      </c>
      <c r="I34" s="55">
        <v>119849.469</v>
      </c>
      <c r="J34" s="55">
        <v>0</v>
      </c>
      <c r="K34" s="55">
        <v>0</v>
      </c>
      <c r="L34" s="31"/>
      <c r="M34" s="2" t="str">
        <f xml:space="preserve"> B34</f>
        <v>Current portion of LT liabilities</v>
      </c>
      <c r="Q34" s="20"/>
      <c r="R34" s="20"/>
      <c r="S34" s="20"/>
      <c r="T34" s="20"/>
      <c r="U34" s="66">
        <f t="shared" si="10"/>
        <v>21846.314152899049</v>
      </c>
      <c r="V34" s="66">
        <f t="shared" si="11"/>
        <v>67924.500929944203</v>
      </c>
      <c r="W34" s="66">
        <f t="shared" si="7"/>
        <v>26541.793599822831</v>
      </c>
      <c r="X34" s="66">
        <f t="shared" si="8"/>
        <v>0</v>
      </c>
      <c r="Y34" s="66">
        <f t="shared" si="9"/>
        <v>0</v>
      </c>
    </row>
    <row r="35" spans="1:25" s="6" customFormat="1">
      <c r="B35" s="2" t="s">
        <v>29</v>
      </c>
      <c r="C35" s="2"/>
      <c r="D35" s="2"/>
      <c r="E35" s="2"/>
      <c r="F35" s="2"/>
      <c r="G35" s="55">
        <v>193100.033</v>
      </c>
      <c r="H35" s="55">
        <v>267807.84100000001</v>
      </c>
      <c r="I35" s="55">
        <v>447963.68400000001</v>
      </c>
      <c r="J35" s="55">
        <v>430067.33500000002</v>
      </c>
      <c r="K35" s="55">
        <v>385132.34700000001</v>
      </c>
      <c r="L35" s="20"/>
      <c r="M35" s="2" t="str">
        <f xml:space="preserve"> B35</f>
        <v>Trade payables</v>
      </c>
      <c r="N35" s="2"/>
      <c r="O35" s="2"/>
      <c r="P35" s="2"/>
      <c r="Q35" s="20"/>
      <c r="R35" s="20"/>
      <c r="S35" s="20"/>
      <c r="T35" s="20"/>
      <c r="U35" s="66">
        <f t="shared" si="10"/>
        <v>60650.805012877689</v>
      </c>
      <c r="V35" s="66">
        <f t="shared" si="11"/>
        <v>72187.347637402621</v>
      </c>
      <c r="W35" s="66">
        <f t="shared" si="7"/>
        <v>99205.776547447676</v>
      </c>
      <c r="X35" s="66">
        <f t="shared" si="8"/>
        <v>71344.946084936964</v>
      </c>
      <c r="Y35" s="66">
        <f t="shared" si="9"/>
        <v>57909.413737106428</v>
      </c>
    </row>
    <row r="36" spans="1:25" s="6" customFormat="1">
      <c r="A36" s="2"/>
      <c r="B36" s="23"/>
      <c r="C36" s="23" t="s">
        <v>30</v>
      </c>
      <c r="D36" s="23"/>
      <c r="E36" s="23"/>
      <c r="F36" s="23"/>
      <c r="G36" s="55">
        <v>44758.713000000003</v>
      </c>
      <c r="H36" s="55">
        <v>56127.652999999998</v>
      </c>
      <c r="I36" s="55">
        <v>64106.593000000001</v>
      </c>
      <c r="J36" s="55">
        <v>108878.796</v>
      </c>
      <c r="K36" s="55">
        <v>50952.499000000003</v>
      </c>
      <c r="L36" s="24"/>
      <c r="M36" s="23"/>
      <c r="N36" s="23" t="str">
        <f xml:space="preserve"> C36</f>
        <v>to related parties</v>
      </c>
      <c r="O36" s="23"/>
      <c r="P36" s="23"/>
      <c r="Q36" s="24"/>
      <c r="R36" s="24"/>
      <c r="S36" s="24"/>
      <c r="T36" s="24"/>
      <c r="U36" s="66">
        <f t="shared" si="10"/>
        <v>14058.267793203091</v>
      </c>
      <c r="V36" s="66">
        <f t="shared" si="11"/>
        <v>15129.155233294698</v>
      </c>
      <c r="W36" s="66">
        <f t="shared" si="7"/>
        <v>14197.008747646993</v>
      </c>
      <c r="X36" s="66">
        <f t="shared" si="8"/>
        <v>18062.175846051759</v>
      </c>
      <c r="Y36" s="66">
        <f t="shared" si="9"/>
        <v>7661.3386762096661</v>
      </c>
    </row>
    <row r="37" spans="1:25">
      <c r="B37" s="23"/>
      <c r="C37" s="23" t="s">
        <v>31</v>
      </c>
      <c r="D37" s="23"/>
      <c r="E37" s="23"/>
      <c r="F37" s="23"/>
      <c r="G37" s="55">
        <v>148341.32</v>
      </c>
      <c r="H37" s="55">
        <v>211680.18799999999</v>
      </c>
      <c r="I37" s="55">
        <v>383857.09100000001</v>
      </c>
      <c r="J37" s="55">
        <v>321188.53899999999</v>
      </c>
      <c r="K37" s="55">
        <v>334179.848</v>
      </c>
      <c r="L37" s="24"/>
      <c r="M37" s="23"/>
      <c r="N37" s="23" t="str">
        <f xml:space="preserve"> C37</f>
        <v>to third parties</v>
      </c>
      <c r="O37" s="23"/>
      <c r="P37" s="23"/>
      <c r="Q37" s="24"/>
      <c r="R37" s="24"/>
      <c r="S37" s="24"/>
      <c r="T37" s="24"/>
      <c r="U37" s="66">
        <f t="shared" si="10"/>
        <v>46592.537219674603</v>
      </c>
      <c r="V37" s="66">
        <f t="shared" si="11"/>
        <v>57058.192404107926</v>
      </c>
      <c r="W37" s="66">
        <f t="shared" si="7"/>
        <v>85008.767799800684</v>
      </c>
      <c r="X37" s="66">
        <f t="shared" si="8"/>
        <v>53282.770238885205</v>
      </c>
      <c r="Y37" s="66">
        <f t="shared" si="9"/>
        <v>50248.075060896765</v>
      </c>
    </row>
    <row r="38" spans="1:25">
      <c r="B38" s="23" t="s">
        <v>123</v>
      </c>
      <c r="C38" s="23"/>
      <c r="D38" s="23"/>
      <c r="E38" s="23"/>
      <c r="F38" s="23"/>
      <c r="G38" s="55">
        <v>2764.46</v>
      </c>
      <c r="H38" s="55">
        <v>2883.4580000000001</v>
      </c>
      <c r="I38" s="55">
        <v>5219.692</v>
      </c>
      <c r="J38" s="55">
        <v>7195.6120000000001</v>
      </c>
      <c r="K38" s="55">
        <v>4993.8140000000003</v>
      </c>
      <c r="L38" s="24"/>
      <c r="M38" s="23" t="s">
        <v>123</v>
      </c>
      <c r="N38" s="23"/>
      <c r="O38" s="23" t="s">
        <v>123</v>
      </c>
      <c r="P38" s="23"/>
      <c r="Q38" s="24"/>
      <c r="R38" s="24"/>
      <c r="S38" s="24"/>
      <c r="T38" s="24"/>
      <c r="U38" s="66">
        <f xml:space="preserve"> G45 / U$1</f>
        <v>2648.8988001758903</v>
      </c>
      <c r="V38" s="66">
        <f xml:space="preserve"> H45 /V$1</f>
        <v>44876.260007008277</v>
      </c>
      <c r="W38" s="66">
        <f t="shared" si="7"/>
        <v>1155.9499501716309</v>
      </c>
      <c r="X38" s="66">
        <f t="shared" si="8"/>
        <v>1193.6980756469809</v>
      </c>
      <c r="Y38" s="66">
        <f t="shared" si="9"/>
        <v>750.88172495714684</v>
      </c>
    </row>
    <row r="39" spans="1:25" s="23" customFormat="1">
      <c r="B39" s="2" t="s">
        <v>33</v>
      </c>
      <c r="G39" s="55">
        <v>3619.53</v>
      </c>
      <c r="H39" s="55">
        <v>3180.2159999999999</v>
      </c>
      <c r="I39" s="55">
        <v>2043.075</v>
      </c>
      <c r="J39" s="55">
        <v>2928.65</v>
      </c>
      <c r="K39" s="55">
        <v>4492.8739999999998</v>
      </c>
      <c r="L39" s="24"/>
      <c r="M39" s="2" t="str">
        <f xml:space="preserve"> B39</f>
        <v>Deferred income</v>
      </c>
      <c r="Q39" s="20"/>
      <c r="R39" s="20"/>
      <c r="S39" s="20"/>
      <c r="T39" s="20"/>
      <c r="U39" s="66">
        <f t="shared" ref="U39:U44" si="13" xml:space="preserve"> G39 / U$1</f>
        <v>1136.8584710094856</v>
      </c>
      <c r="V39" s="66">
        <f t="shared" ref="V39:V44" si="14" xml:space="preserve"> H39 /V$1</f>
        <v>857.22418394026784</v>
      </c>
      <c r="W39" s="66">
        <f t="shared" si="7"/>
        <v>452.4581995349352</v>
      </c>
      <c r="X39" s="66">
        <f t="shared" si="8"/>
        <v>485.84107498341081</v>
      </c>
      <c r="Y39" s="66">
        <f t="shared" si="9"/>
        <v>675.55919766637601</v>
      </c>
    </row>
    <row r="40" spans="1:25" s="23" customFormat="1">
      <c r="B40" s="2" t="s">
        <v>127</v>
      </c>
      <c r="G40" s="55">
        <v>8424.6200000000008</v>
      </c>
      <c r="H40" s="55">
        <v>9419.5679999999993</v>
      </c>
      <c r="I40" s="55">
        <v>12469.813</v>
      </c>
      <c r="J40" s="55">
        <v>11355.281999999999</v>
      </c>
      <c r="K40" s="55">
        <v>15027.956</v>
      </c>
      <c r="L40" s="24"/>
      <c r="M40" s="2" t="s">
        <v>127</v>
      </c>
      <c r="Q40" s="20"/>
      <c r="R40" s="20"/>
      <c r="S40" s="20"/>
      <c r="T40" s="20"/>
      <c r="U40" s="66">
        <f t="shared" si="13"/>
        <v>2646.0895784911113</v>
      </c>
      <c r="V40" s="66">
        <f t="shared" si="14"/>
        <v>2539.0355535189624</v>
      </c>
      <c r="W40" s="66">
        <f t="shared" si="7"/>
        <v>2761.5575240837115</v>
      </c>
      <c r="X40" s="66">
        <f t="shared" si="8"/>
        <v>1883.7561380225613</v>
      </c>
      <c r="Y40" s="66">
        <f t="shared" si="9"/>
        <v>2259.6391303040327</v>
      </c>
    </row>
    <row r="41" spans="1:25" s="23" customFormat="1">
      <c r="B41" s="2"/>
      <c r="C41" s="2" t="s">
        <v>126</v>
      </c>
      <c r="G41" s="55">
        <v>8354.982</v>
      </c>
      <c r="H41" s="55">
        <v>8609.6839999999993</v>
      </c>
      <c r="I41" s="55">
        <v>11314.585999999999</v>
      </c>
      <c r="J41" s="55">
        <v>10111.477000000001</v>
      </c>
      <c r="K41" s="55">
        <v>11458.762000000001</v>
      </c>
      <c r="L41" s="24"/>
      <c r="M41" s="2"/>
      <c r="N41" s="2" t="s">
        <v>126</v>
      </c>
      <c r="Q41" s="20"/>
      <c r="R41" s="20"/>
      <c r="S41" s="20"/>
      <c r="T41" s="20"/>
      <c r="U41" s="66">
        <f t="shared" si="13"/>
        <v>2624.2169734279792</v>
      </c>
      <c r="V41" s="66">
        <f t="shared" si="14"/>
        <v>2320.7320952047221</v>
      </c>
      <c r="W41" s="66">
        <f t="shared" si="7"/>
        <v>2505.7216255121248</v>
      </c>
      <c r="X41" s="66">
        <f t="shared" si="8"/>
        <v>1677.4182149966823</v>
      </c>
      <c r="Y41" s="66">
        <f t="shared" si="9"/>
        <v>1722.9666496255979</v>
      </c>
    </row>
    <row r="42" spans="1:25" s="23" customFormat="1">
      <c r="B42" s="2"/>
      <c r="C42" s="2" t="s">
        <v>131</v>
      </c>
      <c r="G42" s="55">
        <v>69.638000000000005</v>
      </c>
      <c r="H42" s="55">
        <v>809.88400000000001</v>
      </c>
      <c r="I42" s="55">
        <v>1155.2270000000001</v>
      </c>
      <c r="J42" s="55">
        <v>1243.8050000000001</v>
      </c>
      <c r="K42" s="55">
        <v>3569.194</v>
      </c>
      <c r="L42" s="24"/>
      <c r="M42" s="2"/>
      <c r="N42" s="2" t="s">
        <v>131</v>
      </c>
      <c r="Q42" s="20"/>
      <c r="R42" s="20"/>
      <c r="S42" s="20"/>
      <c r="T42" s="20"/>
      <c r="U42" s="66">
        <f t="shared" si="13"/>
        <v>21.872605063132106</v>
      </c>
      <c r="V42" s="66">
        <f t="shared" si="14"/>
        <v>218.30345831424026</v>
      </c>
      <c r="W42" s="66">
        <f t="shared" si="7"/>
        <v>255.83589857158677</v>
      </c>
      <c r="X42" s="66">
        <f t="shared" si="8"/>
        <v>206.33792302587926</v>
      </c>
      <c r="Y42" s="66">
        <f t="shared" si="9"/>
        <v>536.67248067843502</v>
      </c>
    </row>
    <row r="43" spans="1:25">
      <c r="B43" s="2" t="s">
        <v>34</v>
      </c>
      <c r="C43" s="23"/>
      <c r="G43" s="55">
        <v>6935.3050000000003</v>
      </c>
      <c r="H43" s="55">
        <v>10035.451999999999</v>
      </c>
      <c r="I43" s="55">
        <v>11871.05</v>
      </c>
      <c r="J43" s="55">
        <v>11559.769</v>
      </c>
      <c r="K43" s="55">
        <v>12020.13</v>
      </c>
      <c r="L43" s="20"/>
      <c r="M43" s="2" t="str">
        <f xml:space="preserve"> B43</f>
        <v>Liabilities for employee benefits</v>
      </c>
      <c r="N43" s="23"/>
      <c r="Q43" s="20"/>
      <c r="R43" s="20"/>
      <c r="S43" s="20"/>
      <c r="T43" s="20"/>
      <c r="U43" s="66">
        <f t="shared" si="13"/>
        <v>2178.3105094541115</v>
      </c>
      <c r="V43" s="66">
        <f t="shared" si="14"/>
        <v>2705.0464972101672</v>
      </c>
      <c r="W43" s="66">
        <f t="shared" si="7"/>
        <v>2628.9558188461961</v>
      </c>
      <c r="X43" s="66">
        <f t="shared" si="8"/>
        <v>1917.6789980092901</v>
      </c>
      <c r="Y43" s="66">
        <f t="shared" si="9"/>
        <v>1807.3752744113312</v>
      </c>
    </row>
    <row r="44" spans="1:25">
      <c r="B44" s="2" t="s">
        <v>36</v>
      </c>
      <c r="C44" s="23"/>
      <c r="G44" s="55">
        <v>2401.5639999999999</v>
      </c>
      <c r="H44" s="55">
        <v>4970.223</v>
      </c>
      <c r="I44" s="55">
        <v>9304.4809999999998</v>
      </c>
      <c r="J44" s="55">
        <v>14384.165000000001</v>
      </c>
      <c r="K44" s="55">
        <v>16460.797999999999</v>
      </c>
      <c r="L44" s="20"/>
      <c r="M44" s="2" t="str">
        <f xml:space="preserve"> B44</f>
        <v>Current income tax liabilities</v>
      </c>
      <c r="N44" s="23"/>
      <c r="Q44" s="20"/>
      <c r="R44" s="20"/>
      <c r="S44" s="20"/>
      <c r="T44" s="20"/>
      <c r="U44" s="66">
        <f t="shared" si="13"/>
        <v>754.30743137131719</v>
      </c>
      <c r="V44" s="66">
        <f t="shared" si="14"/>
        <v>1339.71886034664</v>
      </c>
      <c r="W44" s="66">
        <f t="shared" si="7"/>
        <v>2060.5649429741998</v>
      </c>
      <c r="X44" s="66">
        <f t="shared" si="8"/>
        <v>2386.2251161247514</v>
      </c>
      <c r="Y44" s="66">
        <f t="shared" si="9"/>
        <v>2475.0846540161788</v>
      </c>
    </row>
    <row r="45" spans="1:25" collapsed="1">
      <c r="A45" s="6"/>
      <c r="B45" s="2" t="s">
        <v>39</v>
      </c>
      <c r="G45" s="55">
        <v>8433.5640000000003</v>
      </c>
      <c r="H45" s="55">
        <v>166486.43700000001</v>
      </c>
      <c r="I45" s="55">
        <v>187255.43900000001</v>
      </c>
      <c r="J45" s="55">
        <v>2699.3209999999999</v>
      </c>
      <c r="K45" s="55">
        <v>111081.307</v>
      </c>
      <c r="L45" s="20"/>
      <c r="M45" s="2" t="str">
        <f xml:space="preserve"> B45</f>
        <v>Other current payables</v>
      </c>
      <c r="Q45" s="20"/>
      <c r="R45" s="20"/>
      <c r="S45" s="20"/>
      <c r="T45" s="20"/>
      <c r="U45" s="66">
        <f>G45 / U$1</f>
        <v>2648.8988001758903</v>
      </c>
      <c r="V45" s="66">
        <f>H45/ V$1</f>
        <v>44876.260007008277</v>
      </c>
      <c r="W45" s="66">
        <f t="shared" si="7"/>
        <v>41469.480456206402</v>
      </c>
      <c r="X45" s="66">
        <f t="shared" si="8"/>
        <v>447.79711347047117</v>
      </c>
      <c r="Y45" s="66">
        <f t="shared" si="9"/>
        <v>16702.44895197426</v>
      </c>
    </row>
    <row r="46" spans="1:25">
      <c r="A46" s="6"/>
      <c r="C46" s="23" t="s">
        <v>30</v>
      </c>
      <c r="G46" s="55">
        <v>4961.9399999999996</v>
      </c>
      <c r="H46" s="55">
        <v>165444.82500000001</v>
      </c>
      <c r="I46" s="55">
        <v>187255.43900000001</v>
      </c>
      <c r="J46" s="55">
        <v>2351.5070000000001</v>
      </c>
      <c r="K46" s="55">
        <v>111081.307</v>
      </c>
      <c r="L46" s="20"/>
      <c r="N46" s="23" t="s">
        <v>30</v>
      </c>
      <c r="Q46" s="20"/>
      <c r="R46" s="20"/>
      <c r="S46" s="20"/>
      <c r="T46" s="20"/>
      <c r="U46" s="66">
        <f t="shared" ref="U46:U71" si="15" xml:space="preserve"> G46 / U$1</f>
        <v>1558.4961366920031</v>
      </c>
      <c r="V46" s="66">
        <f t="shared" ref="V46:V70" si="16" xml:space="preserve"> H46 /V$1</f>
        <v>44595.494487722041</v>
      </c>
      <c r="W46" s="66">
        <f t="shared" si="7"/>
        <v>41469.480456206402</v>
      </c>
      <c r="X46" s="66">
        <f t="shared" si="8"/>
        <v>390.09737889847383</v>
      </c>
      <c r="Y46" s="66">
        <f t="shared" si="9"/>
        <v>16702.44895197426</v>
      </c>
    </row>
    <row r="47" spans="1:25">
      <c r="A47" s="6"/>
      <c r="C47" s="23" t="s">
        <v>31</v>
      </c>
      <c r="G47" s="55">
        <v>3471.6239999999998</v>
      </c>
      <c r="H47" s="55">
        <v>1041.6120000000001</v>
      </c>
      <c r="I47" s="55">
        <v>0</v>
      </c>
      <c r="J47" s="55">
        <v>347.81400000000002</v>
      </c>
      <c r="K47" s="55">
        <v>0</v>
      </c>
      <c r="L47" s="20"/>
      <c r="N47" s="23" t="s">
        <v>31</v>
      </c>
      <c r="Q47" s="20"/>
      <c r="R47" s="20"/>
      <c r="S47" s="20"/>
      <c r="T47" s="20"/>
      <c r="U47" s="66">
        <f t="shared" si="15"/>
        <v>1090.402663483887</v>
      </c>
      <c r="V47" s="66">
        <f t="shared" si="16"/>
        <v>280.76551928623411</v>
      </c>
      <c r="W47" s="66">
        <f t="shared" si="7"/>
        <v>0</v>
      </c>
      <c r="X47" s="66">
        <f t="shared" si="8"/>
        <v>57.699734571997354</v>
      </c>
      <c r="Y47" s="66">
        <f t="shared" si="9"/>
        <v>0</v>
      </c>
    </row>
    <row r="48" spans="1:25" s="6" customFormat="1">
      <c r="A48" s="2"/>
      <c r="B48" s="29" t="s">
        <v>41</v>
      </c>
      <c r="C48" s="29"/>
      <c r="D48" s="29"/>
      <c r="E48" s="29"/>
      <c r="F48" s="29"/>
      <c r="G48" s="67">
        <f>SUM(G33:G47) - (G36+G37+G46+G47+G41+G42)</f>
        <v>1364852.3640000003</v>
      </c>
      <c r="H48" s="67">
        <f>SUM(H33:H47) - (H36+H37+H46+H47+H41+H42)</f>
        <v>2011005.5720000004</v>
      </c>
      <c r="I48" s="67">
        <f t="shared" ref="I48:K48" si="17">SUM(I33:I47) - (I36+I37+I46+I47+I41+I42)</f>
        <v>1670561.5030000003</v>
      </c>
      <c r="J48" s="67">
        <f t="shared" si="17"/>
        <v>798175.0079999998</v>
      </c>
      <c r="K48" s="67">
        <f t="shared" si="17"/>
        <v>620562.397</v>
      </c>
      <c r="L48" s="26"/>
      <c r="M48" s="29" t="str">
        <f xml:space="preserve"> B48</f>
        <v>Total current liabilities</v>
      </c>
      <c r="N48" s="29"/>
      <c r="O48" s="29"/>
      <c r="P48" s="29"/>
      <c r="Q48" s="30"/>
      <c r="R48" s="30"/>
      <c r="S48" s="30"/>
      <c r="T48" s="30"/>
      <c r="U48" s="67">
        <f t="shared" si="15"/>
        <v>428686.5896099002</v>
      </c>
      <c r="V48" s="67">
        <f t="shared" si="16"/>
        <v>542064.63031348563</v>
      </c>
      <c r="W48" s="67">
        <f t="shared" si="7"/>
        <v>369961.57745543134</v>
      </c>
      <c r="X48" s="67">
        <f t="shared" si="8"/>
        <v>132411.24883875245</v>
      </c>
      <c r="Y48" s="67">
        <f t="shared" si="9"/>
        <v>93309.234805882181</v>
      </c>
    </row>
    <row r="49" spans="1:25">
      <c r="B49" s="2" t="s">
        <v>43</v>
      </c>
      <c r="G49" s="55">
        <v>254792.573</v>
      </c>
      <c r="H49" s="55">
        <v>38724.555999999997</v>
      </c>
      <c r="I49" s="55">
        <v>400102.16800000001</v>
      </c>
      <c r="J49" s="55">
        <v>0</v>
      </c>
      <c r="K49" s="55">
        <v>2878.4229999999998</v>
      </c>
      <c r="L49" s="20"/>
      <c r="M49" s="2" t="str">
        <f xml:space="preserve"> B49</f>
        <v>Long-term financial liabilities</v>
      </c>
      <c r="Q49" s="20"/>
      <c r="R49" s="20"/>
      <c r="S49" s="20"/>
      <c r="T49" s="20"/>
      <c r="U49" s="66">
        <f t="shared" si="15"/>
        <v>80027.819900747534</v>
      </c>
      <c r="V49" s="66">
        <f t="shared" si="16"/>
        <v>10438.167066497748</v>
      </c>
      <c r="W49" s="66">
        <f t="shared" si="7"/>
        <v>88606.393090466168</v>
      </c>
      <c r="X49" s="66">
        <f t="shared" si="8"/>
        <v>0</v>
      </c>
      <c r="Y49" s="66">
        <f t="shared" si="9"/>
        <v>432.80651369801217</v>
      </c>
    </row>
    <row r="50" spans="1:25">
      <c r="B50" s="2" t="s">
        <v>124</v>
      </c>
      <c r="G50" s="55">
        <v>54.723999999999997</v>
      </c>
      <c r="H50" s="55">
        <v>54.723999999999997</v>
      </c>
      <c r="I50" s="55">
        <v>479385</v>
      </c>
      <c r="J50" s="55">
        <v>1364244.0049999999</v>
      </c>
      <c r="K50" s="55">
        <v>1031988.897</v>
      </c>
      <c r="L50" s="20"/>
      <c r="M50" s="2" t="str">
        <f xml:space="preserve"> B50</f>
        <v>Other long-term liabilities</v>
      </c>
      <c r="Q50" s="20"/>
      <c r="R50" s="20"/>
      <c r="S50" s="20"/>
      <c r="T50" s="20"/>
      <c r="U50" s="66">
        <f t="shared" si="15"/>
        <v>17.18826559457252</v>
      </c>
      <c r="V50" s="66">
        <f t="shared" si="16"/>
        <v>14.750801908407233</v>
      </c>
      <c r="W50" s="66">
        <f t="shared" si="7"/>
        <v>106164.3228878308</v>
      </c>
      <c r="X50" s="66">
        <f t="shared" si="8"/>
        <v>226317.850862641</v>
      </c>
      <c r="Y50" s="66">
        <f t="shared" si="9"/>
        <v>155172.29979249992</v>
      </c>
    </row>
    <row r="51" spans="1:25">
      <c r="B51" s="2" t="s">
        <v>44</v>
      </c>
      <c r="G51" s="55">
        <v>4946.6289999999999</v>
      </c>
      <c r="H51" s="55">
        <v>13740.552</v>
      </c>
      <c r="I51" s="55">
        <v>60659.57</v>
      </c>
      <c r="J51" s="55">
        <v>65128.135999999999</v>
      </c>
      <c r="K51" s="55">
        <v>68140.535999999993</v>
      </c>
      <c r="L51" s="20"/>
      <c r="M51" s="2" t="str">
        <f xml:space="preserve"> B51</f>
        <v>Deferred tax liability</v>
      </c>
      <c r="Q51" s="20"/>
      <c r="R51" s="20"/>
      <c r="S51" s="20"/>
      <c r="T51" s="20"/>
      <c r="U51" s="66">
        <f t="shared" si="15"/>
        <v>1553.6871034612725</v>
      </c>
      <c r="V51" s="66">
        <f t="shared" si="16"/>
        <v>3703.7526617968138</v>
      </c>
      <c r="W51" s="66">
        <f t="shared" si="7"/>
        <v>13433.633041745099</v>
      </c>
      <c r="X51" s="66">
        <f t="shared" si="8"/>
        <v>10804.269409422695</v>
      </c>
      <c r="Y51" s="66">
        <f t="shared" si="9"/>
        <v>10245.772712236489</v>
      </c>
    </row>
    <row r="52" spans="1:25">
      <c r="B52" s="2" t="s">
        <v>125</v>
      </c>
      <c r="G52" s="55">
        <v>11876.120999999999</v>
      </c>
      <c r="H52" s="55">
        <v>22169.536</v>
      </c>
      <c r="I52" s="55">
        <v>25473.246999999999</v>
      </c>
      <c r="J52" s="55">
        <v>30305.487000000001</v>
      </c>
      <c r="K52" s="55">
        <v>33225.074000000001</v>
      </c>
      <c r="L52" s="20"/>
      <c r="M52" s="2" t="str">
        <f xml:space="preserve"> B52</f>
        <v>Long-term provision</v>
      </c>
      <c r="Q52" s="20"/>
      <c r="R52" s="20"/>
      <c r="S52" s="20"/>
      <c r="T52" s="20"/>
      <c r="U52" s="66">
        <f t="shared" si="15"/>
        <v>3730.1718072743256</v>
      </c>
      <c r="V52" s="66">
        <f t="shared" si="16"/>
        <v>5975.7772446696672</v>
      </c>
      <c r="W52" s="66">
        <f t="shared" ref="W52:W73" si="18" xml:space="preserve"> I52 / W$1</f>
        <v>5641.2904440261318</v>
      </c>
      <c r="X52" s="66">
        <f t="shared" ref="X52:X73" si="19" xml:space="preserve"> J52 /X$1</f>
        <v>5027.4530524220309</v>
      </c>
      <c r="Y52" s="66">
        <f t="shared" ref="Y52:Y73" si="20" xml:space="preserve"> K52 / Y$1</f>
        <v>4995.8009803626746</v>
      </c>
    </row>
    <row r="53" spans="1:25">
      <c r="C53" s="2" t="s">
        <v>126</v>
      </c>
      <c r="G53" s="55">
        <v>11876.120999999999</v>
      </c>
      <c r="H53" s="55">
        <v>22169.536</v>
      </c>
      <c r="I53" s="55">
        <v>25473.246999999999</v>
      </c>
      <c r="J53" s="55">
        <v>30305.487000000001</v>
      </c>
      <c r="K53" s="55">
        <v>33225.074000000001</v>
      </c>
      <c r="L53" s="20"/>
      <c r="N53" s="2" t="s">
        <v>126</v>
      </c>
      <c r="Q53" s="20"/>
      <c r="R53" s="20"/>
      <c r="S53" s="20"/>
      <c r="T53" s="20"/>
      <c r="U53" s="66">
        <f t="shared" si="15"/>
        <v>3730.1718072743256</v>
      </c>
      <c r="V53" s="66">
        <f t="shared" si="16"/>
        <v>5975.7772446696672</v>
      </c>
      <c r="W53" s="66">
        <f t="shared" si="18"/>
        <v>5641.2904440261318</v>
      </c>
      <c r="X53" s="66">
        <f t="shared" si="19"/>
        <v>5027.4530524220309</v>
      </c>
      <c r="Y53" s="66">
        <f t="shared" si="20"/>
        <v>4995.8009803626746</v>
      </c>
    </row>
    <row r="54" spans="1:25">
      <c r="A54" s="6"/>
      <c r="B54" s="2" t="s">
        <v>24</v>
      </c>
      <c r="G54" s="55">
        <v>0</v>
      </c>
      <c r="H54" s="55">
        <v>0</v>
      </c>
      <c r="I54" s="55">
        <v>0</v>
      </c>
      <c r="J54" s="55">
        <v>0</v>
      </c>
      <c r="K54" s="55">
        <v>0</v>
      </c>
      <c r="L54" s="20"/>
      <c r="M54" s="2" t="str">
        <f xml:space="preserve"> B54</f>
        <v>Prepaid expenses</v>
      </c>
      <c r="Q54" s="20"/>
      <c r="R54" s="20"/>
      <c r="S54" s="20"/>
      <c r="T54" s="20"/>
      <c r="U54" s="66">
        <f t="shared" si="15"/>
        <v>0</v>
      </c>
      <c r="V54" s="66">
        <f t="shared" si="16"/>
        <v>0</v>
      </c>
      <c r="W54" s="66">
        <f t="shared" si="18"/>
        <v>0</v>
      </c>
      <c r="X54" s="66">
        <f t="shared" si="19"/>
        <v>0</v>
      </c>
      <c r="Y54" s="66">
        <f t="shared" si="20"/>
        <v>0</v>
      </c>
    </row>
    <row r="55" spans="1:25" s="6" customFormat="1">
      <c r="B55" s="29" t="s">
        <v>45</v>
      </c>
      <c r="C55" s="29"/>
      <c r="D55" s="29"/>
      <c r="E55" s="29"/>
      <c r="F55" s="29"/>
      <c r="G55" s="67">
        <f>SUM(G49:G54)-G53</f>
        <v>271670.04699999996</v>
      </c>
      <c r="H55" s="67">
        <f t="shared" ref="H55:K55" si="21">SUM(H49:H54)-H53</f>
        <v>74689.367999999988</v>
      </c>
      <c r="I55" s="67">
        <f>SUM(I49:I54)-I53</f>
        <v>965619.98499999999</v>
      </c>
      <c r="J55" s="67">
        <f t="shared" si="21"/>
        <v>1459677.6279999998</v>
      </c>
      <c r="K55" s="67">
        <f t="shared" si="21"/>
        <v>1136232.93</v>
      </c>
      <c r="L55" s="26"/>
      <c r="M55" s="29" t="str">
        <f xml:space="preserve"> B55</f>
        <v>Total non-current liabilities</v>
      </c>
      <c r="N55" s="29"/>
      <c r="O55" s="29"/>
      <c r="P55" s="29"/>
      <c r="Q55" s="30"/>
      <c r="R55" s="30"/>
      <c r="S55" s="30"/>
      <c r="T55" s="30"/>
      <c r="U55" s="67">
        <f t="shared" si="15"/>
        <v>85328.867077077695</v>
      </c>
      <c r="V55" s="67">
        <f t="shared" si="16"/>
        <v>20132.447774872635</v>
      </c>
      <c r="W55" s="67">
        <f t="shared" si="18"/>
        <v>213845.6394640682</v>
      </c>
      <c r="X55" s="67">
        <f t="shared" si="19"/>
        <v>242149.57332448571</v>
      </c>
      <c r="Y55" s="67">
        <f t="shared" si="20"/>
        <v>170846.6799987971</v>
      </c>
    </row>
    <row r="56" spans="1:25" s="6" customFormat="1">
      <c r="A56" s="2"/>
      <c r="B56" s="29" t="s">
        <v>46</v>
      </c>
      <c r="C56" s="29"/>
      <c r="D56" s="29"/>
      <c r="E56" s="29"/>
      <c r="F56" s="29"/>
      <c r="G56" s="67">
        <f>G55+G48</f>
        <v>1636522.4110000003</v>
      </c>
      <c r="H56" s="67">
        <f>H55+H48</f>
        <v>2085694.9400000004</v>
      </c>
      <c r="I56" s="67">
        <f>I55+I48</f>
        <v>2636181.4880000004</v>
      </c>
      <c r="J56" s="67">
        <f>J55+J48</f>
        <v>2257852.6359999995</v>
      </c>
      <c r="K56" s="67">
        <f>K55+K48</f>
        <v>1756795.327</v>
      </c>
      <c r="L56" s="26"/>
      <c r="M56" s="29" t="str">
        <f xml:space="preserve"> B56</f>
        <v>Total liabilities</v>
      </c>
      <c r="N56" s="29"/>
      <c r="O56" s="29"/>
      <c r="P56" s="29"/>
      <c r="Q56" s="30"/>
      <c r="R56" s="30"/>
      <c r="S56" s="30"/>
      <c r="T56" s="30"/>
      <c r="U56" s="67">
        <f t="shared" si="15"/>
        <v>514015.45668697788</v>
      </c>
      <c r="V56" s="67">
        <f t="shared" si="16"/>
        <v>562197.07808835828</v>
      </c>
      <c r="W56" s="67">
        <f t="shared" si="18"/>
        <v>583807.21691949957</v>
      </c>
      <c r="X56" s="67">
        <f t="shared" si="19"/>
        <v>374560.82216323813</v>
      </c>
      <c r="Y56" s="67">
        <f t="shared" si="20"/>
        <v>264155.91480467928</v>
      </c>
    </row>
    <row r="57" spans="1:25">
      <c r="B57" s="2" t="s">
        <v>47</v>
      </c>
      <c r="G57" s="55">
        <v>6244</v>
      </c>
      <c r="H57" s="55">
        <v>6244</v>
      </c>
      <c r="I57" s="55">
        <v>23900</v>
      </c>
      <c r="J57" s="55">
        <v>662000</v>
      </c>
      <c r="K57" s="55">
        <v>662000</v>
      </c>
      <c r="L57" s="20"/>
      <c r="M57" s="2" t="str">
        <f xml:space="preserve"> B57</f>
        <v>Paid-in capital</v>
      </c>
      <c r="Q57" s="20"/>
      <c r="R57" s="20"/>
      <c r="S57" s="20"/>
      <c r="T57" s="20"/>
      <c r="U57" s="66">
        <f t="shared" si="15"/>
        <v>1961.1784659840441</v>
      </c>
      <c r="V57" s="66">
        <f t="shared" si="16"/>
        <v>1683.064233537292</v>
      </c>
      <c r="W57" s="66">
        <f t="shared" si="18"/>
        <v>5292.8800797253898</v>
      </c>
      <c r="X57" s="66">
        <f t="shared" si="19"/>
        <v>109820.83609820837</v>
      </c>
      <c r="Y57" s="66">
        <f t="shared" si="20"/>
        <v>99539.891137641724</v>
      </c>
    </row>
    <row r="58" spans="1:25">
      <c r="B58" s="2" t="s">
        <v>132</v>
      </c>
      <c r="G58" s="55">
        <v>0</v>
      </c>
      <c r="H58" s="55">
        <v>0</v>
      </c>
      <c r="I58" s="55">
        <v>886860.88</v>
      </c>
      <c r="J58" s="55">
        <v>702.05</v>
      </c>
      <c r="K58" s="55">
        <v>702.05</v>
      </c>
      <c r="L58" s="20"/>
      <c r="M58" s="2" t="str">
        <f xml:space="preserve"> B58</f>
        <v>Share premium</v>
      </c>
      <c r="Q58" s="20"/>
      <c r="R58" s="20"/>
      <c r="S58" s="20"/>
      <c r="T58" s="20"/>
      <c r="U58" s="66">
        <f t="shared" si="15"/>
        <v>0</v>
      </c>
      <c r="V58" s="66">
        <f t="shared" si="16"/>
        <v>0</v>
      </c>
      <c r="W58" s="66">
        <f t="shared" si="18"/>
        <v>196403.69394308492</v>
      </c>
      <c r="X58" s="66">
        <f t="shared" si="19"/>
        <v>116.4648307896483</v>
      </c>
      <c r="Y58" s="66">
        <f t="shared" si="20"/>
        <v>105.56190418909571</v>
      </c>
    </row>
    <row r="59" spans="1:25">
      <c r="B59" s="56" t="s">
        <v>133</v>
      </c>
      <c r="G59" s="55">
        <v>51212.762999999999</v>
      </c>
      <c r="H59" s="55">
        <v>88358.202000000005</v>
      </c>
      <c r="I59" s="55">
        <v>341636.859</v>
      </c>
      <c r="J59" s="55">
        <v>313720.12599999999</v>
      </c>
      <c r="K59" s="55">
        <v>313272.56099999999</v>
      </c>
      <c r="L59" s="20"/>
      <c r="M59" s="56" t="s">
        <v>133</v>
      </c>
      <c r="Q59" s="20"/>
      <c r="R59" s="20"/>
      <c r="S59" s="20"/>
      <c r="T59" s="20"/>
      <c r="U59" s="66">
        <f t="shared" si="15"/>
        <v>16085.420880708585</v>
      </c>
      <c r="V59" s="66">
        <f t="shared" si="16"/>
        <v>23816.868918299686</v>
      </c>
      <c r="W59" s="66">
        <f t="shared" si="18"/>
        <v>75658.699811759492</v>
      </c>
      <c r="X59" s="66">
        <f t="shared" si="19"/>
        <v>52043.816522893168</v>
      </c>
      <c r="Y59" s="66">
        <f t="shared" si="20"/>
        <v>47104.405767900636</v>
      </c>
    </row>
    <row r="60" spans="1:25">
      <c r="C60" s="56" t="s">
        <v>134</v>
      </c>
      <c r="G60" s="55">
        <v>51432.597999999998</v>
      </c>
      <c r="H60" s="55">
        <v>51115.284</v>
      </c>
      <c r="I60" s="55">
        <v>306101.47100000002</v>
      </c>
      <c r="J60" s="55">
        <v>314411.59100000001</v>
      </c>
      <c r="K60" s="55">
        <v>314411.59100000001</v>
      </c>
      <c r="L60" s="20"/>
      <c r="N60" s="56" t="s">
        <v>134</v>
      </c>
      <c r="Q60" s="20"/>
      <c r="R60" s="20"/>
      <c r="S60" s="20"/>
      <c r="T60" s="20"/>
      <c r="U60" s="66">
        <f t="shared" si="15"/>
        <v>16154.468873672968</v>
      </c>
      <c r="V60" s="66">
        <f t="shared" si="16"/>
        <v>13778.075958920725</v>
      </c>
      <c r="W60" s="66">
        <f t="shared" si="18"/>
        <v>67789.053482449337</v>
      </c>
      <c r="X60" s="66">
        <f t="shared" si="19"/>
        <v>52158.525381552761</v>
      </c>
      <c r="Y60" s="66">
        <f t="shared" si="20"/>
        <v>47275.673021982984</v>
      </c>
    </row>
    <row r="61" spans="1:25">
      <c r="C61" s="56" t="s">
        <v>135</v>
      </c>
      <c r="G61" s="55">
        <v>0</v>
      </c>
      <c r="H61" s="55">
        <v>0</v>
      </c>
      <c r="I61" s="55">
        <v>-8951.134</v>
      </c>
      <c r="J61" s="55">
        <f>(-9892689)/1000</f>
        <v>-9892.6890000000003</v>
      </c>
      <c r="K61" s="55">
        <v>0</v>
      </c>
      <c r="L61" s="20"/>
      <c r="N61" s="56" t="s">
        <v>135</v>
      </c>
      <c r="Q61" s="20"/>
      <c r="R61" s="20"/>
      <c r="S61" s="20"/>
      <c r="T61" s="20"/>
      <c r="U61" s="66">
        <f t="shared" si="15"/>
        <v>0</v>
      </c>
      <c r="V61" s="66">
        <f t="shared" si="16"/>
        <v>0</v>
      </c>
      <c r="W61" s="66">
        <f t="shared" si="18"/>
        <v>-1982.3129221570146</v>
      </c>
      <c r="X61" s="66">
        <f t="shared" si="19"/>
        <v>-1641.1229263437294</v>
      </c>
      <c r="Y61" s="66">
        <f t="shared" si="20"/>
        <v>0</v>
      </c>
    </row>
    <row r="62" spans="1:25">
      <c r="C62" s="56" t="s">
        <v>136</v>
      </c>
      <c r="G62" s="55">
        <v>0</v>
      </c>
      <c r="H62" s="55">
        <v>44486.521999999997</v>
      </c>
      <c r="I62" s="55">
        <v>44486.521999999997</v>
      </c>
      <c r="J62" s="55">
        <v>9201.2240000000002</v>
      </c>
      <c r="K62" s="55">
        <v>9201.2240000000002</v>
      </c>
      <c r="L62" s="20"/>
      <c r="N62" s="56" t="s">
        <v>136</v>
      </c>
      <c r="Q62" s="20"/>
      <c r="R62" s="20"/>
      <c r="S62" s="20"/>
      <c r="T62" s="20"/>
      <c r="U62" s="66">
        <f t="shared" si="15"/>
        <v>0</v>
      </c>
      <c r="V62" s="66">
        <f t="shared" si="16"/>
        <v>11991.299495943285</v>
      </c>
      <c r="W62" s="66">
        <f t="shared" si="18"/>
        <v>9851.9592514671676</v>
      </c>
      <c r="X62" s="66">
        <f t="shared" si="19"/>
        <v>1526.4140676841407</v>
      </c>
      <c r="Y62" s="66">
        <f t="shared" si="20"/>
        <v>1383.5178780861877</v>
      </c>
    </row>
    <row r="63" spans="1:25">
      <c r="C63" s="59" t="s">
        <v>146</v>
      </c>
      <c r="G63" s="55">
        <v>-219.83500000000001</v>
      </c>
      <c r="H63" s="55">
        <v>-7243.6040000000003</v>
      </c>
      <c r="I63" s="55">
        <v>0</v>
      </c>
      <c r="J63" s="55">
        <v>0</v>
      </c>
      <c r="K63" s="55">
        <v>-10340.254000000001</v>
      </c>
      <c r="L63" s="20"/>
      <c r="N63" s="56"/>
      <c r="Q63" s="20"/>
      <c r="R63" s="20"/>
      <c r="S63" s="20"/>
      <c r="T63" s="20"/>
      <c r="U63" s="66">
        <f t="shared" si="15"/>
        <v>-69.047992964382189</v>
      </c>
      <c r="V63" s="66">
        <f t="shared" si="16"/>
        <v>-1952.5065365643279</v>
      </c>
      <c r="W63" s="66">
        <f t="shared" si="18"/>
        <v>0</v>
      </c>
      <c r="X63" s="66">
        <f t="shared" si="19"/>
        <v>0</v>
      </c>
      <c r="Y63" s="66">
        <f t="shared" si="20"/>
        <v>-1554.7851321685264</v>
      </c>
    </row>
    <row r="64" spans="1:25">
      <c r="B64" s="56" t="s">
        <v>137</v>
      </c>
      <c r="C64" s="56"/>
      <c r="G64" s="55">
        <v>26026.588</v>
      </c>
      <c r="H64" s="55">
        <v>40356.385000000002</v>
      </c>
      <c r="I64" s="55">
        <v>46747.084000000003</v>
      </c>
      <c r="J64" s="55">
        <v>84400.388000000006</v>
      </c>
      <c r="K64" s="55">
        <v>102626.69899999999</v>
      </c>
      <c r="L64" s="20"/>
      <c r="M64" s="56" t="s">
        <v>137</v>
      </c>
      <c r="N64" s="56"/>
      <c r="Q64" s="20"/>
      <c r="R64" s="20"/>
      <c r="S64" s="20"/>
      <c r="T64" s="20"/>
      <c r="U64" s="66">
        <f t="shared" si="15"/>
        <v>8174.6931339908278</v>
      </c>
      <c r="V64" s="66">
        <f t="shared" si="16"/>
        <v>10878.025014151324</v>
      </c>
      <c r="W64" s="66">
        <f t="shared" si="18"/>
        <v>10352.581995349352</v>
      </c>
      <c r="X64" s="66">
        <f t="shared" si="19"/>
        <v>14001.391506303917</v>
      </c>
      <c r="Y64" s="66">
        <f t="shared" si="20"/>
        <v>15431.194027606531</v>
      </c>
    </row>
    <row r="65" spans="1:25">
      <c r="B65" s="56"/>
      <c r="C65" s="56" t="s">
        <v>138</v>
      </c>
      <c r="G65" s="55">
        <v>26026.588</v>
      </c>
      <c r="H65" s="55">
        <v>40356.385000000002</v>
      </c>
      <c r="I65" s="55">
        <v>46747.084000000003</v>
      </c>
      <c r="J65" s="55">
        <v>84400.388000000006</v>
      </c>
      <c r="K65" s="55">
        <v>102626.69899999999</v>
      </c>
      <c r="L65" s="20"/>
      <c r="M65" s="56"/>
      <c r="N65" s="56" t="s">
        <v>138</v>
      </c>
      <c r="Q65" s="20"/>
      <c r="R65" s="20"/>
      <c r="S65" s="20"/>
      <c r="T65" s="20"/>
      <c r="U65" s="66">
        <f t="shared" si="15"/>
        <v>8174.6931339908278</v>
      </c>
      <c r="V65" s="66">
        <f t="shared" si="16"/>
        <v>10878.025014151324</v>
      </c>
      <c r="W65" s="66">
        <f t="shared" si="18"/>
        <v>10352.581995349352</v>
      </c>
      <c r="X65" s="66">
        <f t="shared" si="19"/>
        <v>14001.391506303917</v>
      </c>
      <c r="Y65" s="66">
        <f t="shared" si="20"/>
        <v>15431.194027606531</v>
      </c>
    </row>
    <row r="66" spans="1:25" ht="12">
      <c r="B66" s="56" t="s">
        <v>139</v>
      </c>
      <c r="C66" s="57"/>
      <c r="G66" s="55">
        <v>30344.475999999999</v>
      </c>
      <c r="H66" s="55">
        <v>31930.256000000001</v>
      </c>
      <c r="I66" s="55">
        <v>34656.534</v>
      </c>
      <c r="J66" s="55">
        <v>36192.002</v>
      </c>
      <c r="K66" s="55">
        <v>36192.002</v>
      </c>
      <c r="L66" s="20"/>
      <c r="M66" s="56" t="s">
        <v>139</v>
      </c>
      <c r="N66" s="57"/>
      <c r="Q66" s="20"/>
      <c r="R66" s="20"/>
      <c r="S66" s="20"/>
      <c r="T66" s="20"/>
      <c r="U66" s="66">
        <f t="shared" si="15"/>
        <v>9530.8989258119218</v>
      </c>
      <c r="V66" s="66">
        <f t="shared" si="16"/>
        <v>8606.7699938003716</v>
      </c>
      <c r="W66" s="66">
        <f t="shared" si="18"/>
        <v>7675.0158343483554</v>
      </c>
      <c r="X66" s="66">
        <f t="shared" si="19"/>
        <v>6003.9817518248183</v>
      </c>
      <c r="Y66" s="66">
        <f t="shared" si="20"/>
        <v>5441.9153159113466</v>
      </c>
    </row>
    <row r="67" spans="1:25" ht="12">
      <c r="B67" s="56" t="s">
        <v>140</v>
      </c>
      <c r="C67" s="57"/>
      <c r="G67" s="55">
        <v>-4876.8609999999999</v>
      </c>
      <c r="H67" s="55">
        <v>-4876.8609999999999</v>
      </c>
      <c r="I67" s="55">
        <v>-909376.86100000003</v>
      </c>
      <c r="J67" s="55">
        <v>-895717.51500000001</v>
      </c>
      <c r="K67" s="55">
        <v>-895717.51500000001</v>
      </c>
      <c r="L67" s="20"/>
      <c r="M67" s="56" t="s">
        <v>140</v>
      </c>
      <c r="N67" s="57"/>
      <c r="Q67" s="20"/>
      <c r="R67" s="20"/>
      <c r="S67" s="20"/>
      <c r="T67" s="20"/>
      <c r="U67" s="66">
        <f t="shared" si="15"/>
        <v>-1531.7736666876058</v>
      </c>
      <c r="V67" s="66">
        <f t="shared" si="16"/>
        <v>-1314.5532224588262</v>
      </c>
      <c r="W67" s="66">
        <f t="shared" si="18"/>
        <v>-201390.06998117594</v>
      </c>
      <c r="X67" s="66">
        <f t="shared" si="19"/>
        <v>-148592.8193430657</v>
      </c>
      <c r="Y67" s="66">
        <f t="shared" si="20"/>
        <v>-134682.21137942441</v>
      </c>
    </row>
    <row r="68" spans="1:25" ht="12">
      <c r="B68" s="2" t="s">
        <v>48</v>
      </c>
      <c r="C68" s="57"/>
      <c r="G68" s="55">
        <v>237645.31</v>
      </c>
      <c r="H68" s="55">
        <v>160355.97200000001</v>
      </c>
      <c r="I68" s="55">
        <v>114893.27800000001</v>
      </c>
      <c r="J68" s="55">
        <v>433864.245</v>
      </c>
      <c r="K68" s="55">
        <v>399294.136</v>
      </c>
      <c r="L68" s="20"/>
      <c r="M68" s="56" t="s">
        <v>141</v>
      </c>
      <c r="N68" s="57"/>
      <c r="Q68" s="20"/>
      <c r="R68" s="20"/>
      <c r="S68" s="20"/>
      <c r="T68" s="20"/>
      <c r="U68" s="66">
        <f t="shared" si="15"/>
        <v>74642.034675544943</v>
      </c>
      <c r="V68" s="66">
        <f t="shared" si="16"/>
        <v>43223.799024232459</v>
      </c>
      <c r="W68" s="66">
        <f t="shared" si="18"/>
        <v>25444.198427638134</v>
      </c>
      <c r="X68" s="66">
        <f t="shared" si="19"/>
        <v>71974.824983410756</v>
      </c>
      <c r="Y68" s="66">
        <f t="shared" si="20"/>
        <v>60038.813941599255</v>
      </c>
    </row>
    <row r="69" spans="1:25" ht="12">
      <c r="B69" s="114" t="s">
        <v>142</v>
      </c>
      <c r="C69" s="115"/>
      <c r="D69" s="116"/>
      <c r="E69" s="116"/>
      <c r="F69" s="116"/>
      <c r="G69" s="112">
        <v>-85157.494999999937</v>
      </c>
      <c r="H69" s="112">
        <v>-16900.338000000153</v>
      </c>
      <c r="I69" s="112">
        <v>66678.925000000017</v>
      </c>
      <c r="J69" s="112">
        <v>-33491.157000000065</v>
      </c>
      <c r="K69" s="112">
        <v>158923.01800000016</v>
      </c>
      <c r="L69" s="20"/>
      <c r="Q69" s="20"/>
      <c r="R69" s="20"/>
      <c r="S69" s="20"/>
      <c r="T69" s="20"/>
      <c r="U69" s="66">
        <f t="shared" si="15"/>
        <v>-26747.1245053081</v>
      </c>
      <c r="V69" s="66">
        <f t="shared" si="16"/>
        <v>-4555.4699587590367</v>
      </c>
      <c r="W69" s="66">
        <f t="shared" si="18"/>
        <v>14766.675894142401</v>
      </c>
      <c r="X69" s="66">
        <f t="shared" si="19"/>
        <v>-5555.9318181818289</v>
      </c>
      <c r="Y69" s="66">
        <f t="shared" si="20"/>
        <v>23896.042161609505</v>
      </c>
    </row>
    <row r="70" spans="1:25">
      <c r="B70" s="117" t="s">
        <v>50</v>
      </c>
      <c r="C70" s="117"/>
      <c r="D70" s="117"/>
      <c r="E70" s="117"/>
      <c r="F70" s="117"/>
      <c r="G70" s="118">
        <f t="shared" ref="G70:K70" si="22">+SUM(G57:G69) - (G60+G61+G62+G63+G65)</f>
        <v>261438.78100000005</v>
      </c>
      <c r="H70" s="118">
        <f t="shared" si="22"/>
        <v>305467.61599999986</v>
      </c>
      <c r="I70" s="118">
        <f t="shared" si="22"/>
        <v>605996.69899999991</v>
      </c>
      <c r="J70" s="118">
        <f t="shared" si="22"/>
        <v>601670.13899999997</v>
      </c>
      <c r="K70" s="118">
        <f t="shared" si="22"/>
        <v>777292.95100000035</v>
      </c>
      <c r="L70" s="26"/>
      <c r="M70" s="6" t="str">
        <f xml:space="preserve"> B70</f>
        <v>Shareholder's equity</v>
      </c>
      <c r="N70" s="6"/>
      <c r="O70" s="6"/>
      <c r="P70" s="6"/>
      <c r="Q70" s="26"/>
      <c r="R70" s="26"/>
      <c r="S70" s="26"/>
      <c r="T70" s="26"/>
      <c r="U70" s="69">
        <f t="shared" si="15"/>
        <v>82115.327910044609</v>
      </c>
      <c r="V70" s="69">
        <f t="shared" si="16"/>
        <v>82338.504002803267</v>
      </c>
      <c r="W70" s="69">
        <f t="shared" si="18"/>
        <v>134203.67600487208</v>
      </c>
      <c r="X70" s="69">
        <f t="shared" si="19"/>
        <v>99812.56453218314</v>
      </c>
      <c r="Y70" s="69">
        <f t="shared" si="20"/>
        <v>116875.61287703371</v>
      </c>
    </row>
    <row r="71" spans="1:25">
      <c r="B71" s="114" t="s">
        <v>143</v>
      </c>
      <c r="C71" s="116"/>
      <c r="D71" s="116"/>
      <c r="E71" s="116"/>
      <c r="F71" s="116"/>
      <c r="G71" s="112">
        <v>101899.503</v>
      </c>
      <c r="H71" s="112">
        <v>95757.533999999505</v>
      </c>
      <c r="I71" s="112">
        <v>153991.40700000001</v>
      </c>
      <c r="J71" s="112">
        <v>180311.306000001</v>
      </c>
      <c r="K71" s="112">
        <v>189086.91800000001</v>
      </c>
      <c r="L71" s="20"/>
      <c r="M71" s="56" t="s">
        <v>143</v>
      </c>
      <c r="Q71" s="20"/>
      <c r="R71" s="20"/>
      <c r="S71" s="20"/>
      <c r="T71" s="20"/>
      <c r="U71" s="69">
        <f t="shared" si="15"/>
        <v>32005.623154720772</v>
      </c>
      <c r="V71" s="66">
        <v>0</v>
      </c>
      <c r="W71" s="66">
        <f t="shared" si="18"/>
        <v>34102.847303731593</v>
      </c>
      <c r="X71" s="66">
        <f t="shared" si="19"/>
        <v>29912.293629728105</v>
      </c>
      <c r="Y71" s="66">
        <f t="shared" si="20"/>
        <v>28431.557754187594</v>
      </c>
    </row>
    <row r="72" spans="1:25">
      <c r="B72" s="58" t="s">
        <v>144</v>
      </c>
      <c r="G72" s="70">
        <f>+SUM(G70:G71)</f>
        <v>363338.28400000004</v>
      </c>
      <c r="H72" s="70">
        <f t="shared" ref="H72:K72" si="23">+SUM(H70:H71)</f>
        <v>401225.14999999938</v>
      </c>
      <c r="I72" s="70">
        <f t="shared" si="23"/>
        <v>759988.10599999991</v>
      </c>
      <c r="J72" s="70">
        <f t="shared" si="23"/>
        <v>781981.445000001</v>
      </c>
      <c r="K72" s="70">
        <f t="shared" si="23"/>
        <v>966379.86900000041</v>
      </c>
      <c r="L72" s="20"/>
      <c r="M72" s="58" t="s">
        <v>144</v>
      </c>
      <c r="Q72" s="20"/>
      <c r="R72" s="20"/>
      <c r="S72" s="20"/>
      <c r="T72" s="20"/>
      <c r="U72" s="69">
        <f>SUM(U70:U71)</f>
        <v>114120.95106476538</v>
      </c>
      <c r="V72" s="69">
        <f t="shared" ref="V72" si="24">SUM(V70:V71)</f>
        <v>82338.504002803267</v>
      </c>
      <c r="W72" s="69">
        <f t="shared" si="18"/>
        <v>168306.52330860368</v>
      </c>
      <c r="X72" s="69">
        <f t="shared" si="19"/>
        <v>129724.85816191125</v>
      </c>
      <c r="Y72" s="69">
        <f t="shared" si="20"/>
        <v>145307.17063122132</v>
      </c>
    </row>
    <row r="73" spans="1:25">
      <c r="A73" s="6"/>
      <c r="B73" s="29" t="s">
        <v>51</v>
      </c>
      <c r="C73" s="29"/>
      <c r="D73" s="29"/>
      <c r="E73" s="29"/>
      <c r="F73" s="29"/>
      <c r="G73" s="67">
        <f t="shared" ref="G73:K73" si="25">G72+G56</f>
        <v>1999860.6950000003</v>
      </c>
      <c r="H73" s="67">
        <f t="shared" si="25"/>
        <v>2486920.09</v>
      </c>
      <c r="I73" s="67">
        <f t="shared" si="25"/>
        <v>3396169.5940000005</v>
      </c>
      <c r="J73" s="67">
        <f t="shared" si="25"/>
        <v>3039834.0810000002</v>
      </c>
      <c r="K73" s="67">
        <f t="shared" si="25"/>
        <v>2723175.1960000005</v>
      </c>
      <c r="L73" s="35"/>
      <c r="M73" s="29" t="str">
        <f xml:space="preserve"> B73</f>
        <v>TOTAL LIABILITIES AND EQUITY</v>
      </c>
      <c r="N73" s="29"/>
      <c r="O73" s="29"/>
      <c r="P73" s="29"/>
      <c r="Q73" s="30"/>
      <c r="R73" s="30"/>
      <c r="S73" s="30"/>
      <c r="T73" s="30"/>
      <c r="U73" s="67">
        <f xml:space="preserve"> G73 / U$1</f>
        <v>628136.40775174322</v>
      </c>
      <c r="V73" s="67">
        <f xml:space="preserve"> H73 /V$1</f>
        <v>670346.93387961935</v>
      </c>
      <c r="W73" s="67">
        <f t="shared" si="18"/>
        <v>752113.74022810324</v>
      </c>
      <c r="X73" s="67">
        <f t="shared" si="19"/>
        <v>504285.68032514938</v>
      </c>
      <c r="Y73" s="67">
        <f t="shared" si="20"/>
        <v>409463.0854359006</v>
      </c>
    </row>
    <row r="74" spans="1:25" s="23" customFormat="1">
      <c r="B74" s="6"/>
      <c r="C74" s="6"/>
      <c r="D74" s="6"/>
      <c r="E74" s="6"/>
      <c r="F74" s="6"/>
      <c r="G74" s="66" t="b">
        <f>ROUNDUP(G73,5)=ROUNDUP(G32,5)</f>
        <v>1</v>
      </c>
      <c r="H74" s="66" t="b">
        <f>ROUNDUP(H73,1)=ROUNDUP(H32,1)</f>
        <v>1</v>
      </c>
      <c r="I74" s="66" t="b">
        <f>ROUNDUP(I73,1)=ROUNDUP(I32,1)</f>
        <v>1</v>
      </c>
      <c r="J74" s="66" t="b">
        <f>ROUNDUP(J73,1)=ROUNDUP(J32,1)</f>
        <v>1</v>
      </c>
      <c r="K74" s="66" t="b">
        <f>ROUNDUP(K73,1)=ROUNDUP(K32,1)</f>
        <v>1</v>
      </c>
      <c r="L74" s="26"/>
      <c r="M74" s="16"/>
      <c r="N74" s="16"/>
      <c r="O74" s="17"/>
      <c r="P74" s="17"/>
      <c r="Q74" s="18"/>
      <c r="R74" s="18"/>
      <c r="S74" s="18"/>
      <c r="T74" s="18"/>
      <c r="U74" s="18" t="b">
        <f t="shared" ref="U74:Y74" si="26">ROUNDUP(U73,1)=ROUNDUP(U32,1)</f>
        <v>1</v>
      </c>
      <c r="V74" s="50" t="b">
        <f t="shared" si="26"/>
        <v>1</v>
      </c>
      <c r="W74" s="50" t="b">
        <f t="shared" si="26"/>
        <v>1</v>
      </c>
      <c r="X74" s="51" t="b">
        <f t="shared" si="26"/>
        <v>1</v>
      </c>
      <c r="Y74" s="51" t="b">
        <f t="shared" si="26"/>
        <v>1</v>
      </c>
    </row>
    <row r="75" spans="1:25" s="23" customFormat="1">
      <c r="B75" s="36"/>
      <c r="C75" s="37"/>
      <c r="D75" s="37"/>
      <c r="E75" s="37"/>
      <c r="F75" s="37"/>
      <c r="G75" s="71"/>
      <c r="H75" s="71"/>
      <c r="I75" s="71"/>
      <c r="J75" s="71"/>
      <c r="K75" s="110">
        <f>(K72/I72)^(1/2)-1</f>
        <v>0.12764017280245499</v>
      </c>
      <c r="U75" s="38"/>
      <c r="V75" s="39"/>
      <c r="W75" s="38"/>
      <c r="X75" s="46"/>
      <c r="Y75" s="46"/>
    </row>
    <row r="76" spans="1:25" s="23" customFormat="1">
      <c r="B76" s="11" t="s">
        <v>54</v>
      </c>
      <c r="C76" s="9"/>
      <c r="D76" s="9"/>
      <c r="E76" s="9"/>
      <c r="F76" s="9"/>
      <c r="G76" s="72"/>
      <c r="H76" s="72"/>
      <c r="I76" s="72"/>
      <c r="J76" s="72"/>
      <c r="K76" s="72"/>
      <c r="L76" s="3"/>
      <c r="M76" s="11" t="s">
        <v>54</v>
      </c>
      <c r="N76" s="9"/>
      <c r="O76" s="9"/>
      <c r="P76" s="9"/>
      <c r="Q76" s="9"/>
      <c r="R76" s="10"/>
      <c r="S76" s="10"/>
      <c r="T76" s="10"/>
      <c r="U76" s="10"/>
      <c r="V76" s="10"/>
      <c r="W76" s="10"/>
      <c r="X76" s="10"/>
      <c r="Y76" s="10"/>
    </row>
    <row r="77" spans="1:25" s="23" customFormat="1">
      <c r="A77" s="2" t="s">
        <v>151</v>
      </c>
      <c r="B77" s="16"/>
      <c r="C77" s="16" t="str">
        <f>$C$6</f>
        <v>in TRY thousands</v>
      </c>
      <c r="D77" s="17"/>
      <c r="E77" s="17"/>
      <c r="F77" s="17"/>
      <c r="G77" s="105">
        <f xml:space="preserve"> G$6</f>
        <v>2015</v>
      </c>
      <c r="H77" s="105">
        <f xml:space="preserve"> H$6</f>
        <v>2016</v>
      </c>
      <c r="I77" s="105">
        <f xml:space="preserve"> I$6</f>
        <v>2017</v>
      </c>
      <c r="J77" s="105">
        <f xml:space="preserve"> J6</f>
        <v>2018</v>
      </c>
      <c r="K77" s="105">
        <f xml:space="preserve"> K6</f>
        <v>2019</v>
      </c>
      <c r="L77" s="3"/>
      <c r="M77" s="80"/>
      <c r="N77" s="80" t="str">
        <f xml:space="preserve"> N$6</f>
        <v>in EUR thousands</v>
      </c>
      <c r="O77" s="81"/>
      <c r="P77" s="81"/>
      <c r="Q77" s="81"/>
      <c r="R77" s="81"/>
      <c r="S77" s="81"/>
      <c r="T77" s="81"/>
      <c r="U77" s="96">
        <f xml:space="preserve"> G$77</f>
        <v>2015</v>
      </c>
      <c r="V77" s="96">
        <f xml:space="preserve"> H$77</f>
        <v>2016</v>
      </c>
      <c r="W77" s="96">
        <f xml:space="preserve"> I$77</f>
        <v>2017</v>
      </c>
      <c r="X77" s="96">
        <f xml:space="preserve"> J$77</f>
        <v>2018</v>
      </c>
      <c r="Y77" s="96">
        <f xml:space="preserve"> K$77</f>
        <v>2019</v>
      </c>
    </row>
    <row r="78" spans="1:25">
      <c r="B78" s="40" t="s">
        <v>55</v>
      </c>
      <c r="C78" s="40"/>
      <c r="D78" s="40"/>
      <c r="E78" s="40"/>
      <c r="F78" s="40"/>
      <c r="G78" s="74">
        <f>SUM(G79:G81)</f>
        <v>382760.01300000004</v>
      </c>
      <c r="H78" s="75">
        <f t="shared" ref="H78" si="27">SUM(H79:H81)</f>
        <v>1898018.9809999999</v>
      </c>
      <c r="I78" s="74">
        <f>SUM(I79:I81)</f>
        <v>2406203.1540000001</v>
      </c>
      <c r="J78" s="74">
        <f t="shared" ref="J78:K78" si="28">SUM(J79:J81)</f>
        <v>2422035.0819999999</v>
      </c>
      <c r="K78" s="74">
        <f t="shared" si="28"/>
        <v>2492865.7590000001</v>
      </c>
      <c r="L78" s="22"/>
      <c r="M78" s="82" t="str">
        <f xml:space="preserve"> B78</f>
        <v>Net sales revenues</v>
      </c>
      <c r="N78" s="82"/>
      <c r="O78" s="82"/>
      <c r="P78" s="82"/>
      <c r="Q78" s="82"/>
      <c r="R78" s="82"/>
      <c r="S78" s="82"/>
      <c r="T78" s="82"/>
      <c r="U78" s="94">
        <f t="shared" ref="U78:U101" si="29" xml:space="preserve"> G78 / U$2</f>
        <v>126569.89286068584</v>
      </c>
      <c r="V78" s="63">
        <f t="shared" ref="V78:V101" si="30" xml:space="preserve"> H78 /V$2</f>
        <v>567657.30978585954</v>
      </c>
      <c r="W78" s="63">
        <f t="shared" ref="W78:W84" si="31" xml:space="preserve"> I78 / W$2</f>
        <v>584611.66549235897</v>
      </c>
      <c r="X78" s="63">
        <f t="shared" ref="X78:X101" si="32" xml:space="preserve"> J78 /X$2</f>
        <v>426497.22340594133</v>
      </c>
      <c r="Y78" s="63">
        <f t="shared" ref="Y78:Y84" si="33" xml:space="preserve"> K78 / Y$2</f>
        <v>392694.78410863096</v>
      </c>
    </row>
    <row r="79" spans="1:25" s="6" customFormat="1">
      <c r="B79" s="36"/>
      <c r="C79" s="42" t="s">
        <v>56</v>
      </c>
      <c r="D79" s="36"/>
      <c r="E79" s="36"/>
      <c r="F79" s="36"/>
      <c r="G79" s="76">
        <v>484222.35600000003</v>
      </c>
      <c r="H79" s="76">
        <v>2178944.7919999999</v>
      </c>
      <c r="I79" s="76">
        <v>2746504.318</v>
      </c>
      <c r="J79" s="76">
        <v>2819563.2919999999</v>
      </c>
      <c r="K79" s="76">
        <v>2934579.7510000002</v>
      </c>
      <c r="L79" s="13"/>
      <c r="M79" s="61"/>
      <c r="N79" s="83" t="str">
        <f xml:space="preserve"> C79</f>
        <v>Gross sales</v>
      </c>
      <c r="O79" s="61"/>
      <c r="P79" s="61"/>
      <c r="Q79" s="61"/>
      <c r="R79" s="61"/>
      <c r="S79" s="61"/>
      <c r="T79" s="61"/>
      <c r="U79" s="94">
        <f t="shared" si="29"/>
        <v>160121.14546476639</v>
      </c>
      <c r="V79" s="94">
        <f t="shared" si="30"/>
        <v>651676.27467400406</v>
      </c>
      <c r="W79" s="60">
        <f t="shared" si="31"/>
        <v>667291.31368594966</v>
      </c>
      <c r="X79" s="94">
        <f t="shared" si="32"/>
        <v>496498.14083713398</v>
      </c>
      <c r="Y79" s="60">
        <f t="shared" si="33"/>
        <v>462276.86252579518</v>
      </c>
    </row>
    <row r="80" spans="1:25" s="6" customFormat="1">
      <c r="B80" s="36"/>
      <c r="C80" s="42" t="s">
        <v>57</v>
      </c>
      <c r="D80" s="36"/>
      <c r="E80" s="36"/>
      <c r="F80" s="36"/>
      <c r="G80" s="76">
        <v>0</v>
      </c>
      <c r="H80" s="76">
        <v>0</v>
      </c>
      <c r="I80" s="76">
        <v>0</v>
      </c>
      <c r="J80" s="76">
        <v>0</v>
      </c>
      <c r="K80" s="76">
        <v>0</v>
      </c>
      <c r="L80" s="13"/>
      <c r="M80" s="61"/>
      <c r="N80" s="83" t="str">
        <f xml:space="preserve"> C80</f>
        <v>Returns</v>
      </c>
      <c r="O80" s="61"/>
      <c r="P80" s="61"/>
      <c r="Q80" s="61"/>
      <c r="R80" s="61"/>
      <c r="S80" s="61"/>
      <c r="T80" s="61"/>
      <c r="U80" s="94">
        <f t="shared" si="29"/>
        <v>0</v>
      </c>
      <c r="V80" s="94">
        <f t="shared" si="30"/>
        <v>0</v>
      </c>
      <c r="W80" s="60">
        <f t="shared" si="31"/>
        <v>0</v>
      </c>
      <c r="X80" s="94">
        <f t="shared" si="32"/>
        <v>0</v>
      </c>
      <c r="Y80" s="60">
        <f t="shared" si="33"/>
        <v>0</v>
      </c>
    </row>
    <row r="81" spans="1:25" s="6" customFormat="1">
      <c r="A81" s="2"/>
      <c r="B81" s="36"/>
      <c r="C81" s="42" t="s">
        <v>58</v>
      </c>
      <c r="D81" s="36"/>
      <c r="E81" s="36"/>
      <c r="F81" s="36"/>
      <c r="G81" s="76">
        <v>-101462.34299999999</v>
      </c>
      <c r="H81" s="76">
        <v>-280925.81099999999</v>
      </c>
      <c r="I81" s="76">
        <v>-340301.16399999999</v>
      </c>
      <c r="J81" s="76">
        <v>-397528.21</v>
      </c>
      <c r="K81" s="76">
        <v>-441713.99200000003</v>
      </c>
      <c r="L81" s="13"/>
      <c r="M81" s="61"/>
      <c r="N81" s="83" t="str">
        <f xml:space="preserve"> C81</f>
        <v>Discounts</v>
      </c>
      <c r="O81" s="61"/>
      <c r="P81" s="61"/>
      <c r="Q81" s="61"/>
      <c r="R81" s="61"/>
      <c r="S81" s="61"/>
      <c r="T81" s="61"/>
      <c r="U81" s="94">
        <f t="shared" si="29"/>
        <v>-33551.252604080553</v>
      </c>
      <c r="V81" s="94">
        <f t="shared" si="30"/>
        <v>-84018.964888144517</v>
      </c>
      <c r="W81" s="60">
        <f t="shared" si="31"/>
        <v>-82679.648193590707</v>
      </c>
      <c r="X81" s="94">
        <f t="shared" si="32"/>
        <v>-70000.917431192662</v>
      </c>
      <c r="Y81" s="60">
        <f t="shared" si="33"/>
        <v>-69582.078417164201</v>
      </c>
    </row>
    <row r="82" spans="1:25">
      <c r="A82" s="6"/>
      <c r="C82" s="2" t="s">
        <v>59</v>
      </c>
      <c r="D82" s="6"/>
      <c r="E82" s="6"/>
      <c r="F82" s="6"/>
      <c r="G82" s="76">
        <v>-276917.86</v>
      </c>
      <c r="H82" s="76">
        <v>-1541871.6</v>
      </c>
      <c r="I82" s="76">
        <v>-1992515.9990000001</v>
      </c>
      <c r="J82" s="76">
        <v>-1859089.3019999999</v>
      </c>
      <c r="K82" s="76">
        <v>-1879435.8729999999</v>
      </c>
      <c r="L82" s="13"/>
      <c r="M82" s="84"/>
      <c r="N82" s="84" t="str">
        <f xml:space="preserve"> C82</f>
        <v>Cost of sales</v>
      </c>
      <c r="O82" s="81"/>
      <c r="P82" s="81"/>
      <c r="Q82" s="81"/>
      <c r="R82" s="81"/>
      <c r="S82" s="81"/>
      <c r="T82" s="81"/>
      <c r="U82" s="85">
        <f t="shared" si="29"/>
        <v>-91570.338282464203</v>
      </c>
      <c r="V82" s="94">
        <f t="shared" si="30"/>
        <v>-461141.16521114972</v>
      </c>
      <c r="W82" s="85">
        <f t="shared" si="31"/>
        <v>-484102.14023664332</v>
      </c>
      <c r="X82" s="94">
        <f t="shared" si="32"/>
        <v>-327367.85328144534</v>
      </c>
      <c r="Y82" s="85">
        <f t="shared" si="33"/>
        <v>-296062.73892975849</v>
      </c>
    </row>
    <row r="83" spans="1:25" s="6" customFormat="1">
      <c r="A83" s="2"/>
      <c r="B83" s="17" t="s">
        <v>60</v>
      </c>
      <c r="C83" s="17"/>
      <c r="D83" s="43"/>
      <c r="E83" s="43"/>
      <c r="F83" s="43"/>
      <c r="G83" s="73">
        <f t="shared" ref="G83:K83" si="34" xml:space="preserve"> G78 + G82</f>
        <v>105842.15300000005</v>
      </c>
      <c r="H83" s="73">
        <f xml:space="preserve"> H78 + H82</f>
        <v>356147.38099999982</v>
      </c>
      <c r="I83" s="73">
        <f t="shared" si="34"/>
        <v>413687.15500000003</v>
      </c>
      <c r="J83" s="73">
        <f t="shared" si="34"/>
        <v>562945.78</v>
      </c>
      <c r="K83" s="73">
        <f t="shared" si="34"/>
        <v>613429.88600000017</v>
      </c>
      <c r="L83" s="3"/>
      <c r="M83" s="86" t="str">
        <f xml:space="preserve"> B83</f>
        <v>Gross profit</v>
      </c>
      <c r="N83" s="86"/>
      <c r="O83" s="87"/>
      <c r="P83" s="87"/>
      <c r="Q83" s="87"/>
      <c r="R83" s="87"/>
      <c r="S83" s="87"/>
      <c r="T83" s="87"/>
      <c r="U83" s="95">
        <f t="shared" si="29"/>
        <v>34999.554578221636</v>
      </c>
      <c r="V83" s="88">
        <f t="shared" si="30"/>
        <v>106516.14457470985</v>
      </c>
      <c r="W83" s="88">
        <f t="shared" si="31"/>
        <v>100509.52525571565</v>
      </c>
      <c r="X83" s="88">
        <f t="shared" si="32"/>
        <v>99129.370124495952</v>
      </c>
      <c r="Y83" s="88">
        <f t="shared" si="33"/>
        <v>96632.045178872446</v>
      </c>
    </row>
    <row r="84" spans="1:25">
      <c r="B84" s="41"/>
      <c r="C84" s="44" t="s">
        <v>61</v>
      </c>
      <c r="D84" s="41"/>
      <c r="E84" s="41"/>
      <c r="F84" s="41"/>
      <c r="G84" s="76">
        <v>-68148.591</v>
      </c>
      <c r="H84" s="76">
        <v>-178247.641</v>
      </c>
      <c r="I84" s="76">
        <v>-207839.666</v>
      </c>
      <c r="J84" s="76">
        <v>-208124.49100000001</v>
      </c>
      <c r="K84" s="76">
        <v>-220546.43400000001</v>
      </c>
      <c r="L84" s="22"/>
      <c r="M84" s="61"/>
      <c r="N84" s="83" t="str">
        <f xml:space="preserve"> C84</f>
        <v>Marketing, selling and distribution expenses</v>
      </c>
      <c r="O84" s="61"/>
      <c r="P84" s="61"/>
      <c r="Q84" s="61"/>
      <c r="R84" s="61"/>
      <c r="S84" s="61"/>
      <c r="T84" s="61"/>
      <c r="U84" s="94">
        <f t="shared" si="29"/>
        <v>-22535.164511755564</v>
      </c>
      <c r="V84" s="60">
        <f t="shared" si="30"/>
        <v>-53310.097200622084</v>
      </c>
      <c r="W84" s="60">
        <f t="shared" si="31"/>
        <v>-50496.772516339079</v>
      </c>
      <c r="X84" s="60">
        <f t="shared" si="32"/>
        <v>-36648.733205374287</v>
      </c>
      <c r="Y84" s="60">
        <f t="shared" si="33"/>
        <v>-34742.117168916688</v>
      </c>
    </row>
    <row r="85" spans="1:25">
      <c r="B85" s="6"/>
      <c r="C85" s="2" t="s">
        <v>119</v>
      </c>
      <c r="D85" s="6"/>
      <c r="E85" s="6"/>
      <c r="F85" s="6"/>
      <c r="G85" s="76">
        <v>-1520.087</v>
      </c>
      <c r="H85" s="76">
        <v>-3721.6320000000001</v>
      </c>
      <c r="I85" s="76">
        <v>-2117.3440000000001</v>
      </c>
      <c r="J85" s="76">
        <v>-3137.5419999999999</v>
      </c>
      <c r="K85" s="76">
        <v>-3930.24</v>
      </c>
      <c r="L85" s="22"/>
      <c r="M85" s="61"/>
      <c r="N85" s="2" t="s">
        <v>119</v>
      </c>
      <c r="O85" s="61"/>
      <c r="P85" s="61"/>
      <c r="Q85" s="61"/>
      <c r="R85" s="61"/>
      <c r="S85" s="61"/>
      <c r="T85" s="61"/>
      <c r="U85" s="94">
        <f t="shared" si="29"/>
        <v>-502.65765020997986</v>
      </c>
      <c r="V85" s="60">
        <f t="shared" si="30"/>
        <v>-1113.0613709773897</v>
      </c>
      <c r="W85" s="60"/>
      <c r="X85" s="60">
        <f t="shared" si="32"/>
        <v>-552.49115145538747</v>
      </c>
      <c r="Y85" s="60">
        <f>K85/Y$2</f>
        <v>-619.12068177879996</v>
      </c>
    </row>
    <row r="86" spans="1:25">
      <c r="C86" s="2" t="s">
        <v>62</v>
      </c>
      <c r="G86" s="76">
        <v>-20614.848000000002</v>
      </c>
      <c r="H86" s="76">
        <v>-57439.248</v>
      </c>
      <c r="I86" s="76">
        <v>-56883.531000000003</v>
      </c>
      <c r="J86" s="76">
        <v>-52804.351000000002</v>
      </c>
      <c r="K86" s="76">
        <v>-59295.803</v>
      </c>
      <c r="L86" s="22"/>
      <c r="M86" s="83"/>
      <c r="N86" s="83" t="str">
        <f xml:space="preserve"> C86</f>
        <v>General administrative expenses</v>
      </c>
      <c r="O86" s="83"/>
      <c r="P86" s="83"/>
      <c r="Q86" s="83"/>
      <c r="R86" s="83"/>
      <c r="S86" s="83"/>
      <c r="T86" s="83"/>
      <c r="U86" s="94">
        <f t="shared" si="29"/>
        <v>-6816.8539400152122</v>
      </c>
      <c r="V86" s="60">
        <f t="shared" si="30"/>
        <v>-17178.863500418709</v>
      </c>
      <c r="W86" s="60">
        <f t="shared" ref="W86:W101" si="35" xml:space="preserve"> I86 / W$2</f>
        <v>-13820.435627687748</v>
      </c>
      <c r="X86" s="60">
        <f t="shared" si="32"/>
        <v>-9298.3414041451706</v>
      </c>
      <c r="Y86" s="60">
        <f t="shared" ref="Y86:Y91" si="36" xml:space="preserve"> K86 / Y$2</f>
        <v>-9340.7165923662196</v>
      </c>
    </row>
    <row r="87" spans="1:25">
      <c r="B87" s="17" t="s">
        <v>65</v>
      </c>
      <c r="C87" s="17"/>
      <c r="D87" s="17"/>
      <c r="E87" s="17"/>
      <c r="F87" s="17"/>
      <c r="G87" s="73">
        <f xml:space="preserve"> G83 + G84 + G86+G85</f>
        <v>15558.627000000048</v>
      </c>
      <c r="H87" s="73">
        <f xml:space="preserve"> H83 + H84 + H86+H85</f>
        <v>116738.85999999983</v>
      </c>
      <c r="I87" s="73">
        <f t="shared" ref="I87:K87" si="37" xml:space="preserve"> I83 + I84 + I86+I85</f>
        <v>146846.61400000003</v>
      </c>
      <c r="J87" s="73">
        <f t="shared" si="37"/>
        <v>298879.39599999995</v>
      </c>
      <c r="K87" s="73">
        <f t="shared" si="37"/>
        <v>329657.40900000016</v>
      </c>
      <c r="L87" s="22"/>
      <c r="M87" s="61" t="str">
        <f xml:space="preserve"> B87</f>
        <v>EBIT</v>
      </c>
      <c r="N87" s="61"/>
      <c r="O87" s="61"/>
      <c r="P87" s="61"/>
      <c r="Q87" s="61"/>
      <c r="R87" s="61"/>
      <c r="S87" s="61"/>
      <c r="T87" s="61"/>
      <c r="U87" s="85">
        <f t="shared" si="29"/>
        <v>5144.8784762408814</v>
      </c>
      <c r="V87" s="60">
        <f t="shared" si="30"/>
        <v>34914.122502691658</v>
      </c>
      <c r="W87" s="89">
        <f t="shared" si="35"/>
        <v>35677.886731941988</v>
      </c>
      <c r="X87" s="60">
        <f t="shared" si="32"/>
        <v>52629.8043635211</v>
      </c>
      <c r="Y87" s="89">
        <f t="shared" si="36"/>
        <v>51930.090735810743</v>
      </c>
    </row>
    <row r="88" spans="1:25">
      <c r="C88" s="44" t="s">
        <v>64</v>
      </c>
      <c r="D88" s="44"/>
      <c r="E88" s="44"/>
      <c r="F88" s="44"/>
      <c r="G88" s="55">
        <f>(13888443+6024537+594928)/1000</f>
        <v>20507.907999999999</v>
      </c>
      <c r="H88" s="55">
        <f>(5834411 +1488525 + 96123 + 24835113)/1000</f>
        <v>32254.171999999999</v>
      </c>
      <c r="I88" s="55">
        <v>38682.247000000003</v>
      </c>
      <c r="J88" s="55">
        <v>44703.93</v>
      </c>
      <c r="K88" s="55">
        <v>49689.074000000001</v>
      </c>
      <c r="L88" s="22"/>
      <c r="M88" s="90"/>
      <c r="N88" s="90" t="str">
        <f xml:space="preserve"> C88</f>
        <v>Depreciation and amortization</v>
      </c>
      <c r="O88" s="90"/>
      <c r="P88" s="90"/>
      <c r="Q88" s="90"/>
      <c r="R88" s="90"/>
      <c r="S88" s="90"/>
      <c r="T88" s="90"/>
      <c r="U88" s="94">
        <f t="shared" si="29"/>
        <v>6781.4913527991803</v>
      </c>
      <c r="V88" s="63">
        <f t="shared" si="30"/>
        <v>9646.5402560114853</v>
      </c>
      <c r="W88" s="63">
        <f t="shared" si="35"/>
        <v>9398.2475278796865</v>
      </c>
      <c r="X88" s="63">
        <f t="shared" si="32"/>
        <v>7871.9347056648303</v>
      </c>
      <c r="Y88" s="63">
        <f t="shared" si="36"/>
        <v>7827.3930782438847</v>
      </c>
    </row>
    <row r="89" spans="1:25" collapsed="1">
      <c r="B89" s="17" t="s">
        <v>63</v>
      </c>
      <c r="C89" s="17"/>
      <c r="D89" s="17"/>
      <c r="E89" s="17"/>
      <c r="F89" s="17"/>
      <c r="G89" s="73">
        <f t="shared" ref="G89:J89" si="38">+G87+G88</f>
        <v>36066.535000000047</v>
      </c>
      <c r="H89" s="73">
        <f>H87+H88</f>
        <v>148993.03199999983</v>
      </c>
      <c r="I89" s="73">
        <f t="shared" si="38"/>
        <v>185528.86100000003</v>
      </c>
      <c r="J89" s="73">
        <f t="shared" si="38"/>
        <v>343583.32599999994</v>
      </c>
      <c r="K89" s="73">
        <f>+K87+K88</f>
        <v>379346.48300000018</v>
      </c>
      <c r="L89" s="13"/>
      <c r="M89" s="81" t="str">
        <f xml:space="preserve"> B89</f>
        <v>EBITDA</v>
      </c>
      <c r="N89" s="81"/>
      <c r="O89" s="81"/>
      <c r="P89" s="81"/>
      <c r="Q89" s="81"/>
      <c r="R89" s="81"/>
      <c r="S89" s="81"/>
      <c r="T89" s="81"/>
      <c r="U89" s="85">
        <f t="shared" si="29"/>
        <v>11926.369829040061</v>
      </c>
      <c r="V89" s="91">
        <f t="shared" si="30"/>
        <v>44560.662758703147</v>
      </c>
      <c r="W89" s="91">
        <f t="shared" si="35"/>
        <v>45076.13425982168</v>
      </c>
      <c r="X89" s="91">
        <f t="shared" si="32"/>
        <v>60501.739069185925</v>
      </c>
      <c r="Y89" s="91">
        <f t="shared" si="36"/>
        <v>59757.483814054634</v>
      </c>
    </row>
    <row r="90" spans="1:25">
      <c r="A90" s="6"/>
      <c r="B90" s="44"/>
      <c r="C90" s="2" t="s">
        <v>66</v>
      </c>
      <c r="G90" s="76">
        <f>+SUM(G91:G92)</f>
        <v>2052.5569999999998</v>
      </c>
      <c r="H90" s="76">
        <f>+SUM(H91:H92)</f>
        <v>54401.176999999996</v>
      </c>
      <c r="I90" s="76">
        <f>+SUM(I91:I92)</f>
        <v>66817.650999999998</v>
      </c>
      <c r="J90" s="76">
        <f>+SUM(J91:J92)</f>
        <v>79533.081999999995</v>
      </c>
      <c r="K90" s="76">
        <f>+SUM(K92:K92)</f>
        <v>110104.833</v>
      </c>
      <c r="L90" s="3"/>
      <c r="M90" s="83"/>
      <c r="N90" s="83" t="str">
        <f xml:space="preserve"> C90</f>
        <v>Financial income</v>
      </c>
      <c r="O90" s="83"/>
      <c r="P90" s="83"/>
      <c r="Q90" s="83"/>
      <c r="R90" s="83"/>
      <c r="S90" s="83"/>
      <c r="T90" s="83"/>
      <c r="U90" s="94">
        <f t="shared" si="29"/>
        <v>678.73317681293611</v>
      </c>
      <c r="V90" s="60">
        <f t="shared" si="30"/>
        <v>16270.24075846393</v>
      </c>
      <c r="W90" s="60">
        <f t="shared" si="35"/>
        <v>16234.031682013654</v>
      </c>
      <c r="X90" s="60">
        <f t="shared" si="32"/>
        <v>14005.015407913505</v>
      </c>
      <c r="Y90" s="60">
        <f t="shared" si="36"/>
        <v>17344.533482459319</v>
      </c>
    </row>
    <row r="91" spans="1:25" s="6" customFormat="1">
      <c r="A91" s="2"/>
      <c r="C91" s="2"/>
      <c r="D91" s="23" t="s">
        <v>67</v>
      </c>
      <c r="E91" s="2"/>
      <c r="F91" s="2"/>
      <c r="G91" s="55">
        <v>1423.569</v>
      </c>
      <c r="H91" s="55">
        <v>40791.67</v>
      </c>
      <c r="I91" s="55">
        <v>31889.523000000001</v>
      </c>
      <c r="J91" s="55">
        <v>0</v>
      </c>
      <c r="K91" s="55">
        <v>0</v>
      </c>
      <c r="L91" s="13"/>
      <c r="M91" s="83"/>
      <c r="N91" s="83"/>
      <c r="O91" s="92" t="str">
        <f>+D91</f>
        <v>FX gain</v>
      </c>
      <c r="P91" s="83"/>
      <c r="Q91" s="83"/>
      <c r="R91" s="83"/>
      <c r="S91" s="83"/>
      <c r="T91" s="83"/>
      <c r="U91" s="94">
        <f t="shared" si="29"/>
        <v>470.7413775999471</v>
      </c>
      <c r="V91" s="60">
        <f t="shared" si="30"/>
        <v>12199.925230290704</v>
      </c>
      <c r="W91" s="62">
        <f t="shared" si="35"/>
        <v>7747.8857601010723</v>
      </c>
      <c r="X91" s="60">
        <f t="shared" si="32"/>
        <v>0</v>
      </c>
      <c r="Y91" s="62">
        <f t="shared" si="36"/>
        <v>0</v>
      </c>
    </row>
    <row r="92" spans="1:25" s="6" customFormat="1">
      <c r="A92" s="2"/>
      <c r="C92" s="2"/>
      <c r="D92" s="23" t="s">
        <v>68</v>
      </c>
      <c r="E92" s="2"/>
      <c r="F92" s="2"/>
      <c r="G92" s="55">
        <v>628.98800000000006</v>
      </c>
      <c r="H92" s="55">
        <v>13609.507</v>
      </c>
      <c r="I92" s="55">
        <v>34928.127999999997</v>
      </c>
      <c r="J92" s="55">
        <v>79533.081999999995</v>
      </c>
      <c r="K92" s="55">
        <v>110104.833</v>
      </c>
      <c r="L92" s="3"/>
      <c r="M92" s="83"/>
      <c r="N92" s="83"/>
      <c r="O92" s="92" t="str">
        <f>+D92</f>
        <v>Interest income</v>
      </c>
      <c r="P92" s="83"/>
      <c r="Q92" s="83"/>
      <c r="R92" s="83"/>
      <c r="S92" s="83"/>
      <c r="T92" s="83"/>
      <c r="U92" s="94">
        <f t="shared" si="29"/>
        <v>207.99179921298901</v>
      </c>
      <c r="V92" s="60">
        <f t="shared" si="30"/>
        <v>4070.3155281732265</v>
      </c>
      <c r="W92" s="62">
        <f t="shared" si="35"/>
        <v>8486.1459219125827</v>
      </c>
      <c r="X92" s="60">
        <f t="shared" si="32"/>
        <v>14005.015407913505</v>
      </c>
      <c r="Y92" s="77">
        <f>K92 / Y$2</f>
        <v>17344.533482459319</v>
      </c>
    </row>
    <row r="93" spans="1:25" s="6" customFormat="1">
      <c r="A93" s="2"/>
      <c r="C93" s="2" t="s">
        <v>69</v>
      </c>
      <c r="D93" s="2"/>
      <c r="E93" s="2"/>
      <c r="F93" s="2"/>
      <c r="G93" s="76">
        <f>+SUM(G94:G96)</f>
        <v>-109124.341</v>
      </c>
      <c r="H93" s="76">
        <f t="shared" ref="H93" si="39">+SUM(H94:H96)</f>
        <v>-170052.78899999999</v>
      </c>
      <c r="I93" s="76">
        <f t="shared" ref="I93:K93" si="40">+SUM(I94:I96)</f>
        <v>-196457.71299999999</v>
      </c>
      <c r="J93" s="76">
        <f t="shared" si="40"/>
        <v>-314212.26</v>
      </c>
      <c r="K93" s="76">
        <f t="shared" si="40"/>
        <v>-174197.196</v>
      </c>
      <c r="L93" s="3"/>
      <c r="M93" s="83"/>
      <c r="N93" s="83" t="str">
        <f xml:space="preserve"> C93</f>
        <v>Financial Expense</v>
      </c>
      <c r="O93" s="83"/>
      <c r="P93" s="83"/>
      <c r="Q93" s="83"/>
      <c r="R93" s="83"/>
      <c r="S93" s="83"/>
      <c r="T93" s="83"/>
      <c r="U93" s="94">
        <f t="shared" si="29"/>
        <v>-36084.898316854604</v>
      </c>
      <c r="V93" s="60">
        <f t="shared" si="30"/>
        <v>-50859.190393587749</v>
      </c>
      <c r="W93" s="60">
        <f t="shared" si="35"/>
        <v>-47731.410627080346</v>
      </c>
      <c r="X93" s="60">
        <f t="shared" si="32"/>
        <v>-55329.775132508061</v>
      </c>
      <c r="Y93" s="60">
        <f t="shared" ref="Y93:Y101" si="41" xml:space="preserve"> K93 / Y$2</f>
        <v>-27440.839936358912</v>
      </c>
    </row>
    <row r="94" spans="1:25">
      <c r="A94" s="6"/>
      <c r="B94" s="6"/>
      <c r="D94" s="23" t="s">
        <v>70</v>
      </c>
      <c r="G94" s="76">
        <v>-28374.473000000002</v>
      </c>
      <c r="H94" s="76">
        <v>-62267.093999999997</v>
      </c>
      <c r="I94" s="76">
        <v>-108359.83</v>
      </c>
      <c r="J94" s="76">
        <v>-141876.391</v>
      </c>
      <c r="K94" s="76">
        <v>-142925.34899999999</v>
      </c>
      <c r="L94" s="3"/>
      <c r="M94" s="83"/>
      <c r="N94" s="83"/>
      <c r="O94" s="92" t="str">
        <f>+D94</f>
        <v>Interest expenses</v>
      </c>
      <c r="P94" s="83"/>
      <c r="Q94" s="83"/>
      <c r="R94" s="83"/>
      <c r="S94" s="83"/>
      <c r="T94" s="83"/>
      <c r="U94" s="94">
        <f t="shared" si="29"/>
        <v>-9382.7826460765191</v>
      </c>
      <c r="V94" s="60">
        <f t="shared" si="30"/>
        <v>-18622.770068189973</v>
      </c>
      <c r="W94" s="62">
        <f t="shared" si="35"/>
        <v>-26327.12893899269</v>
      </c>
      <c r="X94" s="60">
        <f t="shared" si="32"/>
        <v>-24983.076123897237</v>
      </c>
      <c r="Y94" s="62">
        <f t="shared" si="41"/>
        <v>-22514.665647989161</v>
      </c>
    </row>
    <row r="95" spans="1:25">
      <c r="A95" s="6"/>
      <c r="D95" s="23" t="s">
        <v>71</v>
      </c>
      <c r="G95" s="76">
        <f>(-404221-80345647)/1000</f>
        <v>-80749.868000000002</v>
      </c>
      <c r="H95" s="76">
        <f>(-79185067-28600628)/1000</f>
        <v>-107785.69500000001</v>
      </c>
      <c r="I95" s="76">
        <f>(-34455235-53642648)/1000</f>
        <v>-88097.883000000002</v>
      </c>
      <c r="J95" s="76">
        <f>(-5835853-166500016)/1000</f>
        <v>-172335.86900000001</v>
      </c>
      <c r="K95" s="76">
        <f>(-13232532-18039315)/1000</f>
        <v>-31271.847000000002</v>
      </c>
      <c r="L95" s="3"/>
      <c r="M95" s="83"/>
      <c r="N95" s="83"/>
      <c r="O95" s="92" t="str">
        <f>+D95</f>
        <v>FX loss</v>
      </c>
      <c r="P95" s="83"/>
      <c r="Q95" s="83"/>
      <c r="R95" s="83"/>
      <c r="S95" s="83"/>
      <c r="T95" s="83"/>
      <c r="U95" s="94">
        <f t="shared" si="29"/>
        <v>-26702.115670778086</v>
      </c>
      <c r="V95" s="60">
        <f t="shared" si="30"/>
        <v>-32236.420325397779</v>
      </c>
      <c r="W95" s="62">
        <f t="shared" si="35"/>
        <v>-21404.28168808766</v>
      </c>
      <c r="X95" s="60">
        <f t="shared" si="32"/>
        <v>-30346.699008610827</v>
      </c>
      <c r="Y95" s="62">
        <f t="shared" si="41"/>
        <v>-4926.1742883697489</v>
      </c>
    </row>
    <row r="96" spans="1:25">
      <c r="A96" s="6"/>
      <c r="D96" s="23" t="s">
        <v>72</v>
      </c>
      <c r="G96" s="76">
        <v>0</v>
      </c>
      <c r="H96" s="76">
        <v>0</v>
      </c>
      <c r="I96" s="76">
        <v>0</v>
      </c>
      <c r="J96" s="76">
        <v>0</v>
      </c>
      <c r="K96" s="76">
        <v>0</v>
      </c>
      <c r="L96" s="3"/>
      <c r="M96" s="83"/>
      <c r="N96" s="83"/>
      <c r="O96" s="92" t="str">
        <f>+D96</f>
        <v>Other interest expenses</v>
      </c>
      <c r="P96" s="83"/>
      <c r="Q96" s="83"/>
      <c r="R96" s="83"/>
      <c r="S96" s="83"/>
      <c r="T96" s="83"/>
      <c r="U96" s="94">
        <f t="shared" si="29"/>
        <v>0</v>
      </c>
      <c r="V96" s="60">
        <f t="shared" si="30"/>
        <v>0</v>
      </c>
      <c r="W96" s="62">
        <f t="shared" si="35"/>
        <v>0</v>
      </c>
      <c r="X96" s="60">
        <f t="shared" si="32"/>
        <v>0</v>
      </c>
      <c r="Y96" s="62">
        <f t="shared" si="41"/>
        <v>0</v>
      </c>
    </row>
    <row r="97" spans="1:25">
      <c r="A97" s="6"/>
      <c r="B97" s="2" t="s">
        <v>73</v>
      </c>
      <c r="D97" s="23"/>
      <c r="G97" s="76">
        <f>(-4759453+132622-4380648)/1000</f>
        <v>-9007.4789999999994</v>
      </c>
      <c r="H97" s="76">
        <f>(27937575-40414813+8367291+818444+194961-927098+5672955-12817448-155818)/1000</f>
        <v>-11323.950999999999</v>
      </c>
      <c r="I97" s="76">
        <f>(-38719482+84684300+583175+62076428+167200-131383-23750682-5672955-173855)/1000</f>
        <v>79062.745999999999</v>
      </c>
      <c r="J97" s="76">
        <f>(-48276506+11322568+6287415+220936-19227320-56327076-212187)/1000</f>
        <v>-106212.17</v>
      </c>
      <c r="K97" s="76">
        <f>(-17211867+7735000+7583648+5402118-267292-62078134-1211544)/1000</f>
        <v>-60048.071000000004</v>
      </c>
      <c r="L97" s="3"/>
      <c r="M97" s="2" t="s">
        <v>73</v>
      </c>
      <c r="N97" s="83"/>
      <c r="O97" s="92"/>
      <c r="P97" s="83"/>
      <c r="Q97" s="83"/>
      <c r="R97" s="83"/>
      <c r="S97" s="83"/>
      <c r="T97" s="83"/>
      <c r="U97" s="94">
        <f t="shared" si="29"/>
        <v>-2978.5651929499686</v>
      </c>
      <c r="V97" s="60">
        <f t="shared" si="30"/>
        <v>-3386.7540973800692</v>
      </c>
      <c r="W97" s="62">
        <f t="shared" si="35"/>
        <v>19209.102747880173</v>
      </c>
      <c r="X97" s="60">
        <f t="shared" si="32"/>
        <v>-18702.947753966437</v>
      </c>
      <c r="Y97" s="62">
        <f t="shared" si="41"/>
        <v>-9459.2194514894236</v>
      </c>
    </row>
    <row r="98" spans="1:25">
      <c r="A98" s="6"/>
      <c r="B98" s="6" t="s">
        <v>74</v>
      </c>
      <c r="C98" s="6"/>
      <c r="D98" s="6"/>
      <c r="E98" s="6"/>
      <c r="F98" s="6"/>
      <c r="G98" s="69">
        <f>+G87+G90+G93 +G97</f>
        <v>-100520.63599999994</v>
      </c>
      <c r="H98" s="69">
        <f t="shared" ref="H98:K98" si="42">+H87+H90+H93 +H97</f>
        <v>-10236.703000000152</v>
      </c>
      <c r="I98" s="69">
        <f t="shared" si="42"/>
        <v>96269.298000000024</v>
      </c>
      <c r="J98" s="69">
        <f t="shared" si="42"/>
        <v>-42011.952000000063</v>
      </c>
      <c r="K98" s="69">
        <f t="shared" si="42"/>
        <v>205516.97500000015</v>
      </c>
      <c r="L98" s="3"/>
      <c r="M98" s="61" t="str">
        <f xml:space="preserve"> B98</f>
        <v>EBT</v>
      </c>
      <c r="N98" s="61"/>
      <c r="O98" s="61"/>
      <c r="P98" s="61"/>
      <c r="Q98" s="61"/>
      <c r="R98" s="61"/>
      <c r="S98" s="61"/>
      <c r="T98" s="61"/>
      <c r="U98" s="94">
        <f t="shared" si="29"/>
        <v>-33239.851856750749</v>
      </c>
      <c r="V98" s="89">
        <f t="shared" si="30"/>
        <v>-3061.5812298122241</v>
      </c>
      <c r="W98" s="89">
        <f t="shared" si="35"/>
        <v>23389.610534755466</v>
      </c>
      <c r="X98" s="89">
        <f t="shared" si="32"/>
        <v>-7397.903115039896</v>
      </c>
      <c r="Y98" s="89">
        <f t="shared" si="41"/>
        <v>32374.564830421728</v>
      </c>
    </row>
    <row r="99" spans="1:25">
      <c r="C99" s="2" t="s">
        <v>75</v>
      </c>
      <c r="G99" s="76">
        <v>-184.06899999999999</v>
      </c>
      <c r="H99" s="76">
        <v>-12298.491</v>
      </c>
      <c r="I99" s="76">
        <v>-13511.326999999999</v>
      </c>
      <c r="J99" s="76">
        <v>-14384.165000000001</v>
      </c>
      <c r="K99" s="76">
        <v>-57388.02</v>
      </c>
      <c r="L99" s="3"/>
      <c r="M99" s="61"/>
      <c r="N99" s="83" t="str">
        <f xml:space="preserve"> C99</f>
        <v>Current Tax</v>
      </c>
      <c r="O99" s="83"/>
      <c r="P99" s="83"/>
      <c r="Q99" s="83"/>
      <c r="R99" s="83"/>
      <c r="S99" s="83"/>
      <c r="T99" s="83"/>
      <c r="U99" s="94">
        <f t="shared" si="29"/>
        <v>-60.867365497172713</v>
      </c>
      <c r="V99" s="60">
        <f t="shared" si="30"/>
        <v>-3678.2183873669101</v>
      </c>
      <c r="W99" s="60">
        <f t="shared" si="35"/>
        <v>-3282.7150805413153</v>
      </c>
      <c r="X99" s="60">
        <f t="shared" si="32"/>
        <v>-2532.9139446019481</v>
      </c>
      <c r="Y99" s="60">
        <f t="shared" si="41"/>
        <v>-9040.1884028291934</v>
      </c>
    </row>
    <row r="100" spans="1:25">
      <c r="C100" s="2" t="s">
        <v>76</v>
      </c>
      <c r="D100" s="6"/>
      <c r="E100" s="6"/>
      <c r="F100" s="6"/>
      <c r="G100" s="76">
        <v>15547.21</v>
      </c>
      <c r="H100" s="76">
        <v>5634.8559999999998</v>
      </c>
      <c r="I100" s="76">
        <v>-16079.046</v>
      </c>
      <c r="J100" s="76">
        <v>22904.959999999999</v>
      </c>
      <c r="K100" s="76">
        <v>10794.063</v>
      </c>
      <c r="L100" s="13"/>
      <c r="M100" s="83"/>
      <c r="N100" s="83" t="str">
        <f xml:space="preserve"> C100</f>
        <v>Deferred Tax</v>
      </c>
      <c r="O100" s="61"/>
      <c r="P100" s="61"/>
      <c r="Q100" s="61"/>
      <c r="R100" s="61"/>
      <c r="S100" s="61"/>
      <c r="T100" s="61"/>
      <c r="U100" s="85">
        <f t="shared" si="29"/>
        <v>5141.103138123739</v>
      </c>
      <c r="V100" s="60">
        <f t="shared" si="30"/>
        <v>1685.2661801650916</v>
      </c>
      <c r="W100" s="60">
        <f t="shared" si="35"/>
        <v>-3906.568672708278</v>
      </c>
      <c r="X100" s="60">
        <f t="shared" si="32"/>
        <v>4033.3444857278701</v>
      </c>
      <c r="Y100" s="60">
        <f t="shared" si="41"/>
        <v>1700.3612104409194</v>
      </c>
    </row>
    <row r="101" spans="1:25">
      <c r="A101" s="6"/>
      <c r="B101" s="29" t="s">
        <v>49</v>
      </c>
      <c r="C101" s="29"/>
      <c r="D101" s="29"/>
      <c r="E101" s="29"/>
      <c r="F101" s="29"/>
      <c r="G101" s="67">
        <f t="shared" ref="G101:J101" si="43">SUM(G98:G100)</f>
        <v>-85157.494999999937</v>
      </c>
      <c r="H101" s="67">
        <f t="shared" si="43"/>
        <v>-16900.338000000153</v>
      </c>
      <c r="I101" s="67">
        <f t="shared" si="43"/>
        <v>66678.925000000017</v>
      </c>
      <c r="J101" s="67">
        <f t="shared" si="43"/>
        <v>-33491.157000000065</v>
      </c>
      <c r="K101" s="67">
        <f t="shared" ref="K101" si="44">SUM(K98:K100)</f>
        <v>158923.01800000016</v>
      </c>
      <c r="L101" s="3"/>
      <c r="M101" s="86" t="str">
        <f xml:space="preserve"> B101</f>
        <v>Net income</v>
      </c>
      <c r="N101" s="86"/>
      <c r="O101" s="86"/>
      <c r="P101" s="86"/>
      <c r="Q101" s="86"/>
      <c r="R101" s="86"/>
      <c r="S101" s="86"/>
      <c r="T101" s="86"/>
      <c r="U101" s="95">
        <f t="shared" si="29"/>
        <v>-28159.616084124184</v>
      </c>
      <c r="V101" s="88">
        <f t="shared" si="30"/>
        <v>-5054.5334370140426</v>
      </c>
      <c r="W101" s="88">
        <f t="shared" si="35"/>
        <v>16200.326781505872</v>
      </c>
      <c r="X101" s="88">
        <f t="shared" si="32"/>
        <v>-5897.472573913974</v>
      </c>
      <c r="Y101" s="88">
        <f t="shared" si="41"/>
        <v>25034.737638033454</v>
      </c>
    </row>
    <row r="102" spans="1:25" s="6" customFormat="1">
      <c r="A102" s="2"/>
      <c r="G102" s="66"/>
      <c r="H102" s="66"/>
      <c r="I102" s="66"/>
      <c r="J102" s="66"/>
      <c r="K102" s="66"/>
      <c r="L102" s="13"/>
      <c r="M102" s="61"/>
      <c r="N102" s="61"/>
      <c r="O102" s="61"/>
      <c r="P102" s="61"/>
      <c r="Q102" s="61"/>
      <c r="R102" s="61"/>
      <c r="S102" s="61"/>
      <c r="T102" s="61"/>
      <c r="U102" s="94"/>
      <c r="V102" s="93"/>
      <c r="W102" s="93"/>
      <c r="X102" s="93"/>
      <c r="Y102" s="93"/>
    </row>
    <row r="103" spans="1:25" s="6" customFormat="1">
      <c r="B103" s="2" t="s">
        <v>77</v>
      </c>
      <c r="C103" s="2"/>
      <c r="D103" s="2"/>
      <c r="E103" s="2"/>
      <c r="F103" s="2"/>
      <c r="G103" s="76">
        <f>(+SUM(G105:G107))</f>
        <v>-20507.907999999999</v>
      </c>
      <c r="H103" s="76">
        <f t="shared" ref="H103:K103" si="45">(+SUM(H105:H107))</f>
        <v>-32158.049000000003</v>
      </c>
      <c r="I103" s="76">
        <f t="shared" si="45"/>
        <v>-38393.002</v>
      </c>
      <c r="J103" s="76">
        <f t="shared" si="45"/>
        <v>-43014.292999999998</v>
      </c>
      <c r="K103" s="76">
        <f t="shared" si="45"/>
        <v>-47676.034000000007</v>
      </c>
      <c r="L103" s="13"/>
      <c r="M103" s="83" t="str">
        <f xml:space="preserve"> B103</f>
        <v>Total Depreciation</v>
      </c>
      <c r="N103" s="83"/>
      <c r="O103" s="83"/>
      <c r="P103" s="83"/>
      <c r="Q103" s="83"/>
      <c r="R103" s="83"/>
      <c r="S103" s="83"/>
      <c r="T103" s="83"/>
      <c r="U103" s="85">
        <f xml:space="preserve"> G103 / U$2</f>
        <v>-6781.4913527991803</v>
      </c>
      <c r="V103" s="60">
        <f xml:space="preserve"> H103 /V$2</f>
        <v>-9617.7919009450907</v>
      </c>
      <c r="W103" s="60">
        <f xml:space="preserve"> I103 / W$2</f>
        <v>-9327.9724969022573</v>
      </c>
      <c r="X103" s="60">
        <f xml:space="preserve"> J103 /X$2</f>
        <v>-7574.4057828100513</v>
      </c>
      <c r="Y103" s="60">
        <f xml:space="preserve"> K103 / Y$2</f>
        <v>-7510.284021990833</v>
      </c>
    </row>
    <row r="104" spans="1:25" s="6" customFormat="1">
      <c r="B104" s="29" t="s">
        <v>63</v>
      </c>
      <c r="C104" s="29"/>
      <c r="D104" s="29"/>
      <c r="E104" s="29"/>
      <c r="F104" s="29"/>
      <c r="G104" s="67">
        <f xml:space="preserve"> G89</f>
        <v>36066.535000000047</v>
      </c>
      <c r="H104" s="67">
        <f t="shared" ref="H104:K104" si="46" xml:space="preserve"> H89</f>
        <v>148993.03199999983</v>
      </c>
      <c r="I104" s="67">
        <f t="shared" si="46"/>
        <v>185528.86100000003</v>
      </c>
      <c r="J104" s="67">
        <f t="shared" si="46"/>
        <v>343583.32599999994</v>
      </c>
      <c r="K104" s="67">
        <f t="shared" si="46"/>
        <v>379346.48300000018</v>
      </c>
      <c r="L104" s="13"/>
      <c r="M104" s="86" t="str">
        <f xml:space="preserve"> B104</f>
        <v>EBITDA</v>
      </c>
      <c r="N104" s="86"/>
      <c r="O104" s="86"/>
      <c r="P104" s="86"/>
      <c r="Q104" s="86"/>
      <c r="R104" s="86"/>
      <c r="S104" s="86"/>
      <c r="T104" s="86"/>
      <c r="U104" s="91">
        <f xml:space="preserve"> G104 / U$2</f>
        <v>11926.369829040061</v>
      </c>
      <c r="V104" s="88">
        <f xml:space="preserve"> H104 /V$2</f>
        <v>44560.662758703147</v>
      </c>
      <c r="W104" s="88">
        <f xml:space="preserve"> I104 / W$2</f>
        <v>45076.13425982168</v>
      </c>
      <c r="X104" s="88">
        <f xml:space="preserve"> J104 /X$2</f>
        <v>60501.739069185925</v>
      </c>
      <c r="Y104" s="88">
        <f xml:space="preserve"> K104 / Y$2</f>
        <v>59757.483814054634</v>
      </c>
    </row>
    <row r="105" spans="1:25" s="6" customFormat="1">
      <c r="C105" s="2" t="s">
        <v>78</v>
      </c>
      <c r="D105" s="2"/>
      <c r="E105" s="2"/>
      <c r="F105" s="2"/>
      <c r="G105" s="76">
        <v>-13888.442999999999</v>
      </c>
      <c r="H105" s="76">
        <v>-24835.113000000001</v>
      </c>
      <c r="I105" s="76">
        <v>-28544.074000000001</v>
      </c>
      <c r="J105" s="76">
        <v>-34412.784</v>
      </c>
      <c r="K105" s="76">
        <v>-37063.586000000003</v>
      </c>
      <c r="L105" s="3"/>
      <c r="M105" s="61"/>
      <c r="N105" s="83" t="str">
        <f xml:space="preserve"> C105</f>
        <v>Depreciation and amortization (COGS)</v>
      </c>
      <c r="O105" s="83"/>
      <c r="P105" s="83"/>
      <c r="Q105" s="83"/>
      <c r="R105" s="83"/>
      <c r="S105" s="83"/>
      <c r="T105" s="83"/>
      <c r="U105" s="94">
        <f xml:space="preserve"> G105 / U$2</f>
        <v>-4592.5872160312156</v>
      </c>
      <c r="V105" s="60">
        <f xml:space="preserve"> H105 /V$2</f>
        <v>-7427.6567173106832</v>
      </c>
      <c r="W105" s="60">
        <f xml:space="preserve"> I105 / W$2</f>
        <v>-6935.0747102699288</v>
      </c>
      <c r="X105" s="60">
        <f xml:space="preserve"> J105 /X$2</f>
        <v>-6059.7622779059329</v>
      </c>
      <c r="Y105" s="60">
        <f xml:space="preserve"> K105 / Y$2</f>
        <v>-5838.5321592287464</v>
      </c>
    </row>
    <row r="106" spans="1:25" s="6" customFormat="1">
      <c r="C106" s="2" t="s">
        <v>79</v>
      </c>
      <c r="D106" s="2"/>
      <c r="E106" s="2"/>
      <c r="F106" s="2"/>
      <c r="G106" s="76">
        <v>-6024.5370000000003</v>
      </c>
      <c r="H106" s="76">
        <v>-5834.4110000000001</v>
      </c>
      <c r="I106" s="76">
        <v>-7794.7749999999996</v>
      </c>
      <c r="J106" s="76">
        <v>-6700.0789999999997</v>
      </c>
      <c r="K106" s="76">
        <v>-8583.1710000000003</v>
      </c>
      <c r="L106" s="13"/>
      <c r="M106" s="61"/>
      <c r="N106" s="83" t="str">
        <f xml:space="preserve"> C106</f>
        <v>Depreciation and amortization (S&amp;M)</v>
      </c>
      <c r="O106" s="83"/>
      <c r="P106" s="83"/>
      <c r="Q106" s="83"/>
      <c r="R106" s="83"/>
      <c r="S106" s="83"/>
      <c r="T106" s="83"/>
      <c r="U106" s="94">
        <f xml:space="preserve"> G106 / U$2</f>
        <v>-1992.1751926192919</v>
      </c>
      <c r="V106" s="60">
        <f xml:space="preserve"> H106 /V$2</f>
        <v>-1744.948857518842</v>
      </c>
      <c r="W106" s="60">
        <f xml:space="preserve"> I106 / W$2</f>
        <v>-1893.8203066158069</v>
      </c>
      <c r="X106" s="60">
        <f xml:space="preserve"> J106 /X$2</f>
        <v>-1179.8198594798289</v>
      </c>
      <c r="Y106" s="60">
        <f xml:space="preserve"> K106 / Y$2</f>
        <v>-1352.0850333170556</v>
      </c>
    </row>
    <row r="107" spans="1:25" s="6" customFormat="1">
      <c r="B107" s="2"/>
      <c r="C107" s="2" t="s">
        <v>80</v>
      </c>
      <c r="D107" s="2"/>
      <c r="E107" s="2"/>
      <c r="F107" s="2"/>
      <c r="G107" s="76">
        <v>-594.928</v>
      </c>
      <c r="H107" s="76">
        <v>-1488.5250000000001</v>
      </c>
      <c r="I107" s="76">
        <v>-2054.1529999999998</v>
      </c>
      <c r="J107" s="76">
        <v>-1901.43</v>
      </c>
      <c r="K107" s="76">
        <v>-2029.277</v>
      </c>
      <c r="L107" s="5"/>
      <c r="M107" s="61"/>
      <c r="N107" s="83" t="str">
        <f xml:space="preserve"> C107</f>
        <v>Depreciation and amortization (GA)</v>
      </c>
      <c r="O107" s="83"/>
      <c r="P107" s="83"/>
      <c r="Q107" s="83"/>
      <c r="R107" s="83"/>
      <c r="S107" s="83"/>
      <c r="T107" s="83"/>
      <c r="U107" s="94">
        <f xml:space="preserve"> G107 / U$2</f>
        <v>-196.72894414867235</v>
      </c>
      <c r="V107" s="60">
        <f xml:space="preserve"> H107 /V$2</f>
        <v>-445.1863261155641</v>
      </c>
      <c r="W107" s="60">
        <f xml:space="preserve"> I107 / W$2</f>
        <v>-499.07748001652124</v>
      </c>
      <c r="X107" s="60">
        <f xml:space="preserve"> J107 /X$2</f>
        <v>-334.82364542428996</v>
      </c>
      <c r="Y107" s="60">
        <f xml:space="preserve"> K107 / Y$2</f>
        <v>-319.66682944503083</v>
      </c>
    </row>
    <row r="108" spans="1:25" s="6" customFormat="1">
      <c r="C108" s="83" t="s">
        <v>152</v>
      </c>
      <c r="D108" s="2"/>
      <c r="E108" s="2"/>
      <c r="F108" s="2"/>
      <c r="G108" s="76">
        <v>0</v>
      </c>
      <c r="H108" s="76">
        <v>-96.123000000000005</v>
      </c>
      <c r="I108" s="76">
        <v>-289.245</v>
      </c>
      <c r="J108" s="76">
        <v>-1689.6369999999999</v>
      </c>
      <c r="K108" s="76">
        <v>-2013.04</v>
      </c>
      <c r="L108" s="5"/>
      <c r="N108" s="2"/>
      <c r="O108" s="2"/>
      <c r="P108" s="2"/>
      <c r="Q108" s="2"/>
      <c r="R108" s="2"/>
      <c r="S108" s="2"/>
      <c r="T108" s="2"/>
      <c r="U108" s="34"/>
      <c r="V108" s="34"/>
      <c r="W108" s="34"/>
      <c r="X108" s="34"/>
      <c r="Y108" s="34"/>
    </row>
    <row r="109" spans="1:25" s="6" customFormat="1">
      <c r="C109" s="83"/>
      <c r="D109" s="2"/>
      <c r="E109" s="2"/>
      <c r="F109" s="2"/>
      <c r="G109" s="76"/>
      <c r="H109" s="76"/>
      <c r="I109" s="76"/>
      <c r="J109" s="76"/>
      <c r="K109" s="76"/>
      <c r="L109" s="5"/>
      <c r="N109" s="2"/>
      <c r="O109" s="2"/>
      <c r="P109" s="2"/>
      <c r="Q109" s="2"/>
      <c r="R109" s="2"/>
      <c r="S109" s="2"/>
      <c r="T109" s="2"/>
      <c r="U109" s="34"/>
      <c r="V109" s="34"/>
      <c r="W109" s="34"/>
      <c r="X109" s="34"/>
      <c r="Y109" s="34"/>
    </row>
    <row r="110" spans="1:25">
      <c r="B110" s="11" t="s">
        <v>97</v>
      </c>
      <c r="C110" s="9"/>
      <c r="D110" s="9"/>
      <c r="E110" s="9"/>
      <c r="F110" s="9"/>
      <c r="G110" s="72"/>
      <c r="H110" s="72"/>
      <c r="I110" s="72"/>
      <c r="J110" s="72"/>
      <c r="K110" s="72"/>
      <c r="L110" s="5"/>
      <c r="M110" s="6"/>
      <c r="U110" s="34"/>
      <c r="V110" s="34"/>
      <c r="W110" s="34"/>
      <c r="X110" s="34"/>
      <c r="Y110" s="34"/>
    </row>
    <row r="111" spans="1:25">
      <c r="B111" s="6"/>
      <c r="C111" s="16" t="str">
        <f>$C$6</f>
        <v>in TRY thousands</v>
      </c>
      <c r="D111" s="17"/>
      <c r="E111" s="17"/>
      <c r="F111" s="17"/>
      <c r="G111" s="73"/>
      <c r="H111" s="105">
        <f>H77</f>
        <v>2016</v>
      </c>
      <c r="I111" s="105">
        <f>I77</f>
        <v>2017</v>
      </c>
      <c r="J111" s="105">
        <f>J77</f>
        <v>2018</v>
      </c>
      <c r="K111" s="105">
        <f>K77</f>
        <v>2019</v>
      </c>
      <c r="L111" s="5"/>
      <c r="M111" s="6"/>
      <c r="U111" s="34"/>
      <c r="V111" s="34"/>
      <c r="W111" s="34"/>
      <c r="X111" s="34"/>
      <c r="Y111" s="34"/>
    </row>
    <row r="112" spans="1:25" outlineLevel="1">
      <c r="B112" s="6" t="s">
        <v>65</v>
      </c>
      <c r="C112" s="6"/>
      <c r="D112" s="6"/>
      <c r="E112" s="6"/>
      <c r="F112" s="6"/>
      <c r="G112" s="69"/>
      <c r="H112" s="69">
        <f>+H87</f>
        <v>116738.85999999983</v>
      </c>
      <c r="I112" s="69">
        <f>+I87</f>
        <v>146846.61400000003</v>
      </c>
      <c r="J112" s="69">
        <f>+J87</f>
        <v>298879.39599999995</v>
      </c>
      <c r="K112" s="69">
        <f>+K87</f>
        <v>329657.40900000016</v>
      </c>
      <c r="L112" s="5"/>
      <c r="M112" s="6"/>
      <c r="U112" s="34"/>
      <c r="V112" s="34"/>
      <c r="W112" s="34"/>
      <c r="X112" s="34"/>
      <c r="Y112" s="34"/>
    </row>
    <row r="113" spans="2:25" outlineLevel="1">
      <c r="B113" s="2" t="s">
        <v>98</v>
      </c>
      <c r="G113" s="66"/>
      <c r="H113" s="66">
        <f>SUM(H114:H116)</f>
        <v>-39117.932000000015</v>
      </c>
      <c r="I113" s="66">
        <f>SUM(I114:I116)</f>
        <v>66874.388000000006</v>
      </c>
      <c r="J113" s="66">
        <f>SUM(J114:J116)</f>
        <v>-145790.23200000002</v>
      </c>
      <c r="K113" s="66">
        <f>SUM(K114:K116)</f>
        <v>21880.032000000007</v>
      </c>
      <c r="L113" s="111"/>
      <c r="M113" s="6"/>
      <c r="U113" s="34"/>
      <c r="V113" s="34"/>
      <c r="W113" s="34"/>
      <c r="X113" s="34"/>
      <c r="Y113" s="34"/>
    </row>
    <row r="114" spans="2:25" outlineLevel="1">
      <c r="C114" s="2" t="s">
        <v>64</v>
      </c>
      <c r="G114" s="66"/>
      <c r="H114" s="60">
        <f>H88</f>
        <v>32254.171999999999</v>
      </c>
      <c r="I114" s="60">
        <f>I88</f>
        <v>38682.247000000003</v>
      </c>
      <c r="J114" s="60">
        <f>J88</f>
        <v>44703.93</v>
      </c>
      <c r="K114" s="60">
        <f>K88</f>
        <v>49689.074000000001</v>
      </c>
      <c r="L114" s="111"/>
      <c r="M114" s="6"/>
      <c r="U114" s="34"/>
      <c r="V114" s="34"/>
      <c r="W114" s="34"/>
      <c r="X114" s="34"/>
      <c r="Y114" s="34"/>
    </row>
    <row r="115" spans="2:25" outlineLevel="1">
      <c r="C115" s="2" t="s">
        <v>99</v>
      </c>
      <c r="G115" s="66"/>
      <c r="H115" s="106">
        <f>SUM(H90,H95,H97)</f>
        <v>-64708.469000000012</v>
      </c>
      <c r="I115" s="106">
        <f t="shared" ref="I115:K115" si="47">SUM(I90,I95,I97)</f>
        <v>57782.513999999996</v>
      </c>
      <c r="J115" s="106">
        <f t="shared" si="47"/>
        <v>-199014.95699999999</v>
      </c>
      <c r="K115" s="106">
        <f t="shared" si="47"/>
        <v>18784.915000000001</v>
      </c>
      <c r="L115" s="111"/>
      <c r="M115" s="6"/>
      <c r="U115" s="34"/>
      <c r="V115" s="34"/>
      <c r="W115" s="34"/>
      <c r="X115" s="34"/>
      <c r="Y115" s="34"/>
    </row>
    <row r="116" spans="2:25" outlineLevel="1">
      <c r="C116" s="2" t="s">
        <v>100</v>
      </c>
      <c r="G116" s="66"/>
      <c r="H116" s="60">
        <f>(H99+H100)</f>
        <v>-6663.6350000000002</v>
      </c>
      <c r="I116" s="60">
        <f>(I99+I100)</f>
        <v>-29590.373</v>
      </c>
      <c r="J116" s="60">
        <f>(J99+J100)</f>
        <v>8520.7949999999983</v>
      </c>
      <c r="K116" s="60">
        <f>(K99+K100)</f>
        <v>-46593.956999999995</v>
      </c>
      <c r="L116" s="111"/>
      <c r="M116" s="6"/>
      <c r="U116" s="34"/>
      <c r="V116" s="34"/>
      <c r="W116" s="34"/>
      <c r="X116" s="34"/>
      <c r="Y116" s="34"/>
    </row>
    <row r="117" spans="2:25" outlineLevel="1">
      <c r="B117" s="29" t="s">
        <v>101</v>
      </c>
      <c r="C117" s="29"/>
      <c r="D117" s="29"/>
      <c r="E117" s="29"/>
      <c r="F117" s="29"/>
      <c r="G117" s="67"/>
      <c r="H117" s="67">
        <f>SUM(H112:H113)</f>
        <v>77620.927999999811</v>
      </c>
      <c r="I117" s="67">
        <f t="shared" ref="I117:K117" si="48">SUM(I112:I113)</f>
        <v>213721.00200000004</v>
      </c>
      <c r="J117" s="67">
        <f t="shared" si="48"/>
        <v>153089.16399999993</v>
      </c>
      <c r="K117" s="67">
        <f t="shared" si="48"/>
        <v>351537.44100000017</v>
      </c>
      <c r="L117" s="112"/>
      <c r="U117" s="34"/>
      <c r="V117" s="34"/>
      <c r="W117" s="34"/>
      <c r="X117" s="34"/>
      <c r="Y117" s="34"/>
    </row>
    <row r="118" spans="2:25" outlineLevel="1">
      <c r="B118" s="2" t="s">
        <v>102</v>
      </c>
      <c r="G118" s="66"/>
      <c r="H118" s="68">
        <f>SUM(H119:H123)</f>
        <v>-293176.826</v>
      </c>
      <c r="I118" s="68">
        <f t="shared" ref="I118:K118" si="49">SUM(I119:I123)</f>
        <v>593971.23099999991</v>
      </c>
      <c r="J118" s="68">
        <f t="shared" si="49"/>
        <v>-633307.48499999999</v>
      </c>
      <c r="K118" s="68">
        <f t="shared" si="49"/>
        <v>387643.44499999995</v>
      </c>
      <c r="L118" s="111"/>
      <c r="M118" s="6"/>
      <c r="U118" s="34"/>
      <c r="V118" s="34"/>
      <c r="W118" s="34"/>
      <c r="X118" s="34"/>
      <c r="Y118" s="34"/>
    </row>
    <row r="119" spans="2:25" outlineLevel="1">
      <c r="C119" s="2" t="s">
        <v>8</v>
      </c>
      <c r="G119" s="66"/>
      <c r="H119" s="66">
        <f>G8-H8</f>
        <v>-78374.088999999978</v>
      </c>
      <c r="I119" s="66">
        <f>H8-I8</f>
        <v>-60968.414999999979</v>
      </c>
      <c r="J119" s="66">
        <f>I8-J8</f>
        <v>64298.412999999942</v>
      </c>
      <c r="K119" s="66">
        <f>J8-K8</f>
        <v>62359.92200000002</v>
      </c>
      <c r="L119" s="111"/>
      <c r="M119" s="6"/>
      <c r="U119" s="34"/>
      <c r="V119" s="34"/>
      <c r="W119" s="34"/>
      <c r="X119" s="34"/>
      <c r="Y119" s="34"/>
    </row>
    <row r="120" spans="2:25" outlineLevel="1">
      <c r="B120" s="116"/>
      <c r="C120" s="116" t="s">
        <v>14</v>
      </c>
      <c r="D120" s="116"/>
      <c r="E120" s="116"/>
      <c r="F120" s="116"/>
      <c r="G120" s="79"/>
      <c r="H120" s="79">
        <f>G15-H15</f>
        <v>-53368.674999999988</v>
      </c>
      <c r="I120" s="79">
        <f>H15-I15</f>
        <v>-4985.1170000000275</v>
      </c>
      <c r="J120" s="79">
        <f>I15-J15</f>
        <v>-27611.371999999974</v>
      </c>
      <c r="K120" s="79">
        <f>J15-K15</f>
        <v>-54488.414000000048</v>
      </c>
      <c r="L120" s="111"/>
      <c r="M120" s="6"/>
      <c r="U120" s="34"/>
      <c r="V120" s="34"/>
      <c r="W120" s="34"/>
      <c r="X120" s="34"/>
      <c r="Y120" s="34"/>
    </row>
    <row r="121" spans="2:25" outlineLevel="1">
      <c r="B121" s="116"/>
      <c r="C121" s="116" t="s">
        <v>103</v>
      </c>
      <c r="D121" s="116"/>
      <c r="E121" s="116"/>
      <c r="F121" s="116"/>
      <c r="G121" s="79"/>
      <c r="H121" s="79">
        <f>(G11-H11 +G16-H16+G17-H17+G18-H18+G14-H14)</f>
        <v>-400538.18100000004</v>
      </c>
      <c r="I121" s="79">
        <f t="shared" ref="I121:K121" si="50">(H11-I11 +H16-I16+H17-I17+H18-I18+H14-I14)</f>
        <v>448580.72399999999</v>
      </c>
      <c r="J121" s="79">
        <f t="shared" si="50"/>
        <v>-474057.42599999992</v>
      </c>
      <c r="K121" s="79">
        <f t="shared" si="50"/>
        <v>310752.84499999997</v>
      </c>
      <c r="L121" s="111"/>
      <c r="M121" s="6"/>
      <c r="U121" s="34"/>
      <c r="V121" s="34"/>
      <c r="W121" s="34"/>
      <c r="X121" s="34"/>
      <c r="Y121" s="34"/>
    </row>
    <row r="122" spans="2:25" outlineLevel="1">
      <c r="B122" s="116"/>
      <c r="C122" s="116" t="s">
        <v>29</v>
      </c>
      <c r="D122" s="116"/>
      <c r="E122" s="116"/>
      <c r="F122" s="116"/>
      <c r="G122" s="79"/>
      <c r="H122" s="79">
        <f>H35-G35</f>
        <v>74707.808000000019</v>
      </c>
      <c r="I122" s="79">
        <f t="shared" ref="I122:K122" si="51">I35-H35</f>
        <v>180155.84299999999</v>
      </c>
      <c r="J122" s="79">
        <f t="shared" si="51"/>
        <v>-17896.348999999987</v>
      </c>
      <c r="K122" s="79">
        <f t="shared" si="51"/>
        <v>-44934.988000000012</v>
      </c>
      <c r="L122" s="111"/>
      <c r="M122" s="6"/>
      <c r="U122" s="34"/>
      <c r="V122" s="34"/>
      <c r="W122" s="34"/>
      <c r="X122" s="34"/>
      <c r="Y122" s="34"/>
    </row>
    <row r="123" spans="2:25" outlineLevel="1">
      <c r="B123" s="116"/>
      <c r="C123" s="116" t="s">
        <v>114</v>
      </c>
      <c r="D123" s="116"/>
      <c r="E123" s="116"/>
      <c r="F123" s="116"/>
      <c r="G123" s="79"/>
      <c r="H123" s="79">
        <f>(H39-G39 + H40-G40+H43-G43+H44-G44+H45-G45+H38-G38)</f>
        <v>164396.31100000002</v>
      </c>
      <c r="I123" s="79">
        <f t="shared" ref="I123:K123" si="52">(I39-H39 + I40-H40+I43-H43+I44-H44+I45-H45+I38-H38)</f>
        <v>31188.196000000004</v>
      </c>
      <c r="J123" s="79">
        <f t="shared" si="52"/>
        <v>-178040.75100000002</v>
      </c>
      <c r="K123" s="79">
        <f t="shared" si="52"/>
        <v>113954.08</v>
      </c>
      <c r="L123" s="111"/>
      <c r="M123" s="6"/>
      <c r="U123" s="34"/>
      <c r="V123" s="34"/>
      <c r="W123" s="34"/>
      <c r="X123" s="34"/>
      <c r="Y123" s="34"/>
    </row>
    <row r="124" spans="2:25" outlineLevel="1">
      <c r="B124" s="119" t="s">
        <v>104</v>
      </c>
      <c r="C124" s="119"/>
      <c r="D124" s="119"/>
      <c r="E124" s="119"/>
      <c r="F124" s="119"/>
      <c r="G124" s="120"/>
      <c r="H124" s="120">
        <f xml:space="preserve"> H117 + H118</f>
        <v>-215555.89800000019</v>
      </c>
      <c r="I124" s="120">
        <f t="shared" ref="I124:K124" si="53" xml:space="preserve"> I117 + I118</f>
        <v>807692.23300000001</v>
      </c>
      <c r="J124" s="120">
        <f t="shared" si="53"/>
        <v>-480218.32100000005</v>
      </c>
      <c r="K124" s="120">
        <f t="shared" si="53"/>
        <v>739180.88600000017</v>
      </c>
      <c r="L124" s="111"/>
      <c r="M124" s="6"/>
      <c r="U124" s="34"/>
      <c r="V124" s="34"/>
      <c r="W124" s="34"/>
      <c r="X124" s="34"/>
      <c r="Y124" s="34"/>
    </row>
    <row r="125" spans="2:25" outlineLevel="1">
      <c r="B125" s="116"/>
      <c r="C125" s="116" t="s">
        <v>115</v>
      </c>
      <c r="D125" s="116"/>
      <c r="E125" s="116"/>
      <c r="F125" s="116"/>
      <c r="G125" s="79"/>
      <c r="H125" s="79">
        <f>(G25-(H25+H114))</f>
        <v>-99785.939000000013</v>
      </c>
      <c r="I125" s="79">
        <f t="shared" ref="I125:K125" si="54">(H25-(I25+I114))</f>
        <v>-425260.86599999998</v>
      </c>
      <c r="J125" s="79">
        <f t="shared" si="54"/>
        <v>-99695.506000000052</v>
      </c>
      <c r="K125" s="79">
        <f t="shared" si="54"/>
        <v>-40695.376000000047</v>
      </c>
      <c r="L125" s="113"/>
      <c r="M125" s="6"/>
      <c r="U125" s="34"/>
      <c r="V125" s="34"/>
      <c r="W125" s="34"/>
      <c r="X125" s="34"/>
      <c r="Y125" s="34"/>
    </row>
    <row r="126" spans="2:25" outlineLevel="1">
      <c r="B126" s="116"/>
      <c r="C126" s="116" t="s">
        <v>116</v>
      </c>
      <c r="D126" s="116"/>
      <c r="E126" s="116"/>
      <c r="F126" s="116"/>
      <c r="G126" s="79"/>
      <c r="H126" s="79">
        <f>(G26-H26)</f>
        <v>-1758.4399999999998</v>
      </c>
      <c r="I126" s="79">
        <f t="shared" ref="I126:K126" si="55">(H26-I26)</f>
        <v>-2647.5260000000003</v>
      </c>
      <c r="J126" s="79">
        <f t="shared" si="55"/>
        <v>-4890.9930000000004</v>
      </c>
      <c r="K126" s="79">
        <f t="shared" si="55"/>
        <v>-3878.4629999999997</v>
      </c>
      <c r="L126" s="111"/>
      <c r="M126" s="6"/>
      <c r="U126" s="34"/>
      <c r="V126" s="34"/>
      <c r="W126" s="34"/>
      <c r="X126" s="34"/>
      <c r="Y126" s="34"/>
    </row>
    <row r="127" spans="2:25" outlineLevel="1">
      <c r="B127" s="116"/>
      <c r="C127" s="116" t="s">
        <v>117</v>
      </c>
      <c r="D127" s="116"/>
      <c r="E127" s="116"/>
      <c r="F127" s="116"/>
      <c r="G127" s="79"/>
      <c r="H127" s="79">
        <f>G20-H20</f>
        <v>0</v>
      </c>
      <c r="I127" s="79">
        <f t="shared" ref="I127:K127" si="56">H20-I20</f>
        <v>0</v>
      </c>
      <c r="J127" s="79">
        <f t="shared" si="56"/>
        <v>3028.25</v>
      </c>
      <c r="K127" s="79">
        <f t="shared" si="56"/>
        <v>25.661000000000058</v>
      </c>
      <c r="L127" s="111"/>
      <c r="M127" s="6"/>
      <c r="U127" s="34"/>
      <c r="V127" s="34"/>
      <c r="W127" s="34"/>
      <c r="X127" s="34"/>
      <c r="Y127" s="34"/>
    </row>
    <row r="128" spans="2:25" outlineLevel="1">
      <c r="B128" s="116"/>
      <c r="C128" s="116" t="s">
        <v>160</v>
      </c>
      <c r="D128" s="116"/>
      <c r="E128" s="116"/>
      <c r="F128" s="116"/>
      <c r="G128" s="79"/>
      <c r="H128" s="79">
        <f>SUM(G21:G22,G27:G30)-SUM(H21:H22,H27:H30)</f>
        <v>115821.304</v>
      </c>
      <c r="I128" s="79">
        <f t="shared" ref="I128:K128" si="57">SUM(H21:H22,H27:H30)-SUM(I21:I22,I27:I30)</f>
        <v>-479055.31699999998</v>
      </c>
      <c r="J128" s="79">
        <f t="shared" si="57"/>
        <v>430652.11200000002</v>
      </c>
      <c r="K128" s="79">
        <f t="shared" si="57"/>
        <v>-13346.42200000002</v>
      </c>
      <c r="L128" s="111"/>
      <c r="M128" s="6"/>
      <c r="U128" s="34"/>
      <c r="V128" s="34"/>
      <c r="W128" s="34"/>
      <c r="X128" s="34"/>
      <c r="Y128" s="34"/>
    </row>
    <row r="129" spans="2:25" outlineLevel="1">
      <c r="B129" s="119" t="s">
        <v>105</v>
      </c>
      <c r="C129" s="119"/>
      <c r="D129" s="119"/>
      <c r="E129" s="119"/>
      <c r="F129" s="119"/>
      <c r="G129" s="120"/>
      <c r="H129" s="120">
        <f>SUM(H125:H128)</f>
        <v>14276.924999999988</v>
      </c>
      <c r="I129" s="120">
        <f t="shared" ref="I129:K129" si="58">SUM(I125:I128)</f>
        <v>-906963.70900000003</v>
      </c>
      <c r="J129" s="120">
        <f t="shared" si="58"/>
        <v>329093.86299999995</v>
      </c>
      <c r="K129" s="120">
        <f t="shared" si="58"/>
        <v>-57894.600000000071</v>
      </c>
      <c r="L129" s="111"/>
      <c r="M129" s="6"/>
      <c r="U129" s="34"/>
      <c r="V129" s="34"/>
      <c r="W129" s="34"/>
      <c r="X129" s="34"/>
      <c r="Y129" s="34"/>
    </row>
    <row r="130" spans="2:25" outlineLevel="1">
      <c r="B130" s="119" t="s">
        <v>106</v>
      </c>
      <c r="C130" s="119"/>
      <c r="D130" s="119"/>
      <c r="E130" s="119"/>
      <c r="F130" s="119"/>
      <c r="G130" s="120"/>
      <c r="H130" s="120">
        <f xml:space="preserve"> H124 + H129</f>
        <v>-201278.9730000002</v>
      </c>
      <c r="I130" s="120">
        <f xml:space="preserve"> I124 + I129</f>
        <v>-99271.476000000024</v>
      </c>
      <c r="J130" s="120">
        <f xml:space="preserve"> J124 + J129</f>
        <v>-151124.4580000001</v>
      </c>
      <c r="K130" s="120">
        <f xml:space="preserve"> K124 + K129</f>
        <v>681286.28600000008</v>
      </c>
      <c r="L130" s="111"/>
      <c r="M130" s="6"/>
      <c r="U130" s="34"/>
      <c r="V130" s="34"/>
      <c r="W130" s="34"/>
      <c r="X130" s="34"/>
      <c r="Y130" s="34"/>
    </row>
    <row r="131" spans="2:25" outlineLevel="1">
      <c r="B131" s="116"/>
      <c r="C131" s="116" t="s">
        <v>107</v>
      </c>
      <c r="D131" s="117"/>
      <c r="E131" s="117"/>
      <c r="F131" s="117"/>
      <c r="G131" s="79"/>
      <c r="H131" s="79">
        <f>H57-G57</f>
        <v>0</v>
      </c>
      <c r="I131" s="79">
        <f t="shared" ref="I131:K131" si="59">I57-H57</f>
        <v>17656</v>
      </c>
      <c r="J131" s="79">
        <f t="shared" si="59"/>
        <v>638100</v>
      </c>
      <c r="K131" s="79">
        <f t="shared" si="59"/>
        <v>0</v>
      </c>
      <c r="L131" s="111"/>
      <c r="M131" s="6"/>
      <c r="U131" s="34"/>
      <c r="V131" s="34"/>
      <c r="W131" s="34"/>
      <c r="X131" s="34"/>
      <c r="Y131" s="34"/>
    </row>
    <row r="132" spans="2:25" outlineLevel="1">
      <c r="B132" s="116"/>
      <c r="C132" s="116" t="s">
        <v>108</v>
      </c>
      <c r="D132" s="117"/>
      <c r="E132" s="117"/>
      <c r="F132" s="117"/>
      <c r="G132" s="79"/>
      <c r="H132" s="79">
        <f>(H33-G33 +H34-G34+H49-G49)</f>
        <v>190981.07199999996</v>
      </c>
      <c r="I132" s="79">
        <f t="shared" ref="I132:K132" si="60">(I33-H33 +I34-H34+I49-H49)</f>
        <v>-190410.49599999987</v>
      </c>
      <c r="J132" s="79">
        <f t="shared" si="60"/>
        <v>-1076551.5630000001</v>
      </c>
      <c r="K132" s="79">
        <f t="shared" si="60"/>
        <v>-243753.28</v>
      </c>
      <c r="L132" s="111"/>
      <c r="M132" s="6"/>
      <c r="U132" s="34"/>
      <c r="V132" s="34"/>
      <c r="W132" s="34"/>
      <c r="X132" s="34"/>
      <c r="Y132" s="34"/>
    </row>
    <row r="133" spans="2:25" outlineLevel="1">
      <c r="B133" s="117"/>
      <c r="C133" s="116" t="s">
        <v>118</v>
      </c>
      <c r="D133" s="117"/>
      <c r="E133" s="117"/>
      <c r="F133" s="117"/>
      <c r="G133" s="79"/>
      <c r="H133" s="79">
        <f>H68+H66-(G66+G68+G69)</f>
        <v>9453.936999999918</v>
      </c>
      <c r="I133" s="79">
        <f t="shared" ref="I133" si="61">I68+I66-(H66+H68+H69)</f>
        <v>-25836.077999999834</v>
      </c>
      <c r="J133" s="79">
        <f>J68+J66-(I66+I68+I69)</f>
        <v>253827.50999999995</v>
      </c>
      <c r="K133" s="79">
        <f>K68+K66-(J66+J68+J69)</f>
        <v>-1078.951999999932</v>
      </c>
      <c r="L133" s="111"/>
      <c r="M133" s="6"/>
      <c r="U133" s="34"/>
      <c r="V133" s="34"/>
      <c r="W133" s="34"/>
      <c r="X133" s="34"/>
      <c r="Y133" s="34"/>
    </row>
    <row r="134" spans="2:25" outlineLevel="1">
      <c r="B134" s="117"/>
      <c r="C134" s="116" t="s">
        <v>109</v>
      </c>
      <c r="D134" s="116"/>
      <c r="E134" s="116"/>
      <c r="F134" s="116"/>
      <c r="G134" s="79"/>
      <c r="H134" s="79">
        <f>H94</f>
        <v>-62267.093999999997</v>
      </c>
      <c r="I134" s="79">
        <f t="shared" ref="I134:K134" si="62">I94</f>
        <v>-108359.83</v>
      </c>
      <c r="J134" s="79">
        <f t="shared" si="62"/>
        <v>-141876.391</v>
      </c>
      <c r="K134" s="79">
        <f t="shared" si="62"/>
        <v>-142925.34899999999</v>
      </c>
      <c r="L134" s="5"/>
      <c r="M134" s="6"/>
      <c r="U134" s="34"/>
      <c r="V134" s="34"/>
      <c r="W134" s="34"/>
      <c r="X134" s="34"/>
      <c r="Y134" s="34"/>
    </row>
    <row r="135" spans="2:25" outlineLevel="1">
      <c r="B135" s="117"/>
      <c r="C135" s="121" t="s">
        <v>165</v>
      </c>
      <c r="D135" s="116"/>
      <c r="E135" s="116"/>
      <c r="F135" s="116"/>
      <c r="G135" s="79"/>
      <c r="H135" s="79">
        <f>SUM(H50:H52,H59,H64,H67,H71,H58)-SUM(G50:G52,G59,G64,G67,G71,G58)</f>
        <v>64420.604999999516</v>
      </c>
      <c r="I135" s="79">
        <f t="shared" ref="I135:J135" si="63">SUM(I50:I52,I59,I64,I67,I71,I58)-SUM(H50:H52,H59,H64,H67,H71,H58)</f>
        <v>829817.11400000053</v>
      </c>
      <c r="J135" s="79">
        <f t="shared" si="63"/>
        <v>57716.797000000719</v>
      </c>
      <c r="K135" s="79">
        <f>SUM(K50:K52,K59,K64,K67,K71,K58)-SUM(J50:J52,J59,J64,J67,J71,J58)</f>
        <v>-299768.76300000073</v>
      </c>
      <c r="L135" s="5"/>
      <c r="M135" s="6"/>
      <c r="U135" s="34"/>
      <c r="V135" s="34"/>
      <c r="W135" s="34"/>
      <c r="X135" s="34"/>
      <c r="Y135" s="34"/>
    </row>
    <row r="136" spans="2:25" outlineLevel="1">
      <c r="B136" s="119" t="s">
        <v>110</v>
      </c>
      <c r="C136" s="119"/>
      <c r="D136" s="119"/>
      <c r="E136" s="119"/>
      <c r="F136" s="119"/>
      <c r="G136" s="120"/>
      <c r="H136" s="120">
        <f>SUM(H131:H135)</f>
        <v>202588.51999999938</v>
      </c>
      <c r="I136" s="120">
        <f t="shared" ref="I136:K136" si="64">SUM(I131:I135)</f>
        <v>522866.71000000084</v>
      </c>
      <c r="J136" s="120">
        <f t="shared" si="64"/>
        <v>-268783.64699999942</v>
      </c>
      <c r="K136" s="120">
        <f t="shared" si="64"/>
        <v>-687526.34400000062</v>
      </c>
      <c r="L136" s="5"/>
      <c r="M136" s="6"/>
      <c r="U136" s="34"/>
      <c r="V136" s="34"/>
      <c r="W136" s="34"/>
      <c r="X136" s="34"/>
      <c r="Y136" s="34"/>
    </row>
    <row r="137" spans="2:25" outlineLevel="1">
      <c r="B137" s="119" t="s">
        <v>111</v>
      </c>
      <c r="C137" s="119"/>
      <c r="D137" s="119"/>
      <c r="E137" s="119"/>
      <c r="F137" s="119"/>
      <c r="G137" s="120"/>
      <c r="H137" s="120">
        <f xml:space="preserve"> H136 + H130</f>
        <v>1309.5469999991765</v>
      </c>
      <c r="I137" s="120">
        <f xml:space="preserve"> I136 + I130</f>
        <v>423595.23400000081</v>
      </c>
      <c r="J137" s="120">
        <f xml:space="preserve"> J136 + J130</f>
        <v>-419908.10499999952</v>
      </c>
      <c r="K137" s="120">
        <f xml:space="preserve"> K136 + K130</f>
        <v>-6240.058000000543</v>
      </c>
      <c r="L137" s="5"/>
      <c r="M137" s="6"/>
      <c r="U137" s="34"/>
      <c r="V137" s="34"/>
      <c r="W137" s="34"/>
      <c r="X137" s="34"/>
      <c r="Y137" s="34"/>
    </row>
    <row r="138" spans="2:25" outlineLevel="1">
      <c r="B138" s="116" t="s">
        <v>112</v>
      </c>
      <c r="C138" s="116"/>
      <c r="D138" s="116"/>
      <c r="E138" s="116"/>
      <c r="F138" s="116"/>
      <c r="G138" s="79"/>
      <c r="H138" s="79">
        <f>G7</f>
        <v>14451.597</v>
      </c>
      <c r="I138" s="79">
        <f>H7</f>
        <v>15761.144</v>
      </c>
      <c r="J138" s="79">
        <f>I7</f>
        <v>439356.37800000003</v>
      </c>
      <c r="K138" s="79">
        <f>J7</f>
        <v>19448.273000000001</v>
      </c>
      <c r="L138" s="5"/>
      <c r="M138" s="6"/>
      <c r="U138" s="34"/>
      <c r="V138" s="34"/>
      <c r="W138" s="34"/>
      <c r="X138" s="34"/>
      <c r="Y138" s="34"/>
    </row>
    <row r="139" spans="2:25" outlineLevel="1">
      <c r="B139" s="117" t="s">
        <v>113</v>
      </c>
      <c r="C139" s="117"/>
      <c r="D139" s="117"/>
      <c r="E139" s="117"/>
      <c r="F139" s="117"/>
      <c r="G139" s="79"/>
      <c r="H139" s="79">
        <f t="shared" ref="H139:K139" si="65" xml:space="preserve"> H138 + H137</f>
        <v>15761.143999999176</v>
      </c>
      <c r="I139" s="79">
        <f t="shared" si="65"/>
        <v>439356.37800000084</v>
      </c>
      <c r="J139" s="79">
        <f t="shared" si="65"/>
        <v>19448.27300000051</v>
      </c>
      <c r="K139" s="79">
        <f t="shared" si="65"/>
        <v>13208.214999999458</v>
      </c>
      <c r="L139" s="5"/>
      <c r="M139" s="6"/>
      <c r="U139" s="34"/>
      <c r="V139" s="34"/>
      <c r="W139" s="34"/>
      <c r="X139" s="34"/>
      <c r="Y139" s="34"/>
    </row>
    <row r="140" spans="2:25" outlineLevel="1">
      <c r="G140" s="54"/>
      <c r="H140" s="54">
        <f>H139-H7</f>
        <v>-8.2400219980627298E-10</v>
      </c>
      <c r="I140" s="54">
        <f>I139-I7</f>
        <v>8.149072527885437E-10</v>
      </c>
      <c r="J140" s="54">
        <f>J139-J7</f>
        <v>5.0931703299283981E-10</v>
      </c>
      <c r="K140" s="54">
        <f>K139-K7</f>
        <v>-5.4205884225666523E-10</v>
      </c>
      <c r="L140" s="5"/>
      <c r="M140" s="6"/>
      <c r="U140" s="34"/>
      <c r="V140" s="34"/>
      <c r="W140" s="34"/>
      <c r="X140" s="34"/>
      <c r="Y140" s="34"/>
    </row>
    <row r="141" spans="2:25" outlineLevel="1">
      <c r="G141" s="34" t="s">
        <v>172</v>
      </c>
      <c r="H141" s="21">
        <f>H125/H78</f>
        <v>-5.2573730820872133E-2</v>
      </c>
      <c r="I141" s="21">
        <f>I125/I78</f>
        <v>-0.17673522923160459</v>
      </c>
      <c r="J141" s="21">
        <f>J125/J78</f>
        <v>-4.1161875292770864E-2</v>
      </c>
      <c r="K141" s="21">
        <f>K125/K78</f>
        <v>-1.6324736241042029E-2</v>
      </c>
      <c r="L141" s="5"/>
      <c r="M141" s="6"/>
      <c r="U141" s="34"/>
      <c r="V141" s="34"/>
      <c r="W141" s="34"/>
      <c r="X141" s="34"/>
      <c r="Y141" s="34"/>
    </row>
    <row r="142" spans="2:25">
      <c r="G142" s="3"/>
      <c r="H142" s="3"/>
      <c r="I142" s="3"/>
      <c r="J142" s="3"/>
      <c r="K142" s="3"/>
      <c r="L142" s="5"/>
      <c r="W142" s="2"/>
      <c r="X142" s="2"/>
      <c r="Y142" s="2"/>
    </row>
    <row r="143" spans="2:25">
      <c r="B143" s="6"/>
      <c r="C143" s="6"/>
      <c r="G143" s="3"/>
      <c r="L143" s="5"/>
      <c r="W143" s="2"/>
      <c r="X143" s="2"/>
      <c r="Y143" s="2"/>
    </row>
    <row r="144" spans="2:25">
      <c r="B144" s="47"/>
      <c r="C144" s="47" t="s">
        <v>81</v>
      </c>
      <c r="D144" s="47"/>
      <c r="E144" s="47"/>
      <c r="F144" s="47" t="s">
        <v>83</v>
      </c>
      <c r="G144" s="10">
        <v>2015</v>
      </c>
      <c r="H144" s="47">
        <f>G144+1</f>
        <v>2016</v>
      </c>
      <c r="I144" s="47">
        <f t="shared" ref="I144:J144" si="66">H144+1</f>
        <v>2017</v>
      </c>
      <c r="J144" s="47">
        <f t="shared" si="66"/>
        <v>2018</v>
      </c>
      <c r="K144" s="53">
        <f>K6</f>
        <v>2019</v>
      </c>
      <c r="L144" s="52"/>
      <c r="M144" s="47"/>
      <c r="N144" s="47"/>
      <c r="O144" s="47"/>
      <c r="P144" s="47" t="s">
        <v>82</v>
      </c>
      <c r="Q144" s="47"/>
      <c r="R144" s="47"/>
      <c r="S144" s="47"/>
      <c r="T144" s="47" t="s">
        <v>83</v>
      </c>
      <c r="U144" s="10">
        <f>G144</f>
        <v>2015</v>
      </c>
      <c r="V144" s="10">
        <f>H144</f>
        <v>2016</v>
      </c>
      <c r="W144" s="10">
        <f>I144</f>
        <v>2017</v>
      </c>
      <c r="X144" s="10">
        <f>J144</f>
        <v>2018</v>
      </c>
      <c r="Y144" s="10">
        <f>K144</f>
        <v>2019</v>
      </c>
    </row>
    <row r="145" spans="2:25" ht="13.5" customHeight="1">
      <c r="C145" s="14"/>
      <c r="D145" s="14"/>
      <c r="E145" s="14"/>
      <c r="F145" s="13"/>
      <c r="G145" s="13"/>
      <c r="I145" s="3"/>
      <c r="N145" s="14"/>
      <c r="O145" s="14"/>
      <c r="P145" s="14"/>
      <c r="R145" s="14"/>
      <c r="S145" s="14"/>
      <c r="T145" s="13"/>
      <c r="V145" s="13"/>
      <c r="W145" s="15"/>
      <c r="X145" s="2"/>
      <c r="Y145" s="2"/>
    </row>
    <row r="146" spans="2:25" ht="13.5" customHeight="1" outlineLevel="1">
      <c r="B146" s="6" t="s">
        <v>5</v>
      </c>
      <c r="I146" s="3"/>
      <c r="O146" s="6" t="str">
        <f t="shared" ref="O146:O170" si="67" xml:space="preserve"> B146</f>
        <v>Sales and Profitability</v>
      </c>
      <c r="P146" s="6"/>
      <c r="R146" s="6"/>
      <c r="S146" s="6"/>
      <c r="X146" s="2"/>
      <c r="Y146" s="2"/>
    </row>
    <row r="147" spans="2:25" ht="13.5" customHeight="1" outlineLevel="1">
      <c r="B147" s="116" t="s">
        <v>92</v>
      </c>
      <c r="C147" s="116"/>
      <c r="D147" s="116"/>
      <c r="E147" s="116"/>
      <c r="F147" s="122" t="s">
        <v>84</v>
      </c>
      <c r="G147" s="102" t="s">
        <v>148</v>
      </c>
      <c r="H147" s="103">
        <f>(H78/G$78)^1/1-1</f>
        <v>3.9587702908767533</v>
      </c>
      <c r="I147" s="103">
        <f>(I78/G$78)^1/2-1</f>
        <v>2.14322692062402</v>
      </c>
      <c r="J147" s="103">
        <f>(J78/G$78)^1/3-1</f>
        <v>1.1092721285212552</v>
      </c>
      <c r="K147" s="103">
        <f>(K78/G$78)^1/4-1</f>
        <v>0.62821720812826909</v>
      </c>
      <c r="O147" s="2" t="str">
        <f t="shared" si="67"/>
        <v>CAGR</v>
      </c>
      <c r="T147" s="48" t="s">
        <v>84</v>
      </c>
      <c r="U147" s="3" t="s">
        <v>148</v>
      </c>
      <c r="V147" s="64">
        <f>(V78/U$78)^1/1-1</f>
        <v>3.4849315817204181</v>
      </c>
      <c r="W147" s="64">
        <f>(W78/V$78)^1/2-1</f>
        <v>-0.4850663812354542</v>
      </c>
      <c r="X147" s="64">
        <f>(X78/W$78)^1/3-1</f>
        <v>-0.75682021155773205</v>
      </c>
      <c r="Y147" s="64" t="e">
        <f>(Y78/#REF!)^1/4-1</f>
        <v>#REF!</v>
      </c>
    </row>
    <row r="148" spans="2:25" ht="12" customHeight="1" outlineLevel="1">
      <c r="B148" s="116" t="s">
        <v>7</v>
      </c>
      <c r="C148" s="116"/>
      <c r="D148" s="116"/>
      <c r="E148" s="116"/>
      <c r="F148" s="122" t="s">
        <v>84</v>
      </c>
      <c r="G148" s="104" t="s">
        <v>148</v>
      </c>
      <c r="H148" s="103">
        <f>H78/G78 -1</f>
        <v>3.9587702908767533</v>
      </c>
      <c r="I148" s="103">
        <f t="shared" ref="I148:J148" si="68">I78/H78 -1</f>
        <v>0.26774451577520875</v>
      </c>
      <c r="J148" s="103">
        <f t="shared" si="68"/>
        <v>6.5796306407799321E-3</v>
      </c>
      <c r="K148" s="103">
        <f>K78/J78 -1</f>
        <v>2.9244282019858847E-2</v>
      </c>
      <c r="O148" s="2" t="str">
        <f t="shared" si="67"/>
        <v>Revenue growth</v>
      </c>
      <c r="T148" s="48" t="s">
        <v>84</v>
      </c>
      <c r="U148" s="3" t="s">
        <v>148</v>
      </c>
      <c r="V148" s="21">
        <f>(V78/U78)-1</f>
        <v>3.4849315817204181</v>
      </c>
      <c r="W148" s="21">
        <f>(W78/V78)-1</f>
        <v>2.9867237529091595E-2</v>
      </c>
      <c r="X148" s="21">
        <f>(X78/W78)-1</f>
        <v>-0.27046063467319614</v>
      </c>
      <c r="Y148" s="21" t="e">
        <f>(Y78/#REF!)-1</f>
        <v>#REF!</v>
      </c>
    </row>
    <row r="149" spans="2:25" ht="12" customHeight="1" outlineLevel="1">
      <c r="B149" s="116" t="s">
        <v>9</v>
      </c>
      <c r="C149" s="116"/>
      <c r="D149" s="116"/>
      <c r="E149" s="116"/>
      <c r="F149" s="122" t="s">
        <v>84</v>
      </c>
      <c r="G149" s="103">
        <f>G83/G78</f>
        <v>0.27652353800082047</v>
      </c>
      <c r="H149" s="103">
        <f>H83/H78</f>
        <v>0.18764163296847441</v>
      </c>
      <c r="I149" s="103">
        <f>I83/I78</f>
        <v>0.17192528166721871</v>
      </c>
      <c r="J149" s="103">
        <f>J83/J78</f>
        <v>0.23242676548481145</v>
      </c>
      <c r="K149" s="103">
        <f>K83/K78</f>
        <v>0.24607417538843901</v>
      </c>
      <c r="O149" s="2" t="str">
        <f t="shared" si="67"/>
        <v>Gross margin</v>
      </c>
      <c r="T149" s="48" t="s">
        <v>84</v>
      </c>
      <c r="U149" s="21">
        <f>U83/U78</f>
        <v>0.27652353800082047</v>
      </c>
      <c r="V149" s="21">
        <f>V83/V78</f>
        <v>0.18764163296847444</v>
      </c>
      <c r="W149" s="21">
        <f>W83/W78</f>
        <v>0.17192528166721868</v>
      </c>
      <c r="X149" s="21">
        <f>X83/X78</f>
        <v>0.23242676548481142</v>
      </c>
      <c r="Y149" s="21">
        <f>Y83/Y78</f>
        <v>0.24607417538843901</v>
      </c>
    </row>
    <row r="150" spans="2:25" ht="12" customHeight="1" outlineLevel="1">
      <c r="B150" s="116" t="s">
        <v>11</v>
      </c>
      <c r="C150" s="116"/>
      <c r="D150" s="116"/>
      <c r="E150" s="116"/>
      <c r="F150" s="122" t="s">
        <v>84</v>
      </c>
      <c r="G150" s="123">
        <f>G89/G78</f>
        <v>9.42275414751855E-2</v>
      </c>
      <c r="H150" s="123">
        <f>H89/H78</f>
        <v>7.8499231826175214E-2</v>
      </c>
      <c r="I150" s="123">
        <f>I89/I78</f>
        <v>7.710440437732051E-2</v>
      </c>
      <c r="J150" s="123">
        <f>J89/J78</f>
        <v>0.14185728710266465</v>
      </c>
      <c r="K150" s="123">
        <f>K89/K78</f>
        <v>0.15217284830939834</v>
      </c>
      <c r="O150" s="2" t="str">
        <f t="shared" si="67"/>
        <v>EBITDA margin</v>
      </c>
      <c r="T150" s="48" t="s">
        <v>84</v>
      </c>
      <c r="U150" s="21">
        <f>U89/U78</f>
        <v>9.42275414751855E-2</v>
      </c>
      <c r="V150" s="21">
        <f>V89/V78</f>
        <v>7.8499231826175214E-2</v>
      </c>
      <c r="W150" s="21">
        <f>W89/W78</f>
        <v>7.710440437732051E-2</v>
      </c>
      <c r="X150" s="21">
        <f>X89/X78</f>
        <v>0.14185728710266465</v>
      </c>
      <c r="Y150" s="21">
        <f>Y89/Y78</f>
        <v>0.15217284830939834</v>
      </c>
    </row>
    <row r="151" spans="2:25" ht="12" customHeight="1" outlineLevel="1">
      <c r="B151" s="116" t="s">
        <v>13</v>
      </c>
      <c r="C151" s="116"/>
      <c r="D151" s="116"/>
      <c r="E151" s="116"/>
      <c r="F151" s="122" t="s">
        <v>84</v>
      </c>
      <c r="G151" s="123">
        <f>G87/G78</f>
        <v>4.0648517273407153E-2</v>
      </c>
      <c r="H151" s="123">
        <f>H87/H78</f>
        <v>6.1505633594082496E-2</v>
      </c>
      <c r="I151" s="123">
        <f>I87/I78</f>
        <v>6.1028352388237297E-2</v>
      </c>
      <c r="J151" s="123">
        <f>J87/J78</f>
        <v>0.12340011018882507</v>
      </c>
      <c r="K151" s="123">
        <f>K87/K78</f>
        <v>0.13224033737470103</v>
      </c>
      <c r="O151" s="2" t="str">
        <f t="shared" si="67"/>
        <v>EBIT margin</v>
      </c>
      <c r="T151" s="48" t="s">
        <v>84</v>
      </c>
      <c r="U151" s="21">
        <f>U87/U78</f>
        <v>4.0648517273407153E-2</v>
      </c>
      <c r="V151" s="21">
        <f>V87/V78</f>
        <v>6.1505633594082496E-2</v>
      </c>
      <c r="W151" s="21">
        <f>W87/W78</f>
        <v>6.1028352388237297E-2</v>
      </c>
      <c r="X151" s="21">
        <f>X87/X78</f>
        <v>0.12340011018882506</v>
      </c>
      <c r="Y151" s="21">
        <f>Y87/Y78</f>
        <v>0.13224033737470103</v>
      </c>
    </row>
    <row r="152" spans="2:25" ht="12" customHeight="1" outlineLevel="1">
      <c r="B152" s="116" t="s">
        <v>15</v>
      </c>
      <c r="C152" s="116"/>
      <c r="D152" s="116"/>
      <c r="E152" s="116"/>
      <c r="F152" s="122" t="s">
        <v>84</v>
      </c>
      <c r="G152" s="123">
        <f>G101/G78</f>
        <v>-0.22248273619950976</v>
      </c>
      <c r="H152" s="123">
        <f>H101/H78</f>
        <v>-8.9041986245553539E-3</v>
      </c>
      <c r="I152" s="123">
        <f>I101/I78</f>
        <v>2.7711261573718317E-2</v>
      </c>
      <c r="J152" s="123">
        <f>J101/J78</f>
        <v>-1.3827692773279188E-2</v>
      </c>
      <c r="K152" s="123">
        <f>K101/K78</f>
        <v>6.3751133580394345E-2</v>
      </c>
      <c r="O152" s="2" t="str">
        <f t="shared" si="67"/>
        <v>Net margin</v>
      </c>
      <c r="T152" s="48" t="s">
        <v>84</v>
      </c>
      <c r="U152" s="21">
        <f>U101/U78</f>
        <v>-0.22248273619950978</v>
      </c>
      <c r="V152" s="21">
        <f>V101/V78</f>
        <v>-8.9041986245553539E-3</v>
      </c>
      <c r="W152" s="21">
        <f>W101/W78</f>
        <v>2.7711261573718313E-2</v>
      </c>
      <c r="X152" s="21">
        <f>X101/X78</f>
        <v>-1.3827692773279188E-2</v>
      </c>
      <c r="Y152" s="21">
        <f>Y101/Y78</f>
        <v>6.3751133580394345E-2</v>
      </c>
    </row>
    <row r="153" spans="2:25" ht="12" customHeight="1" outlineLevel="1">
      <c r="B153" s="116" t="s">
        <v>17</v>
      </c>
      <c r="C153" s="116"/>
      <c r="D153" s="116"/>
      <c r="E153" s="116"/>
      <c r="F153" s="122" t="s">
        <v>84</v>
      </c>
      <c r="G153" s="123">
        <f>(G101-G94)/G32</f>
        <v>-2.8393488677470075E-2</v>
      </c>
      <c r="H153" s="123">
        <f>(H101-H94)/H32</f>
        <v>1.8242144644060456E-2</v>
      </c>
      <c r="I153" s="123">
        <f>(I101-I94)/I32</f>
        <v>5.1540051271067346E-2</v>
      </c>
      <c r="J153" s="123">
        <f>(J101-J94)/J32</f>
        <v>3.565498349973921E-2</v>
      </c>
      <c r="K153" s="123">
        <f>(K101-K94)/K32</f>
        <v>0.11084427011650855</v>
      </c>
      <c r="O153" s="2" t="str">
        <f t="shared" si="67"/>
        <v>Return on assets</v>
      </c>
      <c r="T153" s="48" t="s">
        <v>84</v>
      </c>
      <c r="U153" s="21">
        <f>(U101-U94)/U32</f>
        <v>-2.9892923266865924E-2</v>
      </c>
      <c r="V153" s="21">
        <f>(V101-V94)/V32</f>
        <v>2.0240618619152974E-2</v>
      </c>
      <c r="W153" s="21">
        <f>(W101-W94)/W32</f>
        <v>5.6543915429068892E-2</v>
      </c>
      <c r="X153" s="21">
        <f>(X101-X94)/X32</f>
        <v>3.7846808455233936E-2</v>
      </c>
      <c r="Y153" s="21">
        <f>(Y101-Y94)/Y32</f>
        <v>0.11612622719189233</v>
      </c>
    </row>
    <row r="154" spans="2:25" ht="12" customHeight="1" outlineLevel="1">
      <c r="B154" s="116" t="s">
        <v>19</v>
      </c>
      <c r="C154" s="116"/>
      <c r="D154" s="116"/>
      <c r="E154" s="116"/>
      <c r="F154" s="122" t="s">
        <v>84</v>
      </c>
      <c r="G154" s="123">
        <f>G101/G72</f>
        <v>-0.23437523308168628</v>
      </c>
      <c r="H154" s="123">
        <f>H101/H72</f>
        <v>-4.2121831096580506E-2</v>
      </c>
      <c r="I154" s="123">
        <f>I101/I72</f>
        <v>8.7736800712510138E-2</v>
      </c>
      <c r="J154" s="123">
        <f>J101/J72</f>
        <v>-4.2828582716563077E-2</v>
      </c>
      <c r="K154" s="123">
        <f>K101/K72</f>
        <v>0.16445191285332961</v>
      </c>
      <c r="O154" s="2" t="str">
        <f t="shared" si="67"/>
        <v>Return on equity</v>
      </c>
      <c r="T154" s="48" t="s">
        <v>84</v>
      </c>
      <c r="U154" s="21">
        <f>U101/U72</f>
        <v>-0.2467523782564971</v>
      </c>
      <c r="V154" s="21">
        <f>V101/V72</f>
        <v>-6.138723915656711E-2</v>
      </c>
      <c r="W154" s="21">
        <f>W101/W72</f>
        <v>9.6254895312650815E-2</v>
      </c>
      <c r="X154" s="21">
        <f>X101/X72</f>
        <v>-4.546139157503077E-2</v>
      </c>
      <c r="Y154" s="21">
        <f>Y101/Y72</f>
        <v>0.17228838418146436</v>
      </c>
    </row>
    <row r="155" spans="2:25" ht="12" customHeight="1" outlineLevel="1">
      <c r="B155" s="117" t="s">
        <v>20</v>
      </c>
      <c r="C155" s="116"/>
      <c r="D155" s="116"/>
      <c r="E155" s="116"/>
      <c r="F155" s="122"/>
      <c r="G155" s="122"/>
      <c r="H155" s="116"/>
      <c r="I155" s="102"/>
      <c r="J155" s="116"/>
      <c r="K155" s="116"/>
      <c r="O155" s="6" t="str">
        <f t="shared" si="67"/>
        <v>Capital structure and leverage</v>
      </c>
      <c r="P155" s="6"/>
      <c r="R155" s="6"/>
      <c r="S155" s="6"/>
      <c r="T155" s="48"/>
      <c r="V155" s="48"/>
      <c r="X155" s="2"/>
      <c r="Y155" s="2"/>
    </row>
    <row r="156" spans="2:25" ht="12" customHeight="1" outlineLevel="1">
      <c r="B156" s="116" t="s">
        <v>22</v>
      </c>
      <c r="C156" s="116"/>
      <c r="D156" s="116"/>
      <c r="E156" s="116"/>
      <c r="F156" s="122" t="s">
        <v>85</v>
      </c>
      <c r="G156" s="124">
        <f>G19/G48</f>
        <v>0.92754677384285933</v>
      </c>
      <c r="H156" s="124">
        <f>H19/H48</f>
        <v>0.89485326348961469</v>
      </c>
      <c r="I156" s="124">
        <f>I19/I48</f>
        <v>1.1017391084942294</v>
      </c>
      <c r="J156" s="124">
        <f>J19/J48</f>
        <v>2.327791777965567</v>
      </c>
      <c r="K156" s="124">
        <f>K19/K48</f>
        <v>2.4705344980804567</v>
      </c>
      <c r="O156" s="2" t="str">
        <f t="shared" si="67"/>
        <v>Current ratio</v>
      </c>
      <c r="T156" s="48" t="s">
        <v>85</v>
      </c>
      <c r="U156" s="27">
        <f>U19/U48</f>
        <v>0.56426855117349517</v>
      </c>
      <c r="V156" s="27">
        <f>V19/V48</f>
        <v>0.43563958310106549</v>
      </c>
      <c r="W156" s="27">
        <f>W19/W48</f>
        <v>0.8183410126146069</v>
      </c>
      <c r="X156" s="27">
        <f>X19/X48</f>
        <v>1.1429613792167248</v>
      </c>
      <c r="Y156" s="27">
        <f>Y19/Y48</f>
        <v>1.4317783051234412</v>
      </c>
    </row>
    <row r="157" spans="2:25" ht="12" customHeight="1" outlineLevel="1">
      <c r="B157" s="116" t="s">
        <v>149</v>
      </c>
      <c r="C157" s="116"/>
      <c r="D157" s="116"/>
      <c r="E157" s="116"/>
      <c r="F157" s="122" t="s">
        <v>85</v>
      </c>
      <c r="G157" s="125">
        <f>(G7 + G8)/G48</f>
        <v>0.3288314676648792</v>
      </c>
      <c r="H157" s="125">
        <f>(H7 + H8)/H48</f>
        <v>0.26279889492021752</v>
      </c>
      <c r="I157" s="125">
        <f>(I7 + I8)/I48</f>
        <v>0.60641508210308603</v>
      </c>
      <c r="J157" s="125">
        <f>(J7 + J8)/J48</f>
        <v>0.66257044845984481</v>
      </c>
      <c r="K157" s="125">
        <f>(K7 + K8)/K48</f>
        <v>0.74166142715862948</v>
      </c>
      <c r="O157" s="2" t="str">
        <f t="shared" si="67"/>
        <v>Liquidity ratio / Quick ratio</v>
      </c>
      <c r="T157" s="48" t="s">
        <v>85</v>
      </c>
      <c r="U157" s="27">
        <f>(U7+U8)/U48</f>
        <v>0.3288314676648792</v>
      </c>
      <c r="V157" s="27">
        <f>(V7+V8)/V48</f>
        <v>0.26279889492021746</v>
      </c>
      <c r="W157" s="27">
        <f>(W7+W8)/W48</f>
        <v>0.60641508210308603</v>
      </c>
      <c r="X157" s="27">
        <f>(X7+X8)/X48</f>
        <v>0.66257044845984481</v>
      </c>
      <c r="Y157" s="27">
        <f>(Y7+Y8)/Y48</f>
        <v>0.74166142715862948</v>
      </c>
    </row>
    <row r="158" spans="2:25" ht="12" customHeight="1" outlineLevel="1">
      <c r="B158" s="116" t="s">
        <v>52</v>
      </c>
      <c r="C158" s="116"/>
      <c r="D158" s="116"/>
      <c r="E158" s="116"/>
      <c r="F158" s="126" t="s">
        <v>86</v>
      </c>
      <c r="G158" s="127">
        <f>G49+G34+G33</f>
        <v>1393965.861</v>
      </c>
      <c r="H158" s="127">
        <f t="shared" ref="H158:K158" si="69">H49+H34+H33</f>
        <v>1584946.933</v>
      </c>
      <c r="I158" s="127">
        <f t="shared" si="69"/>
        <v>1394536.4369999999</v>
      </c>
      <c r="J158" s="127">
        <f t="shared" si="69"/>
        <v>317984.87400000001</v>
      </c>
      <c r="K158" s="127">
        <f t="shared" si="69"/>
        <v>74231.593999999997</v>
      </c>
      <c r="O158" s="2" t="str">
        <f t="shared" si="67"/>
        <v>Financial debt</v>
      </c>
      <c r="T158" s="49" t="s">
        <v>86</v>
      </c>
      <c r="U158" s="66">
        <f>U49+U34</f>
        <v>101874.13405364659</v>
      </c>
      <c r="V158" s="66">
        <f>V49+V34</f>
        <v>78362.667996441945</v>
      </c>
      <c r="W158" s="66">
        <f>W49+W34</f>
        <v>115148.186690289</v>
      </c>
      <c r="X158" s="66">
        <f>X49+X34</f>
        <v>0</v>
      </c>
      <c r="Y158" s="66">
        <f>Y49+Y34</f>
        <v>432.80651369801217</v>
      </c>
    </row>
    <row r="159" spans="2:25" ht="12" customHeight="1" outlineLevel="1">
      <c r="B159" s="116" t="s">
        <v>53</v>
      </c>
      <c r="C159" s="116"/>
      <c r="D159" s="116"/>
      <c r="E159" s="116"/>
      <c r="F159" s="126" t="s">
        <v>86</v>
      </c>
      <c r="G159" s="127">
        <f>G158-(G7)</f>
        <v>1379514.264</v>
      </c>
      <c r="H159" s="127">
        <f t="shared" ref="H159:K159" si="70">H158-(H7)</f>
        <v>1569185.7889999999</v>
      </c>
      <c r="I159" s="127">
        <f t="shared" si="70"/>
        <v>955180.05899999989</v>
      </c>
      <c r="J159" s="127">
        <f t="shared" si="70"/>
        <v>298536.60100000002</v>
      </c>
      <c r="K159" s="127">
        <f t="shared" si="70"/>
        <v>61023.379000000001</v>
      </c>
      <c r="O159" s="2" t="str">
        <f t="shared" si="67"/>
        <v>Net financial debt</v>
      </c>
      <c r="T159" s="49" t="s">
        <v>86</v>
      </c>
      <c r="U159" s="66">
        <f>U158-U7</f>
        <v>97335.030780827947</v>
      </c>
      <c r="V159" s="66">
        <f>V158-V7</f>
        <v>74114.266691824567</v>
      </c>
      <c r="W159" s="66">
        <f>W158-W7</f>
        <v>17848.579116376917</v>
      </c>
      <c r="X159" s="66">
        <f>X158-X7</f>
        <v>-3226.3226609157268</v>
      </c>
      <c r="Y159" s="66">
        <f>Y158-Y7</f>
        <v>-1553.2120410188556</v>
      </c>
    </row>
    <row r="160" spans="2:25" ht="12" customHeight="1" outlineLevel="1">
      <c r="B160" s="116" t="s">
        <v>26</v>
      </c>
      <c r="C160" s="116"/>
      <c r="D160" s="116"/>
      <c r="E160" s="116"/>
      <c r="F160" s="122" t="s">
        <v>85</v>
      </c>
      <c r="G160" s="124">
        <f>G158/G89</f>
        <v>38.649841494338126</v>
      </c>
      <c r="H160" s="124">
        <f t="shared" ref="H160:K160" si="71">H158/H89</f>
        <v>10.637725212545522</v>
      </c>
      <c r="I160" s="124">
        <f t="shared" si="71"/>
        <v>7.5165471802255048</v>
      </c>
      <c r="J160" s="124">
        <f t="shared" si="71"/>
        <v>0.9254956510898904</v>
      </c>
      <c r="K160" s="124">
        <f t="shared" si="71"/>
        <v>0.19568283172932424</v>
      </c>
      <c r="O160" s="2" t="str">
        <f t="shared" si="67"/>
        <v>Financial debt to EBITDA</v>
      </c>
      <c r="T160" s="48" t="s">
        <v>85</v>
      </c>
      <c r="U160" s="27">
        <f>U158/U89</f>
        <v>8.5419231093763859</v>
      </c>
      <c r="V160" s="27">
        <f>V158/V89</f>
        <v>1.7585615461057504</v>
      </c>
      <c r="W160" s="27">
        <f>W158/W89</f>
        <v>2.5545266598632348</v>
      </c>
      <c r="X160" s="27">
        <f>X158/X89</f>
        <v>0</v>
      </c>
      <c r="Y160" s="27">
        <f>Y158/Y89</f>
        <v>7.2427164946362492E-3</v>
      </c>
    </row>
    <row r="161" spans="1:25" ht="12" customHeight="1" outlineLevel="1">
      <c r="B161" s="116" t="s">
        <v>28</v>
      </c>
      <c r="C161" s="116"/>
      <c r="D161" s="116"/>
      <c r="E161" s="116"/>
      <c r="F161" s="122" t="s">
        <v>85</v>
      </c>
      <c r="G161" s="125">
        <f>(G33+G34+G49-G7)/G89</f>
        <v>38.249148802345395</v>
      </c>
      <c r="H161" s="125">
        <f t="shared" ref="H161:K161" si="72">(H33+H34+H49-H7)/H89</f>
        <v>10.531940775592792</v>
      </c>
      <c r="I161" s="125">
        <f t="shared" si="72"/>
        <v>5.1484176308288765</v>
      </c>
      <c r="J161" s="125">
        <f t="shared" si="72"/>
        <v>0.86889141122057845</v>
      </c>
      <c r="K161" s="125">
        <f t="shared" si="72"/>
        <v>0.16086449126246405</v>
      </c>
      <c r="O161" s="2" t="str">
        <f t="shared" si="67"/>
        <v>Net financial debt to EBITDA</v>
      </c>
      <c r="T161" s="48" t="s">
        <v>85</v>
      </c>
      <c r="U161" s="27">
        <f>(U49+U34+U33-U7)/U89</f>
        <v>36.330564386322223</v>
      </c>
      <c r="V161" s="27">
        <f>(V49+V34+V33-V7)/V89</f>
        <v>9.4920610197773687</v>
      </c>
      <c r="W161" s="27">
        <f>(W49+W34+W33-W7)/W89</f>
        <v>4.6928074691016644</v>
      </c>
      <c r="X161" s="27">
        <f>(X49+X34+X33-X7)/X89</f>
        <v>0.8185712400764007</v>
      </c>
      <c r="Y161" s="27">
        <f>(Y49+Y34+Y33-Y7)/Y89</f>
        <v>0.15354763133901425</v>
      </c>
    </row>
    <row r="162" spans="1:25" ht="12" customHeight="1" outlineLevel="1">
      <c r="B162" s="116" t="s">
        <v>90</v>
      </c>
      <c r="C162" s="116"/>
      <c r="D162" s="116"/>
      <c r="E162" s="116"/>
      <c r="F162" s="122" t="s">
        <v>85</v>
      </c>
      <c r="G162" s="125">
        <f>(G33+G34+G49)/G72</f>
        <v>3.8365510115086026</v>
      </c>
      <c r="H162" s="125">
        <f t="shared" ref="H162:K162" si="73">(H33+H34+H49)/H72</f>
        <v>3.9502681549249901</v>
      </c>
      <c r="I162" s="125">
        <f t="shared" si="73"/>
        <v>1.8349450813642079</v>
      </c>
      <c r="J162" s="125">
        <f t="shared" si="73"/>
        <v>0.40663992225544382</v>
      </c>
      <c r="K162" s="125">
        <f t="shared" si="73"/>
        <v>7.6814093899549102E-2</v>
      </c>
      <c r="O162" s="2" t="str">
        <f t="shared" si="67"/>
        <v>Debt to equity ratio</v>
      </c>
      <c r="T162" s="48" t="s">
        <v>85</v>
      </c>
      <c r="U162" s="27">
        <f>(U33+U34+U49)/U73</f>
        <v>0.69703148048519437</v>
      </c>
      <c r="V162" s="27">
        <f>(V33+V34+V49)/V73</f>
        <v>0.63731317277669342</v>
      </c>
      <c r="W162" s="27">
        <f>(W33+W34+W49)/W73</f>
        <v>0.41062037639808152</v>
      </c>
      <c r="X162" s="27">
        <f>(X33+X34+X49)/X73</f>
        <v>0.10460599675078121</v>
      </c>
      <c r="Y162" s="27">
        <f>(Y33+Y34+Y49)/Y73</f>
        <v>2.7259206131517656E-2</v>
      </c>
    </row>
    <row r="163" spans="1:25" ht="12" customHeight="1" outlineLevel="1">
      <c r="B163" s="116" t="s">
        <v>32</v>
      </c>
      <c r="C163" s="116"/>
      <c r="D163" s="116"/>
      <c r="E163" s="116"/>
      <c r="F163" s="122" t="s">
        <v>84</v>
      </c>
      <c r="G163" s="123">
        <f>G72/G73</f>
        <v>0.18168179659133707</v>
      </c>
      <c r="H163" s="123">
        <f>H72/H73</f>
        <v>0.16133415448825275</v>
      </c>
      <c r="I163" s="123">
        <f>I72/I73</f>
        <v>0.22377801960852248</v>
      </c>
      <c r="J163" s="123">
        <f>J72/J73</f>
        <v>0.25724477855145178</v>
      </c>
      <c r="K163" s="123">
        <f>K72/K73</f>
        <v>0.35487245566113046</v>
      </c>
      <c r="O163" s="2" t="str">
        <f t="shared" si="67"/>
        <v>Equity ratio</v>
      </c>
      <c r="T163" s="48" t="s">
        <v>84</v>
      </c>
      <c r="U163" s="21">
        <f>U72/U73</f>
        <v>0.18168179659133707</v>
      </c>
      <c r="V163" s="21">
        <f>V72/V73</f>
        <v>0.12282968689999198</v>
      </c>
      <c r="W163" s="21">
        <f>W72/W73</f>
        <v>0.22377801960852248</v>
      </c>
      <c r="X163" s="21">
        <f>X72/X73</f>
        <v>0.25724477855145178</v>
      </c>
      <c r="Y163" s="21">
        <f>Y72/Y73</f>
        <v>0.35487245566113046</v>
      </c>
    </row>
    <row r="164" spans="1:25" ht="12" customHeight="1" outlineLevel="1">
      <c r="B164" s="116" t="s">
        <v>93</v>
      </c>
      <c r="C164" s="116"/>
      <c r="D164" s="116"/>
      <c r="E164" s="116"/>
      <c r="F164" s="122" t="s">
        <v>85</v>
      </c>
      <c r="G164" s="125">
        <f>G89/-G93</f>
        <v>0.3305086167713952</v>
      </c>
      <c r="H164" s="125">
        <f t="shared" ref="H164:K164" si="74">H89/-H93</f>
        <v>0.87615753247069561</v>
      </c>
      <c r="I164" s="125">
        <f t="shared" si="74"/>
        <v>0.94437046103656941</v>
      </c>
      <c r="J164" s="125">
        <f t="shared" si="74"/>
        <v>1.0934752386810112</v>
      </c>
      <c r="K164" s="125">
        <f t="shared" si="74"/>
        <v>2.1776842091074773</v>
      </c>
      <c r="O164" s="2" t="str">
        <f t="shared" si="67"/>
        <v>EBITDA to interest expenses</v>
      </c>
      <c r="T164" s="48" t="s">
        <v>85</v>
      </c>
      <c r="U164" s="27">
        <f>U89/-U94</f>
        <v>1.2710909203494298</v>
      </c>
      <c r="V164" s="27">
        <f>V89/-V94</f>
        <v>2.3928052913469808</v>
      </c>
      <c r="W164" s="27">
        <f>W89/-W94</f>
        <v>1.7121553346844494</v>
      </c>
      <c r="X164" s="27">
        <f>X89/-X94</f>
        <v>2.4217089508570875</v>
      </c>
      <c r="Y164" s="27">
        <f>Y89/-Y94</f>
        <v>2.654158171760002</v>
      </c>
    </row>
    <row r="165" spans="1:25" ht="12" customHeight="1" outlineLevel="1">
      <c r="B165" s="117" t="s">
        <v>35</v>
      </c>
      <c r="C165" s="116"/>
      <c r="D165" s="116"/>
      <c r="E165" s="116"/>
      <c r="F165" s="122"/>
      <c r="G165" s="122"/>
      <c r="H165" s="116"/>
      <c r="I165" s="102"/>
      <c r="J165" s="116"/>
      <c r="K165" s="116"/>
      <c r="O165" s="6" t="str">
        <f t="shared" si="67"/>
        <v>Working Capital Management</v>
      </c>
      <c r="P165" s="6"/>
      <c r="R165" s="6"/>
      <c r="S165" s="6"/>
      <c r="T165" s="48"/>
      <c r="V165" s="48"/>
      <c r="W165" s="32"/>
      <c r="X165" s="2"/>
      <c r="Y165" s="2"/>
    </row>
    <row r="166" spans="1:25" ht="12" customHeight="1" outlineLevel="1">
      <c r="B166" s="116" t="s">
        <v>91</v>
      </c>
      <c r="C166" s="116"/>
      <c r="D166" s="116"/>
      <c r="E166" s="116"/>
      <c r="F166" s="126" t="s">
        <v>86</v>
      </c>
      <c r="G166" s="128">
        <f>G19-G48</f>
        <v>-98887.95700000017</v>
      </c>
      <c r="H166" s="128">
        <f>H19-H48</f>
        <v>-211450.67300000065</v>
      </c>
      <c r="I166" s="128">
        <f>I19-I48</f>
        <v>169961.43800000008</v>
      </c>
      <c r="J166" s="128">
        <f>J19-J48</f>
        <v>1059810.2130000005</v>
      </c>
      <c r="K166" s="128">
        <f>K19-K48</f>
        <v>912558.41300000006</v>
      </c>
      <c r="O166" s="2" t="str">
        <f t="shared" si="67"/>
        <v xml:space="preserve">Net working capital </v>
      </c>
      <c r="P166" s="6"/>
      <c r="R166" s="6"/>
      <c r="S166" s="6"/>
      <c r="T166" s="49" t="s">
        <v>86</v>
      </c>
      <c r="U166" s="66">
        <f>(U19-U48)</f>
        <v>-186792.22878321511</v>
      </c>
      <c r="V166" s="66">
        <f>(V19-V48)</f>
        <v>-305919.82074988558</v>
      </c>
      <c r="W166" s="66">
        <f>(W19-W48)</f>
        <v>-67206.845532056352</v>
      </c>
      <c r="X166" s="66">
        <f>(X19-X48)</f>
        <v>18929.694757796999</v>
      </c>
      <c r="Y166" s="66">
        <f>(Y19-Y48)</f>
        <v>40288.903256849007</v>
      </c>
    </row>
    <row r="167" spans="1:25" ht="12" customHeight="1" outlineLevel="1">
      <c r="B167" s="116" t="s">
        <v>37</v>
      </c>
      <c r="C167" s="116"/>
      <c r="D167" s="116"/>
      <c r="E167" s="116"/>
      <c r="F167" s="122" t="s">
        <v>87</v>
      </c>
      <c r="G167" s="129">
        <f>(G15/-G82)*365</f>
        <v>365.20508276353138</v>
      </c>
      <c r="H167" s="129">
        <f>(H15/-H82)*365</f>
        <v>78.224007988084082</v>
      </c>
      <c r="I167" s="129">
        <f>(I15/-I82)*365</f>
        <v>61.445400750330435</v>
      </c>
      <c r="J167" s="129">
        <f t="shared" ref="J167:K167" si="75">(J15/-J82)*365</f>
        <v>71.276347347837088</v>
      </c>
      <c r="K167" s="129">
        <f t="shared" si="75"/>
        <v>81.086760202538713</v>
      </c>
      <c r="O167" s="2" t="str">
        <f t="shared" si="67"/>
        <v>Inventory doh</v>
      </c>
      <c r="T167" s="48" t="s">
        <v>87</v>
      </c>
      <c r="U167" s="101">
        <f>(U15/-U82)*365</f>
        <v>346.88632790539458</v>
      </c>
      <c r="V167" s="101">
        <f>(V15/-V82)*365</f>
        <v>70.500496808258418</v>
      </c>
      <c r="W167" s="101">
        <f>(W15/-W82)*365</f>
        <v>56.007778750589083</v>
      </c>
      <c r="X167" s="101">
        <f>(X15/-X82)*365</f>
        <v>67.148515088525556</v>
      </c>
      <c r="Y167" s="101">
        <f>(Y15/-Y82)*365</f>
        <v>77.398559895608827</v>
      </c>
    </row>
    <row r="168" spans="1:25" ht="12" customHeight="1" outlineLevel="1">
      <c r="B168" s="116" t="s">
        <v>38</v>
      </c>
      <c r="C168" s="116"/>
      <c r="D168" s="116"/>
      <c r="E168" s="116"/>
      <c r="F168" s="122" t="s">
        <v>87</v>
      </c>
      <c r="G168" s="129">
        <f>(G8/G78)*365</f>
        <v>414.20080442154227</v>
      </c>
      <c r="H168" s="129">
        <f>(H8/H78)*365</f>
        <v>98.600725094645398</v>
      </c>
      <c r="I168" s="129">
        <f>(I8/I78)*365</f>
        <v>87.024871069967844</v>
      </c>
      <c r="J168" s="129">
        <f>(J8/J78)*365</f>
        <v>76.766269771149425</v>
      </c>
      <c r="K168" s="129">
        <f>(K8/K78)*365</f>
        <v>65.454477996221698</v>
      </c>
      <c r="O168" s="2" t="str">
        <f t="shared" si="67"/>
        <v>Accounts receivables doh</v>
      </c>
      <c r="T168" s="48" t="s">
        <v>87</v>
      </c>
      <c r="U168" s="101">
        <f>(U8/U78)*365</f>
        <v>393.42441505471015</v>
      </c>
      <c r="V168" s="101">
        <f>(V8/V78)*365</f>
        <v>88.865302144655203</v>
      </c>
      <c r="W168" s="101">
        <f>(W8/W78)*365</f>
        <v>79.323589156656084</v>
      </c>
      <c r="X168" s="101">
        <f>(X8/X78)*365</f>
        <v>72.32049923745528</v>
      </c>
      <c r="Y168" s="101">
        <f>(Y8/Y78)*365</f>
        <v>62.4773060728077</v>
      </c>
    </row>
    <row r="169" spans="1:25" ht="12" customHeight="1" outlineLevel="1">
      <c r="B169" s="116" t="s">
        <v>40</v>
      </c>
      <c r="C169" s="116"/>
      <c r="D169" s="116"/>
      <c r="E169" s="116"/>
      <c r="F169" s="122" t="s">
        <v>87</v>
      </c>
      <c r="G169" s="129">
        <f>(G35/-G82)*365</f>
        <v>254.52136617334833</v>
      </c>
      <c r="H169" s="129">
        <f>(H35/-H82)*365</f>
        <v>63.396888537930131</v>
      </c>
      <c r="I169" s="129">
        <f>(I35/-I82)*365</f>
        <v>82.060442547041248</v>
      </c>
      <c r="J169" s="129">
        <f>(J35/-J82)*365</f>
        <v>84.436275926136233</v>
      </c>
      <c r="K169" s="129">
        <f>(K35/-K82)*365</f>
        <v>74.795479151205924</v>
      </c>
      <c r="O169" s="2" t="str">
        <f t="shared" si="67"/>
        <v>Accounts payables doh</v>
      </c>
      <c r="T169" s="48" t="s">
        <v>87</v>
      </c>
      <c r="U169" s="101">
        <f>(U35/-U82)*365</f>
        <v>241.75452712005233</v>
      </c>
      <c r="V169" s="101">
        <f>(V35/-V82)*365</f>
        <v>57.137345080844</v>
      </c>
      <c r="W169" s="101">
        <f>(W35/-W82)*365</f>
        <v>74.798488645635487</v>
      </c>
      <c r="X169" s="101">
        <f>(X35/-X82)*365</f>
        <v>79.546311771223458</v>
      </c>
      <c r="Y169" s="101">
        <f>(Y35/-Y82)*365</f>
        <v>71.393435359181183</v>
      </c>
    </row>
    <row r="170" spans="1:25" ht="12" customHeight="1" outlineLevel="1">
      <c r="B170" s="6" t="s">
        <v>42</v>
      </c>
      <c r="F170" s="48" t="s">
        <v>87</v>
      </c>
      <c r="G170" s="65">
        <f>G167+G168-G169</f>
        <v>524.88452101172538</v>
      </c>
      <c r="H170" s="65">
        <f t="shared" ref="H170:K170" si="76">H167+H168-H169</f>
        <v>113.42784454479937</v>
      </c>
      <c r="I170" s="65">
        <f t="shared" si="76"/>
        <v>66.409829273257031</v>
      </c>
      <c r="J170" s="65">
        <f t="shared" si="76"/>
        <v>63.606341192850294</v>
      </c>
      <c r="K170" s="65">
        <f t="shared" si="76"/>
        <v>71.7457590475545</v>
      </c>
      <c r="O170" s="6" t="str">
        <f t="shared" si="67"/>
        <v>Cash conversion cycle</v>
      </c>
      <c r="Q170" s="6"/>
      <c r="R170" s="6"/>
      <c r="T170" s="48" t="s">
        <v>87</v>
      </c>
      <c r="U170" s="101">
        <f>U167+U168-U169</f>
        <v>498.55621584005246</v>
      </c>
      <c r="V170" s="101">
        <f t="shared" ref="V170:Y170" si="77">V167+V168-V169</f>
        <v>102.22845387206962</v>
      </c>
      <c r="W170" s="101">
        <f t="shared" si="77"/>
        <v>60.532879261609693</v>
      </c>
      <c r="X170" s="101">
        <f t="shared" si="77"/>
        <v>59.922702554757365</v>
      </c>
      <c r="Y170" s="101">
        <f t="shared" si="77"/>
        <v>68.482430609235337</v>
      </c>
    </row>
    <row r="171" spans="1:25" ht="12" customHeight="1" outlineLevel="1">
      <c r="L171" s="33"/>
    </row>
    <row r="172" spans="1:25" ht="12" customHeight="1" outlineLevel="1">
      <c r="U172" s="3"/>
      <c r="V172" s="3"/>
      <c r="X172" s="23"/>
      <c r="Y172" s="23"/>
    </row>
    <row r="173" spans="1:25">
      <c r="A173" s="23"/>
      <c r="O173" s="23"/>
      <c r="P173" s="23"/>
      <c r="Q173" s="23"/>
      <c r="R173" s="23"/>
      <c r="S173" s="23"/>
      <c r="T173" s="23"/>
      <c r="U173" s="23"/>
      <c r="V173" s="23"/>
      <c r="W173" s="23"/>
      <c r="X173" s="6"/>
      <c r="Y173" s="6"/>
    </row>
    <row r="174" spans="1:25" s="23" customFormat="1">
      <c r="A174" s="2"/>
      <c r="B174" s="2"/>
      <c r="C174" s="6"/>
      <c r="D174" s="6"/>
      <c r="E174" s="6"/>
      <c r="F174" s="6"/>
      <c r="G174" s="2"/>
      <c r="H174" s="2"/>
      <c r="I174" s="2"/>
      <c r="J174" s="2"/>
      <c r="K174" s="2"/>
      <c r="L174" s="2"/>
      <c r="M174" s="5"/>
      <c r="N174" s="6"/>
      <c r="O174" s="2"/>
      <c r="P174" s="2"/>
      <c r="Q174" s="2"/>
      <c r="R174" s="2"/>
      <c r="S174" s="2"/>
      <c r="T174" s="2"/>
      <c r="U174" s="3"/>
      <c r="V174" s="3"/>
      <c r="W174" s="3"/>
    </row>
    <row r="175" spans="1:25">
      <c r="A175" s="23"/>
      <c r="B175" s="23"/>
      <c r="D175" s="6"/>
      <c r="E175" s="6"/>
      <c r="F175" s="6"/>
      <c r="M175" s="5"/>
      <c r="O175" s="23"/>
      <c r="P175" s="23"/>
      <c r="Q175" s="23"/>
      <c r="R175" s="23"/>
      <c r="S175" s="23"/>
      <c r="T175" s="23"/>
      <c r="U175" s="23"/>
      <c r="V175" s="23"/>
      <c r="W175" s="23"/>
      <c r="X175" s="23"/>
      <c r="Y175" s="23"/>
    </row>
    <row r="176" spans="1:25" s="23" customFormat="1">
      <c r="A176" s="6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5"/>
      <c r="N176" s="6"/>
      <c r="O176" s="2"/>
      <c r="P176" s="2"/>
      <c r="Q176" s="6"/>
      <c r="R176" s="28"/>
      <c r="S176" s="28"/>
      <c r="T176" s="28"/>
      <c r="U176" s="28"/>
      <c r="V176" s="28"/>
      <c r="W176" s="6"/>
      <c r="X176" s="6"/>
      <c r="Y176" s="6"/>
    </row>
    <row r="177" spans="1:25" s="6" customFormat="1">
      <c r="A177" s="23"/>
      <c r="B177" s="23"/>
      <c r="C177" s="2"/>
      <c r="D177" s="2"/>
      <c r="E177" s="2"/>
      <c r="F177" s="2"/>
      <c r="G177" s="2"/>
      <c r="H177" s="2"/>
      <c r="I177" s="2"/>
      <c r="J177" s="2"/>
      <c r="K177" s="2"/>
      <c r="L177" s="5"/>
      <c r="M177" s="23"/>
      <c r="N177" s="23"/>
      <c r="O177" s="2"/>
      <c r="P177" s="2"/>
      <c r="R177" s="5"/>
      <c r="S177" s="5"/>
      <c r="T177" s="5"/>
      <c r="U177" s="5"/>
      <c r="V177" s="5"/>
    </row>
    <row r="178" spans="1:25" s="23" customFormat="1">
      <c r="B178" s="2"/>
      <c r="C178" s="2"/>
      <c r="D178" s="2"/>
      <c r="E178" s="2"/>
      <c r="F178" s="2"/>
      <c r="G178" s="2"/>
      <c r="H178" s="2"/>
      <c r="I178" s="2"/>
      <c r="J178" s="2"/>
      <c r="K178" s="2"/>
      <c r="M178" s="2"/>
    </row>
    <row r="179" spans="1:25" s="23" customFormat="1">
      <c r="B179" s="2"/>
      <c r="C179" s="2"/>
      <c r="D179" s="2"/>
      <c r="E179" s="2"/>
      <c r="F179" s="2"/>
      <c r="G179" s="2"/>
      <c r="H179" s="2"/>
      <c r="I179" s="2"/>
      <c r="J179" s="2"/>
      <c r="K179" s="2"/>
      <c r="M179" s="2"/>
    </row>
    <row r="180" spans="1:25" s="23" customFormat="1">
      <c r="B180" s="2"/>
      <c r="C180" s="2"/>
      <c r="D180" s="2"/>
      <c r="E180" s="2"/>
      <c r="F180" s="2"/>
      <c r="G180" s="2"/>
      <c r="H180" s="2"/>
      <c r="I180" s="2"/>
      <c r="J180" s="2"/>
      <c r="K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  <c r="X180" s="3"/>
      <c r="Y180" s="3"/>
    </row>
    <row r="181" spans="1:25" ht="12" customHeight="1"/>
    <row r="182" spans="1:25">
      <c r="G182" s="6"/>
      <c r="H182" s="6"/>
      <c r="I182" s="6"/>
      <c r="J182" s="6"/>
      <c r="K182" s="6"/>
    </row>
    <row r="186" spans="1:25" ht="12" customHeight="1">
      <c r="C186" s="6"/>
      <c r="D186" s="6"/>
      <c r="E186" s="6"/>
      <c r="F186" s="6"/>
    </row>
    <row r="188" spans="1:25">
      <c r="B188" s="6"/>
      <c r="M188" s="6"/>
    </row>
    <row r="190" spans="1:25" ht="12" customHeight="1" collapsed="1"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 spans="1:25" s="6" customFormat="1">
      <c r="B191" s="2"/>
      <c r="C191" s="2"/>
      <c r="D191" s="2"/>
      <c r="E191" s="2"/>
      <c r="F191" s="2"/>
      <c r="G191" s="2"/>
      <c r="H191" s="2"/>
      <c r="I191" s="2"/>
      <c r="J191" s="2"/>
      <c r="K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  <c r="X191" s="3"/>
      <c r="Y191" s="3"/>
    </row>
    <row r="196" spans="23:25">
      <c r="X196" s="5"/>
      <c r="Y196" s="5"/>
    </row>
    <row r="197" spans="23:25">
      <c r="W197" s="19"/>
      <c r="X197" s="19"/>
      <c r="Y197" s="19"/>
    </row>
    <row r="198" spans="23:25">
      <c r="W198" s="45"/>
      <c r="X198" s="45"/>
      <c r="Y198" s="45"/>
    </row>
  </sheetData>
  <conditionalFormatting sqref="I74">
    <cfRule type="cellIs" dxfId="7" priority="6" stopIfTrue="1" operator="notEqual">
      <formula>TRUE</formula>
    </cfRule>
  </conditionalFormatting>
  <conditionalFormatting sqref="I74">
    <cfRule type="cellIs" dxfId="6" priority="7" stopIfTrue="1" operator="notEqual">
      <formula>TRUE</formula>
    </cfRule>
  </conditionalFormatting>
  <conditionalFormatting sqref="G74">
    <cfRule type="cellIs" dxfId="5" priority="4" stopIfTrue="1" operator="notEqual">
      <formula>TRUE</formula>
    </cfRule>
  </conditionalFormatting>
  <conditionalFormatting sqref="G74">
    <cfRule type="cellIs" dxfId="4" priority="5" stopIfTrue="1" operator="notEqual">
      <formula>TRUE</formula>
    </cfRule>
  </conditionalFormatting>
  <conditionalFormatting sqref="H74">
    <cfRule type="cellIs" dxfId="3" priority="8" stopIfTrue="1" operator="notEqual">
      <formula>TRUE</formula>
    </cfRule>
  </conditionalFormatting>
  <conditionalFormatting sqref="H74">
    <cfRule type="cellIs" dxfId="2" priority="9" stopIfTrue="1" operator="notEqual">
      <formula>TRUE</formula>
    </cfRule>
  </conditionalFormatting>
  <conditionalFormatting sqref="J74">
    <cfRule type="cellIs" dxfId="1" priority="3" stopIfTrue="1" operator="notEqual">
      <formula>TRUE</formula>
    </cfRule>
  </conditionalFormatting>
  <conditionalFormatting sqref="K74">
    <cfRule type="cellIs" dxfId="0" priority="2" stopIfTrue="1" operator="notEqual">
      <formula>TRUE</formula>
    </cfRule>
  </conditionalFormatting>
  <pageMargins left="0.7" right="0.7" top="0.75" bottom="0.75" header="0.3" footer="0.3"/>
  <pageSetup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C18"/>
  <sheetViews>
    <sheetView showGridLines="0" workbookViewId="0">
      <selection activeCell="E23" sqref="E23"/>
    </sheetView>
  </sheetViews>
  <sheetFormatPr defaultColWidth="8.77734375" defaultRowHeight="13.8"/>
  <cols>
    <col min="1" max="16384" width="8.77734375" style="107"/>
  </cols>
  <sheetData>
    <row r="2" spans="2:3">
      <c r="B2" s="107" t="s">
        <v>167</v>
      </c>
    </row>
    <row r="3" spans="2:3">
      <c r="B3" s="108">
        <v>1</v>
      </c>
      <c r="C3" s="107" t="s">
        <v>153</v>
      </c>
    </row>
    <row r="4" spans="2:3">
      <c r="B4" s="108">
        <v>2</v>
      </c>
      <c r="C4" s="107" t="s">
        <v>154</v>
      </c>
    </row>
    <row r="5" spans="2:3">
      <c r="B5" s="108">
        <v>3</v>
      </c>
      <c r="C5" s="107" t="s">
        <v>155</v>
      </c>
    </row>
    <row r="6" spans="2:3">
      <c r="B6" s="108">
        <v>4</v>
      </c>
      <c r="C6" s="107" t="s">
        <v>156</v>
      </c>
    </row>
    <row r="7" spans="2:3">
      <c r="B7" s="108">
        <v>5</v>
      </c>
      <c r="C7" s="107" t="s">
        <v>157</v>
      </c>
    </row>
    <row r="8" spans="2:3">
      <c r="B8" s="108">
        <v>6</v>
      </c>
      <c r="C8" s="107" t="s">
        <v>158</v>
      </c>
    </row>
    <row r="9" spans="2:3">
      <c r="B9" s="108">
        <v>7</v>
      </c>
      <c r="C9" s="107" t="s">
        <v>161</v>
      </c>
    </row>
    <row r="10" spans="2:3">
      <c r="B10" s="108">
        <v>8</v>
      </c>
      <c r="C10" s="107" t="s">
        <v>162</v>
      </c>
    </row>
    <row r="11" spans="2:3">
      <c r="B11" s="108">
        <v>9</v>
      </c>
      <c r="C11" s="107" t="s">
        <v>163</v>
      </c>
    </row>
    <row r="12" spans="2:3">
      <c r="B12" s="108">
        <v>10</v>
      </c>
      <c r="C12" s="107" t="s">
        <v>164</v>
      </c>
    </row>
    <row r="13" spans="2:3">
      <c r="B13" s="108">
        <v>11</v>
      </c>
      <c r="C13" s="107" t="s">
        <v>166</v>
      </c>
    </row>
    <row r="14" spans="2:3">
      <c r="B14" s="108">
        <v>12</v>
      </c>
      <c r="C14" s="107" t="s">
        <v>168</v>
      </c>
    </row>
    <row r="15" spans="2:3">
      <c r="B15" s="108">
        <v>13</v>
      </c>
      <c r="C15" s="107" t="s">
        <v>169</v>
      </c>
    </row>
    <row r="16" spans="2:3">
      <c r="B16" s="108">
        <v>14</v>
      </c>
      <c r="C16" s="107" t="s">
        <v>170</v>
      </c>
    </row>
    <row r="17" spans="2:3">
      <c r="B17" s="108">
        <v>15</v>
      </c>
      <c r="C17" s="107" t="s">
        <v>171</v>
      </c>
    </row>
    <row r="18" spans="2:3">
      <c r="B18" s="108"/>
    </row>
  </sheetData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1d45786f-a737-4735-8af6-df12fb6939a2" origin="userSelected"/>
</file>

<file path=customXml/itemProps1.xml><?xml version="1.0" encoding="utf-8"?>
<ds:datastoreItem xmlns:ds="http://schemas.openxmlformats.org/officeDocument/2006/customXml" ds:itemID="{7F3F232B-C653-4B14-8915-E3CDCBDD635A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Financial Statements_rev</vt:lpstr>
      <vt:lpstr>Notes</vt:lpstr>
    </vt:vector>
  </TitlesOfParts>
  <Company>EBRD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Matiuchinas, Andrius</dc:creator>
  <cp:keywords>[EBRD]</cp:keywords>
  <cp:lastModifiedBy>ASUS</cp:lastModifiedBy>
  <dcterms:created xsi:type="dcterms:W3CDTF">2016-05-12T15:25:07Z</dcterms:created>
  <dcterms:modified xsi:type="dcterms:W3CDTF">2020-06-08T18:08:39Z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ef92b4f1-33d3-4214-84f9-e27afd78e0c1</vt:lpwstr>
  </property>
  <property fmtid="{D5CDD505-2E9C-101B-9397-08002B2CF9AE}" pid="3" name="bjSaver">
    <vt:lpwstr>WxmdxbWk4uayxACzB9SNJBxT5RTO3XXJ</vt:lpwstr>
  </property>
  <property fmtid="{D5CDD505-2E9C-101B-9397-08002B2CF9AE}" pid="4" name="bjDocumentSecurityLabel">
    <vt:lpwstr>This item has no classification</vt:lpwstr>
  </property>
</Properties>
</file>