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4E6ACC03-3BD3-4ABB-A7CC-E966C750E755}" xr6:coauthVersionLast="45" xr6:coauthVersionMax="45" xr10:uidLastSave="{00000000-0000-0000-0000-000000000000}"/>
  <bookViews>
    <workbookView xWindow="5532" yWindow="360" windowWidth="16080" windowHeight="8964" tabRatio="869" firstSheet="3" activeTab="4" xr2:uid="{00000000-000D-0000-FFFF-FFFF00000000}"/>
  </bookViews>
  <sheets>
    <sheet name="Notes" sheetId="19" r:id="rId1"/>
    <sheet name="BS_hist" sheetId="1" r:id="rId2"/>
    <sheet name="IS_hist" sheetId="13" r:id="rId3"/>
    <sheet name="Multiples Valuation" sheetId="20" r:id="rId4"/>
    <sheet name="DCF Valuation" sheetId="18" r:id="rId5"/>
    <sheet name="WACC" sheetId="17" r:id="rId6"/>
    <sheet name="BS" sheetId="14" r:id="rId7"/>
    <sheet name="IS" sheetId="4" r:id="rId8"/>
    <sheet name="CFS" sheetId="7" r:id="rId9"/>
    <sheet name="S&amp;P input" sheetId="5" r:id="rId10"/>
    <sheet name="Fixed&amp;Intangible Assets" sheetId="8" r:id="rId11"/>
    <sheet name="WC" sheetId="9" r:id="rId12"/>
    <sheet name="Debt" sheetId="10" r:id="rId13"/>
    <sheet name="Tax" sheetId="11" r:id="rId14"/>
    <sheet name="Financial ratios" sheetId="12" r:id="rId15"/>
  </sheets>
  <externalReferences>
    <externalReference r:id="rId16"/>
    <externalReference r:id="rId17"/>
    <externalReference r:id="rId18"/>
    <externalReference r:id="rId19"/>
    <externalReference r:id="rId20"/>
  </externalReferences>
  <definedNames>
    <definedName name="\s" localSheetId="4">[1]tabosan!#REF!</definedName>
    <definedName name="\s" localSheetId="12">[1]tabosan!#REF!</definedName>
    <definedName name="\s" localSheetId="14">[1]tabosan!#REF!</definedName>
    <definedName name="\s" localSheetId="10">[1]tabosan!#REF!</definedName>
    <definedName name="\s" localSheetId="9">[1]tabosan!#REF!</definedName>
    <definedName name="\s" localSheetId="13">[1]tabosan!#REF!</definedName>
    <definedName name="\s" localSheetId="5">[1]tabosan!#REF!</definedName>
    <definedName name="\s">[1]tabosan!#REF!</definedName>
    <definedName name="\z" localSheetId="4">[1]tabosan!#REF!</definedName>
    <definedName name="\z" localSheetId="12">[1]tabosan!#REF!</definedName>
    <definedName name="\z" localSheetId="14">[1]tabosan!#REF!</definedName>
    <definedName name="\z" localSheetId="10">[1]tabosan!#REF!</definedName>
    <definedName name="\z" localSheetId="9">[1]tabosan!#REF!</definedName>
    <definedName name="\z" localSheetId="13">[1]tabosan!#REF!</definedName>
    <definedName name="\z" localSheetId="5">[1]tabosan!#REF!</definedName>
    <definedName name="\z">[1]tabosan!#REF!</definedName>
    <definedName name="__PY1" localSheetId="4">#REF!</definedName>
    <definedName name="__PY1" localSheetId="12">#REF!</definedName>
    <definedName name="__PY1" localSheetId="14">#REF!</definedName>
    <definedName name="__PY1" localSheetId="10">#REF!</definedName>
    <definedName name="__PY1" localSheetId="9">#REF!</definedName>
    <definedName name="__PY1" localSheetId="13">#REF!</definedName>
    <definedName name="__PY1" localSheetId="5">#REF!</definedName>
    <definedName name="__PY1">#REF!</definedName>
    <definedName name="__PY2" localSheetId="4">#REF!</definedName>
    <definedName name="__PY2" localSheetId="12">#REF!</definedName>
    <definedName name="__PY2" localSheetId="14">#REF!</definedName>
    <definedName name="__PY2" localSheetId="10">#REF!</definedName>
    <definedName name="__PY2" localSheetId="9">#REF!</definedName>
    <definedName name="__PY2" localSheetId="13">#REF!</definedName>
    <definedName name="__PY2" localSheetId="5">#REF!</definedName>
    <definedName name="__PY2">#REF!</definedName>
    <definedName name="_PY1" localSheetId="4">#REF!</definedName>
    <definedName name="_PY1" localSheetId="12">#REF!</definedName>
    <definedName name="_PY1" localSheetId="14">#REF!</definedName>
    <definedName name="_PY1" localSheetId="10">#REF!</definedName>
    <definedName name="_PY1" localSheetId="9">#REF!</definedName>
    <definedName name="_PY1" localSheetId="13">#REF!</definedName>
    <definedName name="_PY1" localSheetId="5">#REF!</definedName>
    <definedName name="_PY1">#REF!</definedName>
    <definedName name="_PY2" localSheetId="4">#REF!</definedName>
    <definedName name="_PY2" localSheetId="12">#REF!</definedName>
    <definedName name="_PY2" localSheetId="14">#REF!</definedName>
    <definedName name="_PY2" localSheetId="10">#REF!</definedName>
    <definedName name="_PY2" localSheetId="9">#REF!</definedName>
    <definedName name="_PY2" localSheetId="13">#REF!</definedName>
    <definedName name="_PY2" localSheetId="5">#REF!</definedName>
    <definedName name="_PY2">#REF!</definedName>
    <definedName name="amortisman_tablosu" localSheetId="4">#REF!</definedName>
    <definedName name="amortisman_tablosu" localSheetId="5">#REF!</definedName>
    <definedName name="amortisman_tablosu">#REF!</definedName>
    <definedName name="AS2DocOpenMode" hidden="1">"AS2DocumentEdit"</definedName>
    <definedName name="AS2HasNoAutoHeaderFooter">"OFF"</definedName>
    <definedName name="BASBİL" localSheetId="4">#REF!</definedName>
    <definedName name="BASBİL" localSheetId="5">#REF!</definedName>
    <definedName name="BASBİL">#REF!</definedName>
    <definedName name="BASGELTAB" localSheetId="4">#REF!</definedName>
    <definedName name="BASGELTAB" localSheetId="5">#REF!</definedName>
    <definedName name="BASGELTAB">#REF!</definedName>
    <definedName name="başabaş_tablosu" localSheetId="4">#REF!</definedName>
    <definedName name="başabaş_tablosu" localSheetId="5">#REF!</definedName>
    <definedName name="başabaş_tablosu">#REF!</definedName>
    <definedName name="bilanço_projeksiyonu" localSheetId="4">#REF!</definedName>
    <definedName name="bilanço_projeksiyonu" localSheetId="5">#REF!</definedName>
    <definedName name="bilanço_projeksiyonu">#REF!</definedName>
    <definedName name="birinci_ürün_maliyet_tablosu" localSheetId="4">#REF!</definedName>
    <definedName name="birinci_ürün_maliyet_tablosu" localSheetId="5">#REF!</definedName>
    <definedName name="birinci_ürün_maliyet_tablosu">#REF!</definedName>
    <definedName name="CN" localSheetId="4">#REF!</definedName>
    <definedName name="CN" localSheetId="12">#REF!</definedName>
    <definedName name="CN" localSheetId="14">#REF!</definedName>
    <definedName name="CN" localSheetId="10">#REF!</definedName>
    <definedName name="CN" localSheetId="9">#REF!</definedName>
    <definedName name="CN" localSheetId="13">#REF!</definedName>
    <definedName name="CN" localSheetId="5">#REF!</definedName>
    <definedName name="CN">#REF!</definedName>
    <definedName name="CY" localSheetId="4">#REF!</definedName>
    <definedName name="CY" localSheetId="12">#REF!</definedName>
    <definedName name="CY" localSheetId="14">#REF!</definedName>
    <definedName name="CY" localSheetId="10">#REF!</definedName>
    <definedName name="CY" localSheetId="9">#REF!</definedName>
    <definedName name="CY" localSheetId="13">#REF!</definedName>
    <definedName name="CY" localSheetId="5">#REF!</definedName>
    <definedName name="CY">#REF!</definedName>
    <definedName name="cye" localSheetId="4">#REF!</definedName>
    <definedName name="cye" localSheetId="12">#REF!</definedName>
    <definedName name="cye" localSheetId="14">#REF!</definedName>
    <definedName name="cye" localSheetId="10">#REF!</definedName>
    <definedName name="cye" localSheetId="9">#REF!</definedName>
    <definedName name="cye" localSheetId="13">#REF!</definedName>
    <definedName name="cye" localSheetId="5">#REF!</definedName>
    <definedName name="cye">#REF!</definedName>
    <definedName name="CYT" localSheetId="4">#REF!</definedName>
    <definedName name="CYT" localSheetId="12">#REF!</definedName>
    <definedName name="CYT" localSheetId="14">#REF!</definedName>
    <definedName name="CYT" localSheetId="10">#REF!</definedName>
    <definedName name="CYT" localSheetId="9">#REF!</definedName>
    <definedName name="CYT" localSheetId="13">#REF!</definedName>
    <definedName name="CYT" localSheetId="5">#REF!</definedName>
    <definedName name="CYT">#REF!</definedName>
    <definedName name="cyx" localSheetId="4">#REF!</definedName>
    <definedName name="cyx" localSheetId="12">#REF!</definedName>
    <definedName name="cyx" localSheetId="14">#REF!</definedName>
    <definedName name="cyx" localSheetId="10">#REF!</definedName>
    <definedName name="cyx" localSheetId="9">#REF!</definedName>
    <definedName name="cyx" localSheetId="13">#REF!</definedName>
    <definedName name="cyx" localSheetId="5">#REF!</definedName>
    <definedName name="cyx">#REF!</definedName>
    <definedName name="FİYATLAR" localSheetId="4">#REF!</definedName>
    <definedName name="FİYATLAR" localSheetId="5">#REF!</definedName>
    <definedName name="FİYATLAR">#REF!</definedName>
    <definedName name="fon_akım_tablosu" localSheetId="4">#REF!</definedName>
    <definedName name="fon_akım_tablosu" localSheetId="5">#REF!</definedName>
    <definedName name="fon_akım_tablosu">#REF!</definedName>
    <definedName name="gelir_tablosu" localSheetId="4">#REF!</definedName>
    <definedName name="gelir_tablosu" localSheetId="5">#REF!</definedName>
    <definedName name="gelir_tablosu">#REF!</definedName>
    <definedName name="ikinci_ürün_maliyet_tablosu" localSheetId="4">#REF!</definedName>
    <definedName name="ikinci_ürün_maliyet_tablosu" localSheetId="5">#REF!</definedName>
    <definedName name="ikinci_ürün_maliyet_tablosu">#REF!</definedName>
    <definedName name="işletme_sermayesi_tablosu" localSheetId="4">#REF!</definedName>
    <definedName name="işletme_sermayesi_tablosu" localSheetId="5">#REF!</definedName>
    <definedName name="işletme_sermayesi_tablosu">#REF!</definedName>
    <definedName name="itfa_tabloları" localSheetId="4">#REF!</definedName>
    <definedName name="itfa_tabloları" localSheetId="5">#REF!</definedName>
    <definedName name="itfa_tabloları">#REF!</definedName>
    <definedName name="kâr_dağıtım_tablosu" localSheetId="4">#REF!</definedName>
    <definedName name="kâr_dağıtım_tablosu" localSheetId="5">#REF!</definedName>
    <definedName name="kâr_dağıtım_tablosu">#REF!</definedName>
    <definedName name="KONSOLİDE" localSheetId="4">#REF!</definedName>
    <definedName name="KONSOLİDE" localSheetId="5">#REF!</definedName>
    <definedName name="KONSOLİDE">#REF!</definedName>
    <definedName name="MAMULSTOKORAN" localSheetId="4">#REF!</definedName>
    <definedName name="MAMULSTOKORAN" localSheetId="5">#REF!</definedName>
    <definedName name="MAMULSTOKORAN">#REF!</definedName>
    <definedName name="NAKAKTAB" localSheetId="4">#REF!</definedName>
    <definedName name="NAKAKTAB" localSheetId="5">#REF!</definedName>
    <definedName name="NAKAKTAB">#REF!</definedName>
    <definedName name="nakit_akım_tablosu" localSheetId="4">#REF!</definedName>
    <definedName name="nakit_akım_tablosu" localSheetId="5">#REF!</definedName>
    <definedName name="nakit_akım_tablosu">#REF!</definedName>
    <definedName name="ÖZSERDEĞTAB" localSheetId="4">#REF!</definedName>
    <definedName name="ÖZSERDEĞTAB" localSheetId="5">#REF!</definedName>
    <definedName name="ÖZSERDEĞTAB">#REF!</definedName>
    <definedName name="_xlnm.Print_Area" localSheetId="8">CFS!$F$2:$P$44</definedName>
    <definedName name="_xlnm.Print_Area" localSheetId="9">'S&amp;P input'!$F$2:$S$21</definedName>
    <definedName name="proforma_bilanço" localSheetId="4">#REF!</definedName>
    <definedName name="proforma_bilanço" localSheetId="5">#REF!</definedName>
    <definedName name="proforma_bilanço">#REF!</definedName>
    <definedName name="projeksiyon2" localSheetId="4">#REF!</definedName>
    <definedName name="projeksiyon2" localSheetId="5">#REF!</definedName>
    <definedName name="projeksiyon2">#REF!</definedName>
    <definedName name="PY" localSheetId="4">#REF!</definedName>
    <definedName name="PY" localSheetId="12">#REF!</definedName>
    <definedName name="PY" localSheetId="14">#REF!</definedName>
    <definedName name="PY" localSheetId="10">#REF!</definedName>
    <definedName name="PY" localSheetId="9">#REF!</definedName>
    <definedName name="PY" localSheetId="13">#REF!</definedName>
    <definedName name="PY" localSheetId="5">#REF!</definedName>
    <definedName name="PY">#REF!</definedName>
    <definedName name="py1e" localSheetId="4">#REF!</definedName>
    <definedName name="py1e" localSheetId="12">#REF!</definedName>
    <definedName name="py1e" localSheetId="14">#REF!</definedName>
    <definedName name="py1e" localSheetId="10">#REF!</definedName>
    <definedName name="py1e" localSheetId="9">#REF!</definedName>
    <definedName name="py1e" localSheetId="13">#REF!</definedName>
    <definedName name="py1e" localSheetId="5">#REF!</definedName>
    <definedName name="py1e">#REF!</definedName>
    <definedName name="py2e" localSheetId="4">#REF!</definedName>
    <definedName name="py2e" localSheetId="12">#REF!</definedName>
    <definedName name="py2e" localSheetId="14">#REF!</definedName>
    <definedName name="py2e" localSheetId="10">#REF!</definedName>
    <definedName name="py2e" localSheetId="9">#REF!</definedName>
    <definedName name="py2e" localSheetId="13">#REF!</definedName>
    <definedName name="py2e" localSheetId="5">#REF!</definedName>
    <definedName name="py2e">#REF!</definedName>
    <definedName name="pye" localSheetId="4">#REF!</definedName>
    <definedName name="pye" localSheetId="12">#REF!</definedName>
    <definedName name="pye" localSheetId="14">#REF!</definedName>
    <definedName name="pye" localSheetId="10">#REF!</definedName>
    <definedName name="pye" localSheetId="9">#REF!</definedName>
    <definedName name="pye" localSheetId="13">#REF!</definedName>
    <definedName name="pye" localSheetId="5">#REF!</definedName>
    <definedName name="pye">#REF!</definedName>
    <definedName name="Q1Response">'[2]2- Input Qualitative Info'!$D$6</definedName>
    <definedName name="_xlnm.Recorder">[3]FORMSRK!$B$3:$B$17</definedName>
    <definedName name="sa" localSheetId="4">#REF!</definedName>
    <definedName name="sa" localSheetId="12">#REF!</definedName>
    <definedName name="sa" localSheetId="14">#REF!</definedName>
    <definedName name="sa" localSheetId="10">#REF!</definedName>
    <definedName name="sa" localSheetId="9">#REF!</definedName>
    <definedName name="sa" localSheetId="13">#REF!</definedName>
    <definedName name="sa" localSheetId="5">#REF!</definedName>
    <definedName name="sa">#REF!</definedName>
    <definedName name="SABKIYDEĞTAB" localSheetId="4">#REF!</definedName>
    <definedName name="SABKIYDEĞTAB" localSheetId="5">#REF!</definedName>
    <definedName name="SABKIYDEĞTAB">#REF!</definedName>
    <definedName name="SATHASTAB" localSheetId="4">#REF!</definedName>
    <definedName name="SATHASTAB" localSheetId="5">#REF!</definedName>
    <definedName name="SATHASTAB">#REF!</definedName>
    <definedName name="satış_hasılatı_tablosu" localSheetId="4">#REF!</definedName>
    <definedName name="satış_hasılatı_tablosu" localSheetId="5">#REF!</definedName>
    <definedName name="satış_hasılatı_tablosu">#REF!</definedName>
    <definedName name="sdsds" localSheetId="4">#REF!</definedName>
    <definedName name="sdsds" localSheetId="12">#REF!</definedName>
    <definedName name="sdsds" localSheetId="14">#REF!</definedName>
    <definedName name="sdsds" localSheetId="10">#REF!</definedName>
    <definedName name="sdsds" localSheetId="9">#REF!</definedName>
    <definedName name="sdsds" localSheetId="13">#REF!</definedName>
    <definedName name="sdsds" localSheetId="5">#REF!</definedName>
    <definedName name="sdsds">#REF!</definedName>
    <definedName name="TextRefCopyRangeCount" hidden="1">9</definedName>
    <definedName name="toplam_maliyetler_tablosu" localSheetId="4">#REF!</definedName>
    <definedName name="toplam_maliyetler_tablosu" localSheetId="5">#REF!</definedName>
    <definedName name="toplam_maliyetler_tablosu">#REF!</definedName>
    <definedName name="üretim_stok_satış_tablosu" localSheetId="4">#REF!</definedName>
    <definedName name="üretim_stok_satış_tablosu" localSheetId="5">#REF!</definedName>
    <definedName name="üretim_stok_satış_tablosu">#REF!</definedName>
    <definedName name="ÜRETSATTAB" localSheetId="4">#REF!</definedName>
    <definedName name="ÜRETSATTAB" localSheetId="5">#REF!</definedName>
    <definedName name="ÜRETSATTAB">#REF!</definedName>
    <definedName name="ÜRÜN_1" localSheetId="4">#REF!</definedName>
    <definedName name="ÜRÜN_1" localSheetId="5">#REF!</definedName>
    <definedName name="ÜRÜN_1">#REF!</definedName>
    <definedName name="ÜRÜN_10" localSheetId="4">#REF!</definedName>
    <definedName name="ÜRÜN_10" localSheetId="5">#REF!</definedName>
    <definedName name="ÜRÜN_10">#REF!</definedName>
    <definedName name="ÜRÜN_2" localSheetId="4">#REF!</definedName>
    <definedName name="ÜRÜN_2" localSheetId="5">#REF!</definedName>
    <definedName name="ÜRÜN_2">#REF!</definedName>
    <definedName name="ÜRÜN_3" localSheetId="4">#REF!</definedName>
    <definedName name="ÜRÜN_3" localSheetId="5">#REF!</definedName>
    <definedName name="ÜRÜN_3">#REF!</definedName>
    <definedName name="ÜRÜN_4" localSheetId="4">#REF!</definedName>
    <definedName name="ÜRÜN_4" localSheetId="5">#REF!</definedName>
    <definedName name="ÜRÜN_4">#REF!</definedName>
    <definedName name="ÜRÜN_5" localSheetId="4">#REF!</definedName>
    <definedName name="ÜRÜN_5" localSheetId="5">#REF!</definedName>
    <definedName name="ÜRÜN_5">#REF!</definedName>
    <definedName name="ÜRÜN_6" localSheetId="4">#REF!</definedName>
    <definedName name="ÜRÜN_6" localSheetId="5">#REF!</definedName>
    <definedName name="ÜRÜN_6">#REF!</definedName>
    <definedName name="ÜRÜN_7" localSheetId="4">#REF!</definedName>
    <definedName name="ÜRÜN_7" localSheetId="5">#REF!</definedName>
    <definedName name="ÜRÜN_7">#REF!</definedName>
    <definedName name="ÜRÜN_8" localSheetId="4">#REF!</definedName>
    <definedName name="ÜRÜN_8" localSheetId="5">#REF!</definedName>
    <definedName name="ÜRÜN_8">#REF!</definedName>
    <definedName name="ÜRÜN_9" localSheetId="4">#REF!</definedName>
    <definedName name="ÜRÜN_9" localSheetId="5">#REF!</definedName>
    <definedName name="ÜRÜN_9">#REF!</definedName>
    <definedName name="yatırımın_finansmanı" localSheetId="4">#REF!</definedName>
    <definedName name="yatırımın_finansmanı" localSheetId="5">#REF!</definedName>
    <definedName name="yatırımın_finansmanı">#REF!</definedName>
    <definedName name="yatırımın_tutarı" localSheetId="4">#REF!</definedName>
    <definedName name="yatırımın_tutarı" localSheetId="5">#REF!</definedName>
    <definedName name="yatırımın_tutarı">#REF!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20" l="1"/>
  <c r="E10" i="20"/>
  <c r="I16" i="20"/>
  <c r="M14" i="8"/>
  <c r="E9" i="20" l="1"/>
  <c r="J16" i="20" l="1"/>
  <c r="E4" i="20" l="1"/>
  <c r="E7" i="20"/>
  <c r="E6" i="20"/>
  <c r="E3" i="20"/>
  <c r="E5" i="20" l="1"/>
  <c r="E8" i="20" s="1"/>
  <c r="D38" i="17"/>
  <c r="D37" i="17"/>
  <c r="Q44" i="8"/>
  <c r="R44" i="8" s="1"/>
  <c r="S44" i="8" s="1"/>
  <c r="T44" i="8" s="1"/>
  <c r="U44" i="8" s="1"/>
  <c r="Q43" i="8"/>
  <c r="R43" i="8" s="1"/>
  <c r="S43" i="8" s="1"/>
  <c r="T43" i="8" s="1"/>
  <c r="U43" i="8" s="1"/>
  <c r="Q42" i="8"/>
  <c r="R42" i="8" s="1"/>
  <c r="S42" i="8" s="1"/>
  <c r="T42" i="8" s="1"/>
  <c r="U42" i="8" s="1"/>
  <c r="P44" i="8"/>
  <c r="P43" i="8"/>
  <c r="P42" i="8"/>
  <c r="V42" i="8"/>
  <c r="P45" i="8" l="1"/>
  <c r="O7" i="8" l="1"/>
  <c r="O10" i="8" l="1"/>
  <c r="H48" i="18" l="1"/>
  <c r="H46" i="18"/>
  <c r="H44" i="18"/>
  <c r="C29" i="17"/>
  <c r="H43" i="18" s="1"/>
  <c r="C28" i="17"/>
  <c r="D29" i="17"/>
  <c r="D28" i="17"/>
  <c r="C31" i="17" s="1"/>
  <c r="C32" i="17" s="1"/>
  <c r="E21" i="17" s="1"/>
  <c r="E19" i="17"/>
  <c r="L2" i="18"/>
  <c r="M2" i="18" s="1"/>
  <c r="N2" i="18" s="1"/>
  <c r="O2" i="18" s="1"/>
  <c r="P2" i="18" s="1"/>
  <c r="K3" i="18"/>
  <c r="L3" i="18"/>
  <c r="M3" i="18"/>
  <c r="N3" i="18"/>
  <c r="O3" i="18"/>
  <c r="P3" i="18" s="1"/>
  <c r="P21" i="4"/>
  <c r="Q21" i="4"/>
  <c r="R21" i="4"/>
  <c r="S21" i="4"/>
  <c r="T21" i="4"/>
  <c r="O21" i="4"/>
  <c r="M20" i="4"/>
  <c r="L20" i="4"/>
  <c r="K20" i="4"/>
  <c r="J20" i="4"/>
  <c r="N20" i="4"/>
  <c r="L33" i="14" l="1"/>
  <c r="M33" i="14" s="1"/>
  <c r="N33" i="14" s="1"/>
  <c r="O33" i="14" s="1"/>
  <c r="P33" i="14" s="1"/>
  <c r="Q33" i="14" s="1"/>
  <c r="L30" i="14"/>
  <c r="L27" i="14"/>
  <c r="M27" i="14" s="1"/>
  <c r="N27" i="14" s="1"/>
  <c r="O27" i="14" s="1"/>
  <c r="P27" i="14" s="1"/>
  <c r="Q27" i="14" s="1"/>
  <c r="L28" i="14"/>
  <c r="M28" i="14" s="1"/>
  <c r="N28" i="14" s="1"/>
  <c r="O28" i="14" s="1"/>
  <c r="P28" i="14" s="1"/>
  <c r="Q28" i="14" s="1"/>
  <c r="L29" i="14"/>
  <c r="M29" i="14" s="1"/>
  <c r="N29" i="14" s="1"/>
  <c r="O29" i="14" s="1"/>
  <c r="P29" i="14" s="1"/>
  <c r="Q29" i="14" s="1"/>
  <c r="L26" i="14"/>
  <c r="M26" i="14" s="1"/>
  <c r="N26" i="14" s="1"/>
  <c r="O26" i="14" s="1"/>
  <c r="P26" i="14" s="1"/>
  <c r="Q26" i="14" s="1"/>
  <c r="L25" i="14"/>
  <c r="M25" i="14" s="1"/>
  <c r="N25" i="14" s="1"/>
  <c r="O25" i="14" s="1"/>
  <c r="P25" i="14" s="1"/>
  <c r="Q25" i="14" s="1"/>
  <c r="H21" i="14"/>
  <c r="H22" i="14" s="1"/>
  <c r="I21" i="14"/>
  <c r="I22" i="14" s="1"/>
  <c r="J21" i="14"/>
  <c r="J22" i="14" s="1"/>
  <c r="K21" i="14"/>
  <c r="G21" i="14"/>
  <c r="J23" i="10"/>
  <c r="K21" i="10" s="1"/>
  <c r="K32" i="7" s="1"/>
  <c r="L16" i="14"/>
  <c r="M16" i="14" s="1"/>
  <c r="N16" i="14" s="1"/>
  <c r="O16" i="14" s="1"/>
  <c r="P16" i="14" s="1"/>
  <c r="Q16" i="14" s="1"/>
  <c r="J10" i="10"/>
  <c r="K39" i="7"/>
  <c r="H12" i="14"/>
  <c r="H13" i="14" s="1"/>
  <c r="I12" i="14"/>
  <c r="I13" i="14" s="1"/>
  <c r="J12" i="14"/>
  <c r="J13" i="14" s="1"/>
  <c r="K12" i="14"/>
  <c r="G12" i="14"/>
  <c r="G13" i="14" s="1"/>
  <c r="H18" i="14"/>
  <c r="H19" i="14" s="1"/>
  <c r="I18" i="14"/>
  <c r="I19" i="14" s="1"/>
  <c r="J18" i="14"/>
  <c r="J19" i="14" s="1"/>
  <c r="K18" i="14"/>
  <c r="G18" i="14"/>
  <c r="G19" i="14" s="1"/>
  <c r="H8" i="14"/>
  <c r="H9" i="14" s="1"/>
  <c r="I8" i="14"/>
  <c r="I9" i="14" s="1"/>
  <c r="J8" i="14"/>
  <c r="J9" i="14" s="1"/>
  <c r="K8" i="14"/>
  <c r="G8" i="14"/>
  <c r="G9" i="14" s="1"/>
  <c r="K32" i="14"/>
  <c r="J32" i="14"/>
  <c r="J34" i="14" s="1"/>
  <c r="I32" i="14"/>
  <c r="I34" i="14" s="1"/>
  <c r="H32" i="14"/>
  <c r="H34" i="14" s="1"/>
  <c r="G32" i="14"/>
  <c r="G34" i="14" s="1"/>
  <c r="G22" i="14"/>
  <c r="L3" i="14"/>
  <c r="M3" i="14" s="1"/>
  <c r="N3" i="14" s="1"/>
  <c r="O3" i="14" s="1"/>
  <c r="P3" i="14" s="1"/>
  <c r="Q3" i="14" s="1"/>
  <c r="G13" i="1"/>
  <c r="H13" i="1"/>
  <c r="I13" i="1"/>
  <c r="J13" i="1"/>
  <c r="K13" i="1"/>
  <c r="G23" i="1"/>
  <c r="H23" i="1"/>
  <c r="I23" i="1"/>
  <c r="J23" i="1"/>
  <c r="K23" i="1"/>
  <c r="G34" i="1"/>
  <c r="H34" i="1"/>
  <c r="I34" i="1"/>
  <c r="J34" i="1"/>
  <c r="K34" i="1"/>
  <c r="G40" i="1"/>
  <c r="H40" i="1"/>
  <c r="I40" i="1"/>
  <c r="J40" i="1"/>
  <c r="K40" i="1"/>
  <c r="G50" i="1"/>
  <c r="G52" i="1" s="1"/>
  <c r="H50" i="1"/>
  <c r="H52" i="1" s="1"/>
  <c r="I50" i="1"/>
  <c r="I52" i="1" s="1"/>
  <c r="J50" i="1"/>
  <c r="J52" i="1" s="1"/>
  <c r="K50" i="1"/>
  <c r="K52" i="1" s="1"/>
  <c r="J16" i="9"/>
  <c r="J12" i="9"/>
  <c r="J8" i="9"/>
  <c r="L31" i="7"/>
  <c r="M31" i="7"/>
  <c r="N31" i="7"/>
  <c r="O31" i="7"/>
  <c r="P31" i="7"/>
  <c r="K31" i="7"/>
  <c r="L29" i="7"/>
  <c r="M29" i="7"/>
  <c r="N29" i="7"/>
  <c r="O29" i="7"/>
  <c r="P29" i="7"/>
  <c r="K29" i="7"/>
  <c r="L24" i="14" s="1"/>
  <c r="M24" i="14" s="1"/>
  <c r="N24" i="14" s="1"/>
  <c r="O24" i="14" s="1"/>
  <c r="P24" i="14" s="1"/>
  <c r="Q24" i="14" s="1"/>
  <c r="L21" i="7"/>
  <c r="L21" i="18" s="1"/>
  <c r="M21" i="7"/>
  <c r="M21" i="18" s="1"/>
  <c r="N21" i="7"/>
  <c r="N21" i="18" s="1"/>
  <c r="O21" i="7"/>
  <c r="O21" i="18" s="1"/>
  <c r="P21" i="7"/>
  <c r="P21" i="18" s="1"/>
  <c r="K21" i="7"/>
  <c r="K21" i="18" s="1"/>
  <c r="L28" i="7"/>
  <c r="M28" i="7"/>
  <c r="N28" i="7"/>
  <c r="O28" i="7"/>
  <c r="P28" i="7"/>
  <c r="K28" i="7"/>
  <c r="L27" i="7"/>
  <c r="M27" i="7"/>
  <c r="N27" i="7"/>
  <c r="O27" i="7"/>
  <c r="P27" i="7"/>
  <c r="K27" i="7"/>
  <c r="K3" i="7"/>
  <c r="L3" i="7"/>
  <c r="M3" i="7"/>
  <c r="N3" i="7"/>
  <c r="O3" i="7"/>
  <c r="P3" i="7" s="1"/>
  <c r="O12" i="8"/>
  <c r="P10" i="8" s="1"/>
  <c r="O58" i="8"/>
  <c r="O57" i="8"/>
  <c r="O56" i="8"/>
  <c r="O44" i="8"/>
  <c r="O43" i="8"/>
  <c r="O42" i="8"/>
  <c r="O51" i="8"/>
  <c r="O50" i="8"/>
  <c r="O49" i="8"/>
  <c r="O52" i="8" s="1"/>
  <c r="K24" i="5"/>
  <c r="L24" i="5"/>
  <c r="M24" i="5"/>
  <c r="N24" i="5"/>
  <c r="J24" i="5"/>
  <c r="K19" i="5"/>
  <c r="L19" i="5"/>
  <c r="M19" i="5"/>
  <c r="N19" i="5"/>
  <c r="J19" i="5"/>
  <c r="L22" i="10"/>
  <c r="M22" i="10"/>
  <c r="N22" i="10"/>
  <c r="O22" i="10"/>
  <c r="P22" i="10"/>
  <c r="K22" i="10"/>
  <c r="M51" i="8"/>
  <c r="O23" i="8"/>
  <c r="M23" i="8" s="1"/>
  <c r="O21" i="8"/>
  <c r="O14" i="8"/>
  <c r="K22" i="14" l="1"/>
  <c r="L21" i="14"/>
  <c r="I41" i="1"/>
  <c r="K24" i="1"/>
  <c r="H41" i="1"/>
  <c r="J24" i="1"/>
  <c r="K19" i="14"/>
  <c r="J15" i="12" s="1"/>
  <c r="J24" i="9"/>
  <c r="G41" i="1"/>
  <c r="I24" i="1"/>
  <c r="K34" i="14"/>
  <c r="J19" i="12"/>
  <c r="D19" i="17"/>
  <c r="O45" i="8"/>
  <c r="K13" i="14"/>
  <c r="K14" i="14" s="1"/>
  <c r="J18" i="12" s="1"/>
  <c r="L12" i="14"/>
  <c r="M50" i="8"/>
  <c r="G24" i="1"/>
  <c r="K9" i="14"/>
  <c r="J20" i="9"/>
  <c r="H23" i="14"/>
  <c r="H35" i="14" s="1"/>
  <c r="H14" i="14"/>
  <c r="I14" i="14"/>
  <c r="G23" i="14"/>
  <c r="G35" i="14" s="1"/>
  <c r="J14" i="14"/>
  <c r="I23" i="14"/>
  <c r="I35" i="14" s="1"/>
  <c r="G14" i="14"/>
  <c r="J23" i="14"/>
  <c r="J35" i="14" s="1"/>
  <c r="H24" i="1"/>
  <c r="K41" i="1"/>
  <c r="J41" i="1"/>
  <c r="U51" i="8"/>
  <c r="P50" i="8"/>
  <c r="P57" i="8" s="1"/>
  <c r="P49" i="8"/>
  <c r="M49" i="8"/>
  <c r="P51" i="8"/>
  <c r="P58" i="8" s="1"/>
  <c r="T51" i="8"/>
  <c r="R51" i="8"/>
  <c r="Q51" i="8"/>
  <c r="S51" i="8"/>
  <c r="U50" i="8"/>
  <c r="T50" i="8"/>
  <c r="S50" i="8"/>
  <c r="R50" i="8"/>
  <c r="Q50" i="8"/>
  <c r="P23" i="8"/>
  <c r="J14" i="12" l="1"/>
  <c r="K30" i="7"/>
  <c r="M21" i="14"/>
  <c r="K23" i="14"/>
  <c r="K35" i="14" s="1"/>
  <c r="Q57" i="8"/>
  <c r="R57" i="8" s="1"/>
  <c r="S57" i="8" s="1"/>
  <c r="T57" i="8" s="1"/>
  <c r="U57" i="8" s="1"/>
  <c r="P56" i="8"/>
  <c r="P52" i="8"/>
  <c r="O63" i="8"/>
  <c r="D40" i="17"/>
  <c r="D41" i="17" s="1"/>
  <c r="D21" i="17" s="1"/>
  <c r="F19" i="17"/>
  <c r="E20" i="17" s="1"/>
  <c r="D20" i="17"/>
  <c r="K22" i="7"/>
  <c r="K22" i="18" s="1"/>
  <c r="L22" i="7"/>
  <c r="M12" i="14"/>
  <c r="Q45" i="8"/>
  <c r="P63" i="8"/>
  <c r="Q58" i="8"/>
  <c r="R58" i="8" s="1"/>
  <c r="S58" i="8" s="1"/>
  <c r="T58" i="8" s="1"/>
  <c r="U58" i="8" s="1"/>
  <c r="N21" i="14" l="1"/>
  <c r="L30" i="7"/>
  <c r="F20" i="17"/>
  <c r="F21" i="17"/>
  <c r="K27" i="18" s="1"/>
  <c r="N12" i="14"/>
  <c r="L22" i="18"/>
  <c r="R45" i="8"/>
  <c r="Q63" i="8"/>
  <c r="Q49" i="8"/>
  <c r="O21" i="14" l="1"/>
  <c r="M30" i="7"/>
  <c r="L27" i="18"/>
  <c r="K29" i="18"/>
  <c r="O12" i="14"/>
  <c r="M22" i="7"/>
  <c r="M22" i="18" s="1"/>
  <c r="Q56" i="8"/>
  <c r="Q52" i="8"/>
  <c r="S45" i="8"/>
  <c r="R63" i="8"/>
  <c r="R49" i="8"/>
  <c r="P21" i="14" l="1"/>
  <c r="N30" i="7"/>
  <c r="P12" i="14"/>
  <c r="R56" i="8"/>
  <c r="R52" i="8"/>
  <c r="N22" i="7"/>
  <c r="M27" i="18"/>
  <c r="L29" i="18"/>
  <c r="S56" i="8"/>
  <c r="T45" i="8"/>
  <c r="S63" i="8"/>
  <c r="S49" i="8"/>
  <c r="S52" i="8" s="1"/>
  <c r="Q21" i="14" l="1"/>
  <c r="P30" i="7" s="1"/>
  <c r="O30" i="7"/>
  <c r="M29" i="18"/>
  <c r="N27" i="18"/>
  <c r="Q12" i="14"/>
  <c r="P22" i="7" s="1"/>
  <c r="N22" i="18"/>
  <c r="O22" i="7"/>
  <c r="U45" i="8"/>
  <c r="T63" i="8"/>
  <c r="T49" i="8"/>
  <c r="T52" i="8" s="1"/>
  <c r="P22" i="18" l="1"/>
  <c r="O22" i="18"/>
  <c r="N29" i="18"/>
  <c r="O27" i="18"/>
  <c r="T56" i="8"/>
  <c r="U63" i="8"/>
  <c r="U49" i="8"/>
  <c r="U56" i="8" l="1"/>
  <c r="U52" i="8"/>
  <c r="O29" i="18"/>
  <c r="P27" i="18"/>
  <c r="O59" i="8"/>
  <c r="P59" i="8"/>
  <c r="P64" i="8" s="1"/>
  <c r="P65" i="8" s="1"/>
  <c r="L11" i="14" s="1"/>
  <c r="P40" i="8"/>
  <c r="Q40" i="8" s="1"/>
  <c r="R40" i="8" s="1"/>
  <c r="S40" i="8" s="1"/>
  <c r="T40" i="8" s="1"/>
  <c r="U40" i="8" s="1"/>
  <c r="O22" i="8"/>
  <c r="O31" i="8"/>
  <c r="P31" i="8" s="1"/>
  <c r="O30" i="8"/>
  <c r="O29" i="8"/>
  <c r="O9" i="8"/>
  <c r="O8" i="8"/>
  <c r="M21" i="8" s="1"/>
  <c r="G3" i="13"/>
  <c r="J12" i="5" s="1"/>
  <c r="I3" i="13"/>
  <c r="L12" i="5" s="1"/>
  <c r="L18" i="5" s="1"/>
  <c r="J3" i="13"/>
  <c r="M12" i="5" s="1"/>
  <c r="M18" i="5" s="1"/>
  <c r="H3" i="13"/>
  <c r="K3" i="13"/>
  <c r="N12" i="5" s="1"/>
  <c r="G15" i="13"/>
  <c r="J21" i="4" s="1"/>
  <c r="H15" i="13"/>
  <c r="K21" i="4" s="1"/>
  <c r="I15" i="13"/>
  <c r="L21" i="4" s="1"/>
  <c r="J15" i="13"/>
  <c r="M21" i="4" s="1"/>
  <c r="K15" i="13"/>
  <c r="N21" i="4" s="1"/>
  <c r="G18" i="13"/>
  <c r="H18" i="13"/>
  <c r="J18" i="13"/>
  <c r="I18" i="13"/>
  <c r="K18" i="13"/>
  <c r="M22" i="8" l="1"/>
  <c r="O24" i="8"/>
  <c r="O64" i="8"/>
  <c r="O65" i="8" s="1"/>
  <c r="P29" i="18"/>
  <c r="H38" i="18"/>
  <c r="O12" i="5"/>
  <c r="K21" i="9" s="1"/>
  <c r="N18" i="5"/>
  <c r="H8" i="13"/>
  <c r="K12" i="5"/>
  <c r="K18" i="5" s="1"/>
  <c r="J9" i="9"/>
  <c r="J10" i="9" s="1"/>
  <c r="J22" i="12" s="1"/>
  <c r="J21" i="9"/>
  <c r="Q59" i="8"/>
  <c r="Q64" i="8" s="1"/>
  <c r="Q65" i="8" s="1"/>
  <c r="M11" i="14" s="1"/>
  <c r="O32" i="8"/>
  <c r="O37" i="8" s="1"/>
  <c r="O11" i="8"/>
  <c r="K8" i="13"/>
  <c r="J8" i="13"/>
  <c r="I8" i="13"/>
  <c r="G8" i="13"/>
  <c r="K26" i="4"/>
  <c r="L26" i="4"/>
  <c r="M26" i="4"/>
  <c r="N26" i="4"/>
  <c r="J26" i="4"/>
  <c r="K13" i="4"/>
  <c r="L13" i="4"/>
  <c r="N13" i="4"/>
  <c r="K17" i="4"/>
  <c r="L17" i="4"/>
  <c r="M17" i="4"/>
  <c r="N17" i="4"/>
  <c r="J17" i="4"/>
  <c r="N7" i="4"/>
  <c r="J2" i="4"/>
  <c r="K2" i="4"/>
  <c r="L2" i="4"/>
  <c r="M2" i="4"/>
  <c r="J13" i="4"/>
  <c r="M13" i="5"/>
  <c r="J7" i="4"/>
  <c r="H2" i="13"/>
  <c r="I2" i="13" s="1"/>
  <c r="J2" i="13" s="1"/>
  <c r="K2" i="12"/>
  <c r="L2" i="12" s="1"/>
  <c r="M2" i="12" s="1"/>
  <c r="N2" i="12" s="1"/>
  <c r="O2" i="12" s="1"/>
  <c r="P2" i="12" s="1"/>
  <c r="K2" i="11"/>
  <c r="L2" i="11" s="1"/>
  <c r="M2" i="11" s="1"/>
  <c r="N2" i="11" s="1"/>
  <c r="O2" i="11" s="1"/>
  <c r="P2" i="11" s="1"/>
  <c r="K2" i="10"/>
  <c r="L2" i="10" s="1"/>
  <c r="M2" i="10" s="1"/>
  <c r="N2" i="10" s="1"/>
  <c r="O2" i="10" s="1"/>
  <c r="P2" i="10" s="1"/>
  <c r="K7" i="10"/>
  <c r="K10" i="10" s="1"/>
  <c r="L15" i="14" s="1"/>
  <c r="K18" i="10"/>
  <c r="K23" i="10" s="1"/>
  <c r="K29" i="10"/>
  <c r="L29" i="10"/>
  <c r="M29" i="10"/>
  <c r="N29" i="10"/>
  <c r="O29" i="10"/>
  <c r="P29" i="10"/>
  <c r="K30" i="10"/>
  <c r="L30" i="10"/>
  <c r="M30" i="10"/>
  <c r="N30" i="10"/>
  <c r="O30" i="10"/>
  <c r="P30" i="10"/>
  <c r="K31" i="10"/>
  <c r="K32" i="10"/>
  <c r="L32" i="10"/>
  <c r="M32" i="10"/>
  <c r="N32" i="10"/>
  <c r="O32" i="10"/>
  <c r="P32" i="10"/>
  <c r="K2" i="9"/>
  <c r="L2" i="9" s="1"/>
  <c r="M2" i="9" s="1"/>
  <c r="N2" i="9" s="1"/>
  <c r="O2" i="9" s="1"/>
  <c r="P2" i="9" s="1"/>
  <c r="K6" i="9"/>
  <c r="L6" i="9" s="1"/>
  <c r="M6" i="9" s="1"/>
  <c r="K10" i="9"/>
  <c r="P2" i="8"/>
  <c r="Q2" i="8" s="1"/>
  <c r="R2" i="8" s="1"/>
  <c r="S2" i="8" s="1"/>
  <c r="T2" i="8" s="1"/>
  <c r="U2" i="8" s="1"/>
  <c r="P7" i="8"/>
  <c r="P8" i="8"/>
  <c r="P21" i="8" s="1"/>
  <c r="P29" i="8" s="1"/>
  <c r="L2" i="7"/>
  <c r="M2" i="7" s="1"/>
  <c r="N2" i="7" s="1"/>
  <c r="O2" i="7" s="1"/>
  <c r="P2" i="7" s="1"/>
  <c r="O2" i="5"/>
  <c r="P2" i="5" s="1"/>
  <c r="Q2" i="5" s="1"/>
  <c r="R2" i="5" s="1"/>
  <c r="S2" i="5" s="1"/>
  <c r="T2" i="5" s="1"/>
  <c r="O3" i="5"/>
  <c r="P3" i="5"/>
  <c r="Q3" i="5"/>
  <c r="R3" i="5"/>
  <c r="S3" i="5"/>
  <c r="T3" i="5" s="1"/>
  <c r="N2" i="4"/>
  <c r="O2" i="4"/>
  <c r="P2" i="4"/>
  <c r="Q2" i="4"/>
  <c r="R2" i="4"/>
  <c r="S2" i="4"/>
  <c r="P3" i="4"/>
  <c r="Q3" i="4"/>
  <c r="R3" i="4"/>
  <c r="S3" i="4"/>
  <c r="T3" i="4"/>
  <c r="K9" i="9" l="1"/>
  <c r="K13" i="5"/>
  <c r="P12" i="5"/>
  <c r="L21" i="9" s="1"/>
  <c r="P13" i="8"/>
  <c r="K19" i="7" s="1"/>
  <c r="K19" i="18" s="1"/>
  <c r="Q7" i="8"/>
  <c r="P11" i="8"/>
  <c r="I12" i="13"/>
  <c r="L16" i="5"/>
  <c r="J12" i="13"/>
  <c r="M16" i="5"/>
  <c r="H12" i="13"/>
  <c r="K16" i="5"/>
  <c r="L21" i="10"/>
  <c r="L32" i="7" s="1"/>
  <c r="L20" i="14"/>
  <c r="L22" i="14" s="1"/>
  <c r="K12" i="13"/>
  <c r="N16" i="5"/>
  <c r="N21" i="5" s="1"/>
  <c r="N25" i="5" s="1"/>
  <c r="L10" i="9"/>
  <c r="K22" i="12"/>
  <c r="J22" i="9"/>
  <c r="K22" i="9" s="1"/>
  <c r="G12" i="13"/>
  <c r="G14" i="13" s="1"/>
  <c r="G29" i="13" s="1"/>
  <c r="J16" i="5"/>
  <c r="L7" i="10"/>
  <c r="L31" i="10"/>
  <c r="P14" i="8"/>
  <c r="R59" i="8"/>
  <c r="R64" i="8" s="1"/>
  <c r="R65" i="8" s="1"/>
  <c r="N11" i="14" s="1"/>
  <c r="L13" i="5"/>
  <c r="K7" i="4"/>
  <c r="G23" i="13"/>
  <c r="G26" i="13" s="1"/>
  <c r="I23" i="13"/>
  <c r="I26" i="13" s="1"/>
  <c r="I14" i="13"/>
  <c r="I29" i="13" s="1"/>
  <c r="J23" i="13"/>
  <c r="J26" i="13" s="1"/>
  <c r="J14" i="13"/>
  <c r="J29" i="13" s="1"/>
  <c r="K14" i="13"/>
  <c r="K29" i="13" s="1"/>
  <c r="K23" i="13"/>
  <c r="K26" i="13" s="1"/>
  <c r="J18" i="5"/>
  <c r="M7" i="4"/>
  <c r="M13" i="4"/>
  <c r="N13" i="5"/>
  <c r="L7" i="4"/>
  <c r="O7" i="4"/>
  <c r="L18" i="10"/>
  <c r="L23" i="10" s="1"/>
  <c r="M20" i="14" s="1"/>
  <c r="M22" i="14" s="1"/>
  <c r="K19" i="10"/>
  <c r="L10" i="10"/>
  <c r="K13" i="10"/>
  <c r="N6" i="9"/>
  <c r="O6" i="9" s="1"/>
  <c r="P6" i="9" s="1"/>
  <c r="M7" i="9"/>
  <c r="J33" i="9"/>
  <c r="K31" i="9" s="1"/>
  <c r="Q8" i="8"/>
  <c r="Q21" i="8" s="1"/>
  <c r="T2" i="4"/>
  <c r="K53" i="1"/>
  <c r="I53" i="1"/>
  <c r="J53" i="1"/>
  <c r="G53" i="1"/>
  <c r="H53" i="1"/>
  <c r="Q14" i="8" l="1"/>
  <c r="L20" i="7" s="1"/>
  <c r="Q12" i="5"/>
  <c r="Q13" i="8"/>
  <c r="L19" i="7" s="1"/>
  <c r="L19" i="18" s="1"/>
  <c r="L9" i="9"/>
  <c r="J6" i="12"/>
  <c r="R7" i="8"/>
  <c r="K20" i="9"/>
  <c r="L22" i="9"/>
  <c r="L20" i="9" s="1"/>
  <c r="H14" i="13"/>
  <c r="H29" i="13" s="1"/>
  <c r="H23" i="13"/>
  <c r="H26" i="13" s="1"/>
  <c r="K7" i="7"/>
  <c r="K7" i="18"/>
  <c r="K6" i="12"/>
  <c r="P12" i="8"/>
  <c r="K20" i="7"/>
  <c r="M10" i="9"/>
  <c r="L22" i="12"/>
  <c r="M7" i="10"/>
  <c r="M15" i="14"/>
  <c r="J54" i="1"/>
  <c r="K33" i="10"/>
  <c r="G54" i="1"/>
  <c r="L21" i="5"/>
  <c r="L25" i="5" s="1"/>
  <c r="L27" i="5" s="1"/>
  <c r="J21" i="5"/>
  <c r="J25" i="5" s="1"/>
  <c r="J27" i="5" s="1"/>
  <c r="K14" i="5"/>
  <c r="K21" i="5"/>
  <c r="K25" i="5" s="1"/>
  <c r="K27" i="5" s="1"/>
  <c r="M21" i="5"/>
  <c r="M25" i="5" s="1"/>
  <c r="M27" i="5" s="1"/>
  <c r="M21" i="10"/>
  <c r="M32" i="7" s="1"/>
  <c r="S59" i="8"/>
  <c r="S64" i="8" s="1"/>
  <c r="S65" i="8" s="1"/>
  <c r="O11" i="14" s="1"/>
  <c r="J14" i="5"/>
  <c r="J10" i="4"/>
  <c r="J14" i="4" s="1"/>
  <c r="J18" i="4" s="1"/>
  <c r="J23" i="4" s="1"/>
  <c r="L14" i="5"/>
  <c r="M10" i="4"/>
  <c r="M14" i="4" s="1"/>
  <c r="M18" i="4" s="1"/>
  <c r="M23" i="4" s="1"/>
  <c r="N27" i="5"/>
  <c r="N10" i="4"/>
  <c r="N14" i="5"/>
  <c r="M14" i="5"/>
  <c r="L10" i="4"/>
  <c r="L11" i="4" s="1"/>
  <c r="K10" i="4"/>
  <c r="M10" i="10"/>
  <c r="L13" i="10"/>
  <c r="L19" i="10"/>
  <c r="M18" i="10"/>
  <c r="M23" i="10" s="1"/>
  <c r="N20" i="14" s="1"/>
  <c r="N22" i="14" s="1"/>
  <c r="R8" i="8"/>
  <c r="R21" i="8" s="1"/>
  <c r="Q7" i="4"/>
  <c r="P7" i="4"/>
  <c r="I54" i="1"/>
  <c r="H54" i="1"/>
  <c r="K54" i="1"/>
  <c r="Q12" i="8" l="1"/>
  <c r="M22" i="9"/>
  <c r="R12" i="5"/>
  <c r="R7" i="4" s="1"/>
  <c r="R13" i="8"/>
  <c r="M21" i="9"/>
  <c r="M9" i="9"/>
  <c r="R14" i="8"/>
  <c r="M20" i="7" s="1"/>
  <c r="M20" i="18" s="1"/>
  <c r="Q10" i="8"/>
  <c r="Q11" i="8" s="1"/>
  <c r="Q16" i="8" s="1"/>
  <c r="P16" i="8"/>
  <c r="S7" i="8"/>
  <c r="L7" i="7"/>
  <c r="L6" i="12"/>
  <c r="L7" i="18"/>
  <c r="M7" i="7"/>
  <c r="M6" i="12"/>
  <c r="M7" i="18"/>
  <c r="N14" i="4"/>
  <c r="J7" i="12"/>
  <c r="N10" i="9"/>
  <c r="M22" i="12"/>
  <c r="K20" i="18"/>
  <c r="K23" i="18" s="1"/>
  <c r="K23" i="7"/>
  <c r="L20" i="18"/>
  <c r="L23" i="18" s="1"/>
  <c r="L23" i="7"/>
  <c r="O20" i="4"/>
  <c r="M28" i="4"/>
  <c r="N7" i="10"/>
  <c r="N15" i="14"/>
  <c r="N22" i="9"/>
  <c r="M31" i="10"/>
  <c r="O18" i="5"/>
  <c r="J8" i="4"/>
  <c r="O14" i="5"/>
  <c r="P14" i="5" s="1"/>
  <c r="P16" i="5" s="1"/>
  <c r="P10" i="4" s="1"/>
  <c r="L7" i="12" s="1"/>
  <c r="J23" i="5"/>
  <c r="N21" i="10"/>
  <c r="N32" i="7" s="1"/>
  <c r="U59" i="8"/>
  <c r="U64" i="8" s="1"/>
  <c r="U65" i="8" s="1"/>
  <c r="Q11" i="14" s="1"/>
  <c r="T59" i="8"/>
  <c r="T64" i="8" s="1"/>
  <c r="T65" i="8" s="1"/>
  <c r="P11" i="14" s="1"/>
  <c r="P9" i="8"/>
  <c r="P22" i="8" s="1"/>
  <c r="P30" i="8" s="1"/>
  <c r="O16" i="8"/>
  <c r="O36" i="8" s="1"/>
  <c r="O38" i="8" s="1"/>
  <c r="M15" i="4"/>
  <c r="J15" i="4"/>
  <c r="J11" i="4"/>
  <c r="M8" i="4"/>
  <c r="J19" i="4"/>
  <c r="M11" i="4"/>
  <c r="K14" i="4"/>
  <c r="K8" i="4"/>
  <c r="K11" i="4"/>
  <c r="L14" i="4"/>
  <c r="L8" i="4"/>
  <c r="J24" i="4"/>
  <c r="J28" i="4"/>
  <c r="J29" i="4" s="1"/>
  <c r="M19" i="4"/>
  <c r="M19" i="10"/>
  <c r="L33" i="10"/>
  <c r="P20" i="4" s="1"/>
  <c r="N10" i="10"/>
  <c r="M13" i="10"/>
  <c r="S8" i="8"/>
  <c r="S21" i="8" s="1"/>
  <c r="N11" i="4"/>
  <c r="N8" i="4"/>
  <c r="J25" i="9" s="1"/>
  <c r="M19" i="7" l="1"/>
  <c r="R12" i="8"/>
  <c r="S12" i="5"/>
  <c r="S13" i="8"/>
  <c r="S14" i="8"/>
  <c r="N20" i="7" s="1"/>
  <c r="N20" i="18" s="1"/>
  <c r="N9" i="9"/>
  <c r="N21" i="9"/>
  <c r="N20" i="9" s="1"/>
  <c r="M20" i="9"/>
  <c r="R10" i="8"/>
  <c r="R11" i="8" s="1"/>
  <c r="R16" i="8" s="1"/>
  <c r="Q23" i="8"/>
  <c r="Q31" i="8" s="1"/>
  <c r="T7" i="8"/>
  <c r="N7" i="7"/>
  <c r="N6" i="12"/>
  <c r="N7" i="18"/>
  <c r="N18" i="4"/>
  <c r="J17" i="12"/>
  <c r="J8" i="12"/>
  <c r="J16" i="12"/>
  <c r="J20" i="12"/>
  <c r="O10" i="9"/>
  <c r="N22" i="12"/>
  <c r="L33" i="7"/>
  <c r="K33" i="7"/>
  <c r="O7" i="10"/>
  <c r="O15" i="14"/>
  <c r="O22" i="9"/>
  <c r="N31" i="10"/>
  <c r="O19" i="5"/>
  <c r="P18" i="5"/>
  <c r="P19" i="5" s="1"/>
  <c r="P8" i="4"/>
  <c r="L25" i="9" s="1"/>
  <c r="P11" i="4"/>
  <c r="Q14" i="5"/>
  <c r="Q16" i="5" s="1"/>
  <c r="Q10" i="4" s="1"/>
  <c r="M7" i="12" s="1"/>
  <c r="J17" i="9"/>
  <c r="J18" i="9" s="1"/>
  <c r="J23" i="12" s="1"/>
  <c r="J13" i="9"/>
  <c r="J14" i="9" s="1"/>
  <c r="J26" i="9"/>
  <c r="K26" i="9" s="1"/>
  <c r="L26" i="9" s="1"/>
  <c r="M26" i="9" s="1"/>
  <c r="N26" i="9" s="1"/>
  <c r="O26" i="9" s="1"/>
  <c r="P26" i="9" s="1"/>
  <c r="O16" i="5"/>
  <c r="N18" i="10"/>
  <c r="N23" i="10" s="1"/>
  <c r="O20" i="14" s="1"/>
  <c r="O22" i="14" s="1"/>
  <c r="M33" i="10"/>
  <c r="Q20" i="4" s="1"/>
  <c r="Q9" i="8"/>
  <c r="Q22" i="8" s="1"/>
  <c r="P36" i="8"/>
  <c r="K18" i="4"/>
  <c r="K23" i="4" s="1"/>
  <c r="K15" i="4"/>
  <c r="L18" i="4"/>
  <c r="L23" i="4" s="1"/>
  <c r="L15" i="4"/>
  <c r="M24" i="4"/>
  <c r="M29" i="4"/>
  <c r="N13" i="10"/>
  <c r="O10" i="10"/>
  <c r="T8" i="8"/>
  <c r="T21" i="8" s="1"/>
  <c r="S7" i="4"/>
  <c r="R23" i="8" l="1"/>
  <c r="R31" i="8" s="1"/>
  <c r="S10" i="8"/>
  <c r="S23" i="8" s="1"/>
  <c r="N19" i="7"/>
  <c r="S12" i="8"/>
  <c r="T12" i="5"/>
  <c r="T13" i="8"/>
  <c r="T14" i="8"/>
  <c r="O20" i="7" s="1"/>
  <c r="O20" i="18" s="1"/>
  <c r="O21" i="9"/>
  <c r="O20" i="9" s="1"/>
  <c r="O9" i="9"/>
  <c r="M19" i="18"/>
  <c r="M23" i="18" s="1"/>
  <c r="M23" i="7"/>
  <c r="U7" i="8"/>
  <c r="P10" i="9"/>
  <c r="P22" i="12" s="1"/>
  <c r="O22" i="12"/>
  <c r="O7" i="7"/>
  <c r="O6" i="12"/>
  <c r="O7" i="18"/>
  <c r="K14" i="9"/>
  <c r="J24" i="12"/>
  <c r="J25" i="12" s="1"/>
  <c r="J9" i="12"/>
  <c r="N23" i="4"/>
  <c r="M33" i="7"/>
  <c r="L17" i="9"/>
  <c r="P7" i="10"/>
  <c r="P15" i="14"/>
  <c r="P22" i="9"/>
  <c r="L24" i="9"/>
  <c r="M18" i="14" s="1"/>
  <c r="O13" i="4"/>
  <c r="O21" i="5"/>
  <c r="O23" i="5" s="1"/>
  <c r="P13" i="4"/>
  <c r="L8" i="18" s="1"/>
  <c r="P21" i="5"/>
  <c r="Q18" i="5"/>
  <c r="Q19" i="5" s="1"/>
  <c r="L13" i="9"/>
  <c r="O10" i="4"/>
  <c r="K7" i="12" s="1"/>
  <c r="Q11" i="4"/>
  <c r="Q8" i="4"/>
  <c r="K18" i="9"/>
  <c r="J28" i="9"/>
  <c r="R14" i="5"/>
  <c r="R16" i="5" s="1"/>
  <c r="R10" i="4" s="1"/>
  <c r="N7" i="12" s="1"/>
  <c r="N19" i="10"/>
  <c r="N33" i="10" s="1"/>
  <c r="R20" i="4" s="1"/>
  <c r="O21" i="10"/>
  <c r="O32" i="7" s="1"/>
  <c r="O18" i="10"/>
  <c r="P24" i="8"/>
  <c r="R9" i="8"/>
  <c r="R22" i="8" s="1"/>
  <c r="K19" i="4"/>
  <c r="L19" i="4"/>
  <c r="O13" i="10"/>
  <c r="P10" i="10"/>
  <c r="U8" i="8"/>
  <c r="U21" i="8" s="1"/>
  <c r="T10" i="8" l="1"/>
  <c r="T23" i="8" s="1"/>
  <c r="S11" i="8"/>
  <c r="S16" i="8" s="1"/>
  <c r="O19" i="7"/>
  <c r="T12" i="8"/>
  <c r="U10" i="8" s="1"/>
  <c r="N19" i="18"/>
  <c r="N23" i="18" s="1"/>
  <c r="N23" i="7"/>
  <c r="U13" i="8"/>
  <c r="P21" i="9"/>
  <c r="P20" i="9" s="1"/>
  <c r="U14" i="8"/>
  <c r="P20" i="7" s="1"/>
  <c r="P20" i="18" s="1"/>
  <c r="P9" i="9"/>
  <c r="T7" i="4"/>
  <c r="L8" i="7"/>
  <c r="S31" i="8"/>
  <c r="L14" i="9"/>
  <c r="L12" i="9" s="1"/>
  <c r="M17" i="14" s="1"/>
  <c r="M19" i="14" s="1"/>
  <c r="M23" i="14" s="1"/>
  <c r="K24" i="12"/>
  <c r="L18" i="9"/>
  <c r="L16" i="9" s="1"/>
  <c r="M7" i="14" s="1"/>
  <c r="K23" i="12"/>
  <c r="J9" i="11"/>
  <c r="N28" i="4"/>
  <c r="O17" i="4"/>
  <c r="O24" i="5"/>
  <c r="O25" i="5" s="1"/>
  <c r="O27" i="5" s="1"/>
  <c r="N33" i="7"/>
  <c r="O23" i="10"/>
  <c r="P20" i="14" s="1"/>
  <c r="P22" i="14" s="1"/>
  <c r="Q36" i="8"/>
  <c r="P13" i="10"/>
  <c r="Q15" i="14"/>
  <c r="O31" i="10"/>
  <c r="Q21" i="5"/>
  <c r="Q13" i="4"/>
  <c r="M8" i="7" s="1"/>
  <c r="P23" i="5"/>
  <c r="S14" i="5"/>
  <c r="S16" i="5" s="1"/>
  <c r="S10" i="4" s="1"/>
  <c r="R18" i="5"/>
  <c r="R19" i="5" s="1"/>
  <c r="O11" i="4"/>
  <c r="O8" i="4"/>
  <c r="R8" i="4"/>
  <c r="R11" i="4"/>
  <c r="M13" i="9"/>
  <c r="M17" i="9"/>
  <c r="M25" i="9"/>
  <c r="M24" i="9" s="1"/>
  <c r="N18" i="14" s="1"/>
  <c r="O19" i="10"/>
  <c r="O33" i="10" s="1"/>
  <c r="S20" i="4" s="1"/>
  <c r="Q30" i="8"/>
  <c r="Q24" i="8"/>
  <c r="S9" i="8"/>
  <c r="S22" i="8" s="1"/>
  <c r="L28" i="4"/>
  <c r="L29" i="4" s="1"/>
  <c r="L24" i="4"/>
  <c r="K28" i="4"/>
  <c r="K29" i="4" s="1"/>
  <c r="K24" i="4"/>
  <c r="T11" i="8" l="1"/>
  <c r="T31" i="8"/>
  <c r="K25" i="12"/>
  <c r="U23" i="8"/>
  <c r="U11" i="8"/>
  <c r="O19" i="18"/>
  <c r="O23" i="18" s="1"/>
  <c r="O23" i="7"/>
  <c r="T16" i="8"/>
  <c r="P7" i="7"/>
  <c r="P6" i="12"/>
  <c r="P7" i="18"/>
  <c r="P19" i="7"/>
  <c r="U12" i="8"/>
  <c r="U31" i="8"/>
  <c r="M8" i="18"/>
  <c r="J12" i="12"/>
  <c r="J10" i="12"/>
  <c r="J11" i="12"/>
  <c r="K8" i="7"/>
  <c r="K8" i="18"/>
  <c r="P21" i="10"/>
  <c r="P32" i="7" s="1"/>
  <c r="M18" i="9"/>
  <c r="M16" i="9" s="1"/>
  <c r="N7" i="14" s="1"/>
  <c r="M14" i="7" s="1"/>
  <c r="M14" i="18" s="1"/>
  <c r="L23" i="12"/>
  <c r="S8" i="4"/>
  <c r="O17" i="9" s="1"/>
  <c r="O7" i="12"/>
  <c r="M14" i="9"/>
  <c r="L24" i="12"/>
  <c r="O33" i="7"/>
  <c r="S11" i="4"/>
  <c r="R36" i="8"/>
  <c r="P17" i="4"/>
  <c r="P14" i="4" s="1"/>
  <c r="P24" i="5"/>
  <c r="P25" i="5" s="1"/>
  <c r="P27" i="5" s="1"/>
  <c r="P18" i="10"/>
  <c r="R21" i="5"/>
  <c r="R13" i="4"/>
  <c r="N8" i="7" s="1"/>
  <c r="S18" i="5"/>
  <c r="S19" i="5" s="1"/>
  <c r="Q23" i="5"/>
  <c r="T14" i="5"/>
  <c r="T16" i="5" s="1"/>
  <c r="T10" i="4" s="1"/>
  <c r="P7" i="12" s="1"/>
  <c r="N25" i="9"/>
  <c r="N24" i="9" s="1"/>
  <c r="O18" i="14" s="1"/>
  <c r="N17" i="9"/>
  <c r="N13" i="9"/>
  <c r="K25" i="9"/>
  <c r="K24" i="9" s="1"/>
  <c r="L18" i="14" s="1"/>
  <c r="K13" i="9"/>
  <c r="K12" i="9" s="1"/>
  <c r="L17" i="14" s="1"/>
  <c r="K17" i="9"/>
  <c r="K16" i="9" s="1"/>
  <c r="L7" i="14" s="1"/>
  <c r="R30" i="8"/>
  <c r="R24" i="8"/>
  <c r="T9" i="8"/>
  <c r="T22" i="8" s="1"/>
  <c r="P32" i="8"/>
  <c r="P37" i="8" s="1"/>
  <c r="P38" i="8" s="1"/>
  <c r="L10" i="14" s="1"/>
  <c r="Q29" i="8"/>
  <c r="P19" i="18" l="1"/>
  <c r="P23" i="18" s="1"/>
  <c r="P23" i="7"/>
  <c r="U16" i="8"/>
  <c r="L25" i="12"/>
  <c r="N14" i="9"/>
  <c r="N12" i="9" s="1"/>
  <c r="O17" i="14" s="1"/>
  <c r="M24" i="12"/>
  <c r="O25" i="9"/>
  <c r="O24" i="9" s="1"/>
  <c r="P18" i="14" s="1"/>
  <c r="O13" i="9"/>
  <c r="N18" i="9"/>
  <c r="N16" i="9" s="1"/>
  <c r="O7" i="14" s="1"/>
  <c r="M23" i="12"/>
  <c r="N8" i="18"/>
  <c r="P31" i="10"/>
  <c r="M12" i="9"/>
  <c r="N17" i="14" s="1"/>
  <c r="L8" i="12"/>
  <c r="L16" i="12"/>
  <c r="L9" i="18"/>
  <c r="L10" i="18" s="1"/>
  <c r="L20" i="12"/>
  <c r="L13" i="14"/>
  <c r="P19" i="10"/>
  <c r="P33" i="10" s="1"/>
  <c r="T20" i="4" s="1"/>
  <c r="P23" i="10"/>
  <c r="Q20" i="14" s="1"/>
  <c r="Q22" i="14" s="1"/>
  <c r="L14" i="7"/>
  <c r="L14" i="18" s="1"/>
  <c r="K14" i="7"/>
  <c r="K15" i="7"/>
  <c r="K15" i="18" s="1"/>
  <c r="L15" i="7"/>
  <c r="L15" i="18" s="1"/>
  <c r="L19" i="14"/>
  <c r="L23" i="14" s="1"/>
  <c r="S36" i="8"/>
  <c r="L9" i="7"/>
  <c r="P15" i="4"/>
  <c r="P18" i="4"/>
  <c r="Q24" i="5"/>
  <c r="Q25" i="5" s="1"/>
  <c r="Q27" i="5" s="1"/>
  <c r="Q17" i="4"/>
  <c r="Q14" i="4" s="1"/>
  <c r="S21" i="5"/>
  <c r="S23" i="5" s="1"/>
  <c r="S13" i="4"/>
  <c r="O8" i="7" s="1"/>
  <c r="T18" i="5"/>
  <c r="T11" i="4"/>
  <c r="T8" i="4"/>
  <c r="R23" i="5"/>
  <c r="S30" i="8"/>
  <c r="S24" i="8"/>
  <c r="U9" i="8"/>
  <c r="U22" i="8" s="1"/>
  <c r="Q32" i="8"/>
  <c r="R29" i="8"/>
  <c r="N23" i="5"/>
  <c r="M23" i="5"/>
  <c r="L23" i="5"/>
  <c r="K23" i="5"/>
  <c r="N15" i="7" l="1"/>
  <c r="N15" i="18" s="1"/>
  <c r="M25" i="12"/>
  <c r="O19" i="14"/>
  <c r="O23" i="14" s="1"/>
  <c r="M15" i="7"/>
  <c r="M15" i="18" s="1"/>
  <c r="N19" i="14"/>
  <c r="N23" i="14" s="1"/>
  <c r="O8" i="18"/>
  <c r="O18" i="9"/>
  <c r="N23" i="12"/>
  <c r="O14" i="9"/>
  <c r="N24" i="12"/>
  <c r="Q18" i="4"/>
  <c r="Q19" i="4" s="1"/>
  <c r="M20" i="12"/>
  <c r="M16" i="12"/>
  <c r="M9" i="18"/>
  <c r="M10" i="18" s="1"/>
  <c r="M8" i="12"/>
  <c r="L9" i="12"/>
  <c r="P23" i="4"/>
  <c r="K14" i="18"/>
  <c r="P33" i="7"/>
  <c r="P13" i="9"/>
  <c r="N14" i="7"/>
  <c r="P19" i="4"/>
  <c r="L10" i="7"/>
  <c r="T36" i="8"/>
  <c r="R24" i="5"/>
  <c r="R25" i="5" s="1"/>
  <c r="R27" i="5" s="1"/>
  <c r="R17" i="4"/>
  <c r="R14" i="4" s="1"/>
  <c r="Q37" i="8"/>
  <c r="Q38" i="8" s="1"/>
  <c r="M10" i="14" s="1"/>
  <c r="M9" i="7"/>
  <c r="Q15" i="4"/>
  <c r="J10" i="11"/>
  <c r="T19" i="5"/>
  <c r="P25" i="9"/>
  <c r="P24" i="9" s="1"/>
  <c r="Q18" i="14" s="1"/>
  <c r="P17" i="9"/>
  <c r="T30" i="8"/>
  <c r="T24" i="8"/>
  <c r="R32" i="8"/>
  <c r="S29" i="8"/>
  <c r="N15" i="4"/>
  <c r="N25" i="12" l="1"/>
  <c r="M13" i="14"/>
  <c r="P18" i="9"/>
  <c r="P23" i="12" s="1"/>
  <c r="O23" i="12"/>
  <c r="O16" i="9"/>
  <c r="P7" i="14" s="1"/>
  <c r="O14" i="7" s="1"/>
  <c r="O14" i="18" s="1"/>
  <c r="P14" i="9"/>
  <c r="P24" i="12" s="1"/>
  <c r="O24" i="12"/>
  <c r="O12" i="9"/>
  <c r="P17" i="14" s="1"/>
  <c r="R18" i="4"/>
  <c r="R19" i="4" s="1"/>
  <c r="N8" i="12"/>
  <c r="N20" i="12"/>
  <c r="N16" i="12"/>
  <c r="N9" i="18"/>
  <c r="N10" i="18" s="1"/>
  <c r="M9" i="12"/>
  <c r="Q23" i="4"/>
  <c r="Q24" i="4" s="1"/>
  <c r="N14" i="18"/>
  <c r="S17" i="4"/>
  <c r="S14" i="4" s="1"/>
  <c r="S24" i="5"/>
  <c r="S25" i="5" s="1"/>
  <c r="S27" i="5" s="1"/>
  <c r="M10" i="7"/>
  <c r="R37" i="8"/>
  <c r="R38" i="8" s="1"/>
  <c r="N10" i="14" s="1"/>
  <c r="U36" i="8"/>
  <c r="N9" i="7"/>
  <c r="R15" i="4"/>
  <c r="L9" i="11"/>
  <c r="L10" i="11" s="1"/>
  <c r="P26" i="4" s="1"/>
  <c r="L11" i="18" s="1"/>
  <c r="P24" i="4"/>
  <c r="T21" i="5"/>
  <c r="T23" i="5" s="1"/>
  <c r="T13" i="4"/>
  <c r="O14" i="4"/>
  <c r="U30" i="8"/>
  <c r="U24" i="8"/>
  <c r="T29" i="8"/>
  <c r="S32" i="8"/>
  <c r="N19" i="4"/>
  <c r="P16" i="9" l="1"/>
  <c r="Q7" i="14" s="1"/>
  <c r="P14" i="7" s="1"/>
  <c r="P14" i="18" s="1"/>
  <c r="N13" i="14"/>
  <c r="P19" i="14"/>
  <c r="P23" i="14" s="1"/>
  <c r="O15" i="7"/>
  <c r="O15" i="18" s="1"/>
  <c r="P12" i="9"/>
  <c r="Q17" i="14" s="1"/>
  <c r="P8" i="7"/>
  <c r="P8" i="18"/>
  <c r="O25" i="12"/>
  <c r="P25" i="12"/>
  <c r="S18" i="4"/>
  <c r="S19" i="4" s="1"/>
  <c r="O9" i="18"/>
  <c r="O10" i="18" s="1"/>
  <c r="O8" i="12"/>
  <c r="O20" i="12"/>
  <c r="O16" i="12"/>
  <c r="M9" i="11"/>
  <c r="M10" i="11" s="1"/>
  <c r="Q26" i="4" s="1"/>
  <c r="K9" i="7"/>
  <c r="K10" i="7" s="1"/>
  <c r="K9" i="18"/>
  <c r="K10" i="18" s="1"/>
  <c r="K20" i="12"/>
  <c r="K8" i="12"/>
  <c r="K16" i="12"/>
  <c r="N9" i="12"/>
  <c r="R23" i="4"/>
  <c r="S37" i="8"/>
  <c r="S38" i="8" s="1"/>
  <c r="O10" i="14" s="1"/>
  <c r="T17" i="4"/>
  <c r="T14" i="4" s="1"/>
  <c r="T15" i="4" s="1"/>
  <c r="T24" i="5"/>
  <c r="T25" i="5" s="1"/>
  <c r="T27" i="5" s="1"/>
  <c r="L11" i="7"/>
  <c r="P28" i="4"/>
  <c r="P34" i="4" s="1"/>
  <c r="N10" i="7"/>
  <c r="O9" i="7"/>
  <c r="S15" i="4"/>
  <c r="O18" i="4"/>
  <c r="O15" i="4"/>
  <c r="T32" i="8"/>
  <c r="U29" i="8"/>
  <c r="U32" i="8" s="1"/>
  <c r="N24" i="4"/>
  <c r="N29" i="4"/>
  <c r="O13" i="14" l="1"/>
  <c r="P15" i="7"/>
  <c r="P15" i="18" s="1"/>
  <c r="Q19" i="14"/>
  <c r="Q23" i="14" s="1"/>
  <c r="N9" i="11"/>
  <c r="N10" i="11" s="1"/>
  <c r="R26" i="4" s="1"/>
  <c r="N11" i="18" s="1"/>
  <c r="R24" i="4"/>
  <c r="M11" i="18"/>
  <c r="M11" i="7"/>
  <c r="Q28" i="4"/>
  <c r="Q34" i="4" s="1"/>
  <c r="L10" i="12"/>
  <c r="K9" i="12"/>
  <c r="O23" i="4"/>
  <c r="P9" i="7"/>
  <c r="P10" i="7" s="1"/>
  <c r="P9" i="18"/>
  <c r="P10" i="18" s="1"/>
  <c r="P20" i="12"/>
  <c r="P8" i="12"/>
  <c r="P16" i="12"/>
  <c r="O9" i="12"/>
  <c r="S23" i="4"/>
  <c r="T18" i="4"/>
  <c r="T19" i="4" s="1"/>
  <c r="P29" i="4"/>
  <c r="M31" i="14"/>
  <c r="L34" i="7"/>
  <c r="L35" i="7" s="1"/>
  <c r="U37" i="8"/>
  <c r="U38" i="8" s="1"/>
  <c r="Q10" i="14" s="1"/>
  <c r="T37" i="8"/>
  <c r="T38" i="8" s="1"/>
  <c r="P10" i="14" s="1"/>
  <c r="O10" i="7"/>
  <c r="O19" i="4"/>
  <c r="Q13" i="14" l="1"/>
  <c r="P13" i="14"/>
  <c r="M10" i="12"/>
  <c r="Q29" i="4"/>
  <c r="M34" i="7"/>
  <c r="M35" i="7" s="1"/>
  <c r="N31" i="14"/>
  <c r="O9" i="11"/>
  <c r="O10" i="11" s="1"/>
  <c r="S24" i="4"/>
  <c r="P9" i="12"/>
  <c r="T23" i="4"/>
  <c r="P9" i="11" s="1"/>
  <c r="P10" i="11" s="1"/>
  <c r="T26" i="4" s="1"/>
  <c r="R28" i="4"/>
  <c r="R34" i="4" s="1"/>
  <c r="N11" i="7"/>
  <c r="O24" i="4"/>
  <c r="K9" i="11"/>
  <c r="K10" i="11" s="1"/>
  <c r="O26" i="4" s="1"/>
  <c r="K11" i="18" s="1"/>
  <c r="P11" i="7" l="1"/>
  <c r="P11" i="18"/>
  <c r="T28" i="4"/>
  <c r="T34" i="4" s="1"/>
  <c r="P34" i="7" s="1"/>
  <c r="P35" i="7" s="1"/>
  <c r="T24" i="4"/>
  <c r="N10" i="12"/>
  <c r="N34" i="7"/>
  <c r="N35" i="7" s="1"/>
  <c r="O31" i="14"/>
  <c r="R29" i="4"/>
  <c r="O28" i="4"/>
  <c r="O34" i="4" s="1"/>
  <c r="K11" i="7"/>
  <c r="S26" i="4"/>
  <c r="O11" i="18" s="1"/>
  <c r="T29" i="4" l="1"/>
  <c r="Q31" i="14"/>
  <c r="P10" i="12"/>
  <c r="L31" i="14"/>
  <c r="L32" i="14" s="1"/>
  <c r="K10" i="12"/>
  <c r="K34" i="7"/>
  <c r="K35" i="7" s="1"/>
  <c r="O29" i="4"/>
  <c r="S28" i="4"/>
  <c r="S34" i="4" s="1"/>
  <c r="O11" i="7"/>
  <c r="M30" i="14" l="1"/>
  <c r="N30" i="14" s="1"/>
  <c r="L34" i="14"/>
  <c r="L35" i="14" s="1"/>
  <c r="K19" i="12"/>
  <c r="K12" i="12"/>
  <c r="O10" i="12"/>
  <c r="S29" i="4"/>
  <c r="P31" i="14"/>
  <c r="O34" i="7"/>
  <c r="O35" i="7" s="1"/>
  <c r="M32" i="14" l="1"/>
  <c r="M34" i="14" s="1"/>
  <c r="M35" i="14" s="1"/>
  <c r="O30" i="14"/>
  <c r="N32" i="14"/>
  <c r="L12" i="12" l="1"/>
  <c r="L19" i="12"/>
  <c r="N34" i="14"/>
  <c r="N35" i="14" s="1"/>
  <c r="M19" i="12"/>
  <c r="M12" i="12"/>
  <c r="O32" i="14"/>
  <c r="P30" i="14"/>
  <c r="O34" i="14" l="1"/>
  <c r="O35" i="14" s="1"/>
  <c r="N19" i="12"/>
  <c r="N12" i="12"/>
  <c r="P32" i="14"/>
  <c r="Q30" i="14"/>
  <c r="Q32" i="14" s="1"/>
  <c r="K8" i="9"/>
  <c r="L6" i="14" s="1"/>
  <c r="K28" i="9"/>
  <c r="P8" i="9"/>
  <c r="P28" i="9"/>
  <c r="O8" i="9"/>
  <c r="P6" i="14" s="1"/>
  <c r="O28" i="9"/>
  <c r="N8" i="9"/>
  <c r="O6" i="14" s="1"/>
  <c r="N28" i="9"/>
  <c r="L8" i="9"/>
  <c r="M6" i="14" s="1"/>
  <c r="L28" i="9"/>
  <c r="M8" i="9"/>
  <c r="N6" i="14" s="1"/>
  <c r="N13" i="7" s="1"/>
  <c r="N13" i="18" s="1"/>
  <c r="M28" i="9"/>
  <c r="O13" i="7" l="1"/>
  <c r="O13" i="18" s="1"/>
  <c r="L13" i="7"/>
  <c r="L13" i="18" s="1"/>
  <c r="K13" i="7"/>
  <c r="K13" i="18" s="1"/>
  <c r="M13" i="7"/>
  <c r="M13" i="18" s="1"/>
  <c r="Q34" i="14"/>
  <c r="Q35" i="14" s="1"/>
  <c r="P19" i="12"/>
  <c r="P12" i="12"/>
  <c r="P34" i="14"/>
  <c r="P35" i="14" s="1"/>
  <c r="O19" i="12"/>
  <c r="O12" i="12"/>
  <c r="P33" i="9"/>
  <c r="Q6" i="14"/>
  <c r="P13" i="7" s="1"/>
  <c r="P13" i="18" s="1"/>
  <c r="N33" i="9"/>
  <c r="O31" i="9" s="1"/>
  <c r="O33" i="9"/>
  <c r="P31" i="9" s="1"/>
  <c r="P32" i="9" s="1"/>
  <c r="K33" i="9"/>
  <c r="L31" i="9" s="1"/>
  <c r="M33" i="9"/>
  <c r="N31" i="9" s="1"/>
  <c r="L33" i="9"/>
  <c r="M31" i="9" s="1"/>
  <c r="N32" i="9" l="1"/>
  <c r="L32" i="9"/>
  <c r="O32" i="9"/>
  <c r="M32" i="9"/>
  <c r="K32" i="9"/>
  <c r="Q8" i="14" l="1"/>
  <c r="N8" i="14"/>
  <c r="P8" i="14"/>
  <c r="M8" i="14"/>
  <c r="O8" i="14"/>
  <c r="L8" i="14"/>
  <c r="P16" i="7" l="1"/>
  <c r="N16" i="7"/>
  <c r="L16" i="7"/>
  <c r="K16" i="7"/>
  <c r="M16" i="7"/>
  <c r="O16" i="7"/>
  <c r="K16" i="18" l="1"/>
  <c r="K12" i="18" s="1"/>
  <c r="K17" i="18" s="1"/>
  <c r="K25" i="18" s="1"/>
  <c r="K31" i="18" s="1"/>
  <c r="K12" i="7"/>
  <c r="K17" i="7" s="1"/>
  <c r="K25" i="7" s="1"/>
  <c r="K37" i="7" s="1"/>
  <c r="K41" i="7" s="1"/>
  <c r="L16" i="18"/>
  <c r="L12" i="18" s="1"/>
  <c r="L17" i="18" s="1"/>
  <c r="L25" i="18" s="1"/>
  <c r="L31" i="18" s="1"/>
  <c r="L12" i="7"/>
  <c r="L17" i="7" s="1"/>
  <c r="L25" i="7" s="1"/>
  <c r="L37" i="7" s="1"/>
  <c r="N16" i="18"/>
  <c r="N12" i="18" s="1"/>
  <c r="N17" i="18" s="1"/>
  <c r="N25" i="18" s="1"/>
  <c r="N31" i="18" s="1"/>
  <c r="N12" i="7"/>
  <c r="N17" i="7" s="1"/>
  <c r="N25" i="7" s="1"/>
  <c r="N37" i="7" s="1"/>
  <c r="P16" i="18"/>
  <c r="P12" i="18" s="1"/>
  <c r="P17" i="18" s="1"/>
  <c r="P25" i="18" s="1"/>
  <c r="P12" i="7"/>
  <c r="P17" i="7" s="1"/>
  <c r="P25" i="7" s="1"/>
  <c r="P37" i="7" s="1"/>
  <c r="M16" i="18"/>
  <c r="M12" i="18" s="1"/>
  <c r="M17" i="18" s="1"/>
  <c r="M25" i="18" s="1"/>
  <c r="M31" i="18" s="1"/>
  <c r="M12" i="7"/>
  <c r="M17" i="7" s="1"/>
  <c r="M25" i="7" s="1"/>
  <c r="M37" i="7" s="1"/>
  <c r="O16" i="18"/>
  <c r="O12" i="18" s="1"/>
  <c r="O17" i="18" s="1"/>
  <c r="O25" i="18" s="1"/>
  <c r="O31" i="18" s="1"/>
  <c r="O12" i="7"/>
  <c r="O17" i="7" s="1"/>
  <c r="O25" i="7" s="1"/>
  <c r="O37" i="7" s="1"/>
  <c r="H36" i="18" l="1"/>
  <c r="P31" i="18"/>
  <c r="H41" i="18" s="1"/>
  <c r="K43" i="7"/>
  <c r="L5" i="14"/>
  <c r="H39" i="18" l="1"/>
  <c r="H40" i="18" s="1"/>
  <c r="H42" i="18" s="1"/>
  <c r="H45" i="18" s="1"/>
  <c r="H47" i="18" s="1"/>
  <c r="L39" i="7"/>
  <c r="L41" i="7" s="1"/>
  <c r="K15" i="12"/>
  <c r="K17" i="12"/>
  <c r="L9" i="14"/>
  <c r="K14" i="12" l="1"/>
  <c r="L14" i="14"/>
  <c r="M5" i="14"/>
  <c r="L43" i="7"/>
  <c r="K11" i="12" l="1"/>
  <c r="K18" i="12"/>
  <c r="M39" i="7"/>
  <c r="M41" i="7" s="1"/>
  <c r="L15" i="12"/>
  <c r="L17" i="12"/>
  <c r="M9" i="14"/>
  <c r="L14" i="12" l="1"/>
  <c r="M14" i="14"/>
  <c r="M43" i="7"/>
  <c r="N5" i="14"/>
  <c r="N39" i="7" l="1"/>
  <c r="N41" i="7" s="1"/>
  <c r="M15" i="12"/>
  <c r="M17" i="12"/>
  <c r="N9" i="14"/>
  <c r="L11" i="12"/>
  <c r="L18" i="12"/>
  <c r="M14" i="12" l="1"/>
  <c r="N14" i="14"/>
  <c r="O5" i="14"/>
  <c r="N43" i="7"/>
  <c r="O39" i="7" l="1"/>
  <c r="O41" i="7" s="1"/>
  <c r="N15" i="12"/>
  <c r="N17" i="12"/>
  <c r="O9" i="14"/>
  <c r="M11" i="12"/>
  <c r="M18" i="12"/>
  <c r="N14" i="12" l="1"/>
  <c r="O14" i="14"/>
  <c r="P5" i="14"/>
  <c r="O43" i="7"/>
  <c r="P39" i="7" l="1"/>
  <c r="P41" i="7" s="1"/>
  <c r="O17" i="12"/>
  <c r="O15" i="12"/>
  <c r="P9" i="14"/>
  <c r="N11" i="12"/>
  <c r="N18" i="12"/>
  <c r="P43" i="7" l="1"/>
  <c r="Q5" i="14"/>
  <c r="O14" i="12"/>
  <c r="P14" i="14"/>
  <c r="O18" i="12" l="1"/>
  <c r="O11" i="12"/>
  <c r="P17" i="12"/>
  <c r="P15" i="12"/>
  <c r="Q9" i="14"/>
  <c r="P14" i="12" l="1"/>
  <c r="Q14" i="14"/>
  <c r="P18" i="12" l="1"/>
  <c r="P11"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arikann</author>
  </authors>
  <commentList>
    <comment ref="E21" authorId="0" shapeId="0" xr:uid="{00000000-0006-0000-0400-000001000000}">
      <text>
        <r>
          <rPr>
            <b/>
            <sz val="9"/>
            <color indexed="81"/>
            <rFont val="Tahoma"/>
            <family val="2"/>
          </rPr>
          <t>arikann:</t>
        </r>
        <r>
          <rPr>
            <sz val="9"/>
            <color indexed="81"/>
            <rFont val="Tahoma"/>
            <family val="2"/>
          </rPr>
          <t xml:space="preserve">
Cost of funding
</t>
        </r>
      </text>
    </comment>
  </commentList>
</comments>
</file>

<file path=xl/sharedStrings.xml><?xml version="1.0" encoding="utf-8"?>
<sst xmlns="http://schemas.openxmlformats.org/spreadsheetml/2006/main" count="578" uniqueCount="318">
  <si>
    <t>Company Name</t>
  </si>
  <si>
    <t>Kerevitaş Gıda</t>
  </si>
  <si>
    <t>FX</t>
  </si>
  <si>
    <t>EUR</t>
  </si>
  <si>
    <t>Cash and cash equivalents</t>
  </si>
  <si>
    <t>Trade receivables</t>
  </si>
  <si>
    <t>Other current receivables</t>
  </si>
  <si>
    <t>Derivative Financial Instruments</t>
  </si>
  <si>
    <t>Inventories</t>
  </si>
  <si>
    <t>Prepayments, Accrued Income, Other</t>
  </si>
  <si>
    <t xml:space="preserve">Current income tax assets </t>
  </si>
  <si>
    <t>Other current assets</t>
  </si>
  <si>
    <t>Total current assets</t>
  </si>
  <si>
    <t>Investments in affiliated companies</t>
  </si>
  <si>
    <t>Investments properties</t>
  </si>
  <si>
    <t>Other non-current receivables</t>
  </si>
  <si>
    <t>Property, plant and equipment</t>
  </si>
  <si>
    <t>Intangible assets</t>
  </si>
  <si>
    <t>Prepaid expenses</t>
  </si>
  <si>
    <t>Deferred tax assets</t>
  </si>
  <si>
    <t>Other non-current assets</t>
  </si>
  <si>
    <t>Right of Use Assets</t>
  </si>
  <si>
    <t>Total non-current assets</t>
  </si>
  <si>
    <t>Total Assets</t>
  </si>
  <si>
    <t>Short-term financial liabilities</t>
  </si>
  <si>
    <t>Current portion of LT liabilities</t>
  </si>
  <si>
    <t>Trade payables</t>
  </si>
  <si>
    <t>Other liabilities</t>
  </si>
  <si>
    <t>Deferred income</t>
  </si>
  <si>
    <t>Short-term provisions</t>
  </si>
  <si>
    <t>Liabilities for employee benefits</t>
  </si>
  <si>
    <t>Current income tax liabilities</t>
  </si>
  <si>
    <t>Other current payables</t>
  </si>
  <si>
    <t>Total current liabilities</t>
  </si>
  <si>
    <t>Long-term financial liabilities</t>
  </si>
  <si>
    <t>Other long-term liabilities</t>
  </si>
  <si>
    <t>Deferred tax liability</t>
  </si>
  <si>
    <t>Long-term provision</t>
  </si>
  <si>
    <t>Total non-current liabilities</t>
  </si>
  <si>
    <t>Total liabilities</t>
  </si>
  <si>
    <t>Paid-in capital</t>
  </si>
  <si>
    <t>Share premium</t>
  </si>
  <si>
    <t xml:space="preserve">Other comprehensive income or expenses not be reclassified to profit or loss </t>
  </si>
  <si>
    <t xml:space="preserve">Other comprehensive income or expenses to be reclassified to profit or loss </t>
  </si>
  <si>
    <t>Restricted reserves appropriated from profit</t>
  </si>
  <si>
    <t xml:space="preserve">Effect of business combinations under common control </t>
  </si>
  <si>
    <t>Retained earnings</t>
  </si>
  <si>
    <t xml:space="preserve">Net profit/loss for the year </t>
  </si>
  <si>
    <t>Shareholder's equity</t>
  </si>
  <si>
    <t xml:space="preserve">Non-Controlling Interests </t>
  </si>
  <si>
    <t>Total Equity</t>
  </si>
  <si>
    <t>TOTAL LIABILITIES AND EQUITY</t>
  </si>
  <si>
    <t>INCOME STATEMENT - TL '000</t>
  </si>
  <si>
    <t xml:space="preserve">Unit </t>
  </si>
  <si>
    <t>Historical</t>
  </si>
  <si>
    <t>Projected</t>
  </si>
  <si>
    <t>Sales</t>
  </si>
  <si>
    <t>TL ' 000</t>
  </si>
  <si>
    <t>COGS</t>
  </si>
  <si>
    <t xml:space="preserve">Gross Profit </t>
  </si>
  <si>
    <t>Gross Margin (%)</t>
  </si>
  <si>
    <t>%</t>
  </si>
  <si>
    <t xml:space="preserve">OPEX </t>
  </si>
  <si>
    <t>EBITDA</t>
  </si>
  <si>
    <t>EBITDA margin (%)</t>
  </si>
  <si>
    <t>Depreciation Total</t>
  </si>
  <si>
    <t>Operating Profit (EBIT)</t>
  </si>
  <si>
    <t>Operating profit (EBIT) margin %</t>
  </si>
  <si>
    <t>Interest expense</t>
  </si>
  <si>
    <t>Earnings before tax (EBT)</t>
  </si>
  <si>
    <t>EBT margin %</t>
  </si>
  <si>
    <t>Tax payable</t>
  </si>
  <si>
    <t xml:space="preserve">Net Profit </t>
  </si>
  <si>
    <t>Net Profit margin (%)</t>
  </si>
  <si>
    <t>Dividend pay out ratio</t>
  </si>
  <si>
    <t>Annual Dividends</t>
  </si>
  <si>
    <t>CASH FLOW - TL '000</t>
  </si>
  <si>
    <t>TL'000</t>
  </si>
  <si>
    <t xml:space="preserve">   Total Costs</t>
  </si>
  <si>
    <t xml:space="preserve">    EBITDA margin (%)</t>
  </si>
  <si>
    <t>Tax Paid</t>
  </si>
  <si>
    <t>Change in net working capital</t>
  </si>
  <si>
    <t xml:space="preserve">     A/R</t>
  </si>
  <si>
    <t xml:space="preserve">     Inventory</t>
  </si>
  <si>
    <t xml:space="preserve">     A/P</t>
  </si>
  <si>
    <t xml:space="preserve">    Other Assets/Liabilities</t>
  </si>
  <si>
    <t>Cash flow from operating activities</t>
  </si>
  <si>
    <t>Capital Expenditure</t>
  </si>
  <si>
    <t>Maintenance Expenses</t>
  </si>
  <si>
    <t>Disposal of assets</t>
  </si>
  <si>
    <t>Cash flow from investing activities</t>
  </si>
  <si>
    <t>Free cash flow</t>
  </si>
  <si>
    <t xml:space="preserve"> </t>
  </si>
  <si>
    <t>Capital increase</t>
  </si>
  <si>
    <t>STD - net decrease</t>
  </si>
  <si>
    <t>Other LTD decrease</t>
  </si>
  <si>
    <t>Net interest cost</t>
  </si>
  <si>
    <t>Dividends Paid</t>
  </si>
  <si>
    <t>Cash flow from financing activities</t>
  </si>
  <si>
    <t>Net change in cash</t>
  </si>
  <si>
    <t>Cash bf</t>
  </si>
  <si>
    <t>Cash Balance</t>
  </si>
  <si>
    <t>EBITDA margin</t>
  </si>
  <si>
    <t>TL 000</t>
  </si>
  <si>
    <t>3)</t>
  </si>
  <si>
    <t>OPEX  %</t>
  </si>
  <si>
    <t>Gross profit</t>
  </si>
  <si>
    <t>2)</t>
  </si>
  <si>
    <t>Gross margin</t>
  </si>
  <si>
    <t>1)</t>
  </si>
  <si>
    <t>Sales price growth %</t>
  </si>
  <si>
    <t>Sales Price</t>
  </si>
  <si>
    <t>Sales growth %</t>
  </si>
  <si>
    <t>tonnes</t>
  </si>
  <si>
    <t>Sales Volume</t>
  </si>
  <si>
    <t>SALES AND PROFITABILITY INPUT</t>
  </si>
  <si>
    <t>BS Check</t>
  </si>
  <si>
    <t>Net Fixed assets EoP</t>
  </si>
  <si>
    <t>Accumulated depreciation</t>
  </si>
  <si>
    <t>Gross Fixed assets BoP</t>
  </si>
  <si>
    <t>Total</t>
  </si>
  <si>
    <t xml:space="preserve">        Other</t>
  </si>
  <si>
    <t xml:space="preserve">        Machineries</t>
  </si>
  <si>
    <t xml:space="preserve">        Buildings</t>
  </si>
  <si>
    <t xml:space="preserve">        Land</t>
  </si>
  <si>
    <t>Accumulated Depreciation</t>
  </si>
  <si>
    <t>Depreciation for the Period</t>
  </si>
  <si>
    <t>Gross Fixed assets EoP</t>
  </si>
  <si>
    <t>Disposals</t>
  </si>
  <si>
    <t xml:space="preserve">   - Maintenance capex</t>
  </si>
  <si>
    <t xml:space="preserve">   - New investments</t>
  </si>
  <si>
    <t>Additions</t>
  </si>
  <si>
    <t>Existing Gross Fixed assets</t>
  </si>
  <si>
    <t xml:space="preserve">   Gross Fixed Assets</t>
  </si>
  <si>
    <t>PROPERTY, PLANT AND EQUIOMENT</t>
  </si>
  <si>
    <t>cf</t>
  </si>
  <si>
    <t>change</t>
  </si>
  <si>
    <t>bf</t>
  </si>
  <si>
    <t xml:space="preserve">Working Capital Change </t>
  </si>
  <si>
    <t xml:space="preserve">Days </t>
  </si>
  <si>
    <t xml:space="preserve">Working capital days cycle </t>
  </si>
  <si>
    <t xml:space="preserve">DOH </t>
  </si>
  <si>
    <t xml:space="preserve">Other current liabilities </t>
  </si>
  <si>
    <t>Net Sales</t>
  </si>
  <si>
    <t xml:space="preserve">Other current assets </t>
  </si>
  <si>
    <t xml:space="preserve">Inventories DOH </t>
  </si>
  <si>
    <t xml:space="preserve">Inventories </t>
  </si>
  <si>
    <t xml:space="preserve">Trade Payables DOH </t>
  </si>
  <si>
    <t xml:space="preserve">Trade Payables </t>
  </si>
  <si>
    <t>Trade Receivables DOH</t>
  </si>
  <si>
    <t>Trade Receivables</t>
  </si>
  <si>
    <t xml:space="preserve">Days in period </t>
  </si>
  <si>
    <t xml:space="preserve">WORKING CAPITAL </t>
  </si>
  <si>
    <t>Interest payments</t>
  </si>
  <si>
    <t>LT loan drawdown</t>
  </si>
  <si>
    <t>LT loan repayment</t>
  </si>
  <si>
    <t>ST loan drawdown</t>
  </si>
  <si>
    <t>ST loan repayment</t>
  </si>
  <si>
    <t>Total debt payments</t>
  </si>
  <si>
    <t>Avg. Interest rate on long-term loans</t>
  </si>
  <si>
    <t>Long term loan EoP</t>
  </si>
  <si>
    <t>Loan Repayments for new LT</t>
  </si>
  <si>
    <t>Loan Repayments for existing LT</t>
  </si>
  <si>
    <t>Long term loan BoP</t>
  </si>
  <si>
    <t>LT Debt</t>
  </si>
  <si>
    <t>Interest on short-term loans</t>
  </si>
  <si>
    <t>Avg. Interest rate on short-term loans</t>
  </si>
  <si>
    <t>Short-term bank loans EoP</t>
  </si>
  <si>
    <t xml:space="preserve">Loan repayments </t>
  </si>
  <si>
    <t>Drawdowns</t>
  </si>
  <si>
    <t>Short-term bank loans BoP</t>
  </si>
  <si>
    <t>ST Debt</t>
  </si>
  <si>
    <t>DEBT PROFILE</t>
  </si>
  <si>
    <t>Tax expense</t>
  </si>
  <si>
    <t>EBT</t>
  </si>
  <si>
    <t>Tax rate</t>
  </si>
  <si>
    <t>TAX</t>
  </si>
  <si>
    <t>Cash conversion cycle</t>
  </si>
  <si>
    <t>Payables days</t>
  </si>
  <si>
    <t>Inventory days</t>
  </si>
  <si>
    <t>Receivable days</t>
  </si>
  <si>
    <t>Working capital management</t>
  </si>
  <si>
    <t>Interest coverage</t>
  </si>
  <si>
    <t>Debt to equity ratio</t>
  </si>
  <si>
    <t>Equity ratio</t>
  </si>
  <si>
    <t>Net debt to EBITDA</t>
  </si>
  <si>
    <t>Financial debt to EBITDA</t>
  </si>
  <si>
    <t>Quick Ratio</t>
  </si>
  <si>
    <t>Current Ratio</t>
  </si>
  <si>
    <t>Capitalization and leverage</t>
  </si>
  <si>
    <t>Return on equity</t>
  </si>
  <si>
    <t>Return on assets</t>
  </si>
  <si>
    <t>Net margin</t>
  </si>
  <si>
    <t>EBIT margin</t>
  </si>
  <si>
    <t>Revenue growth, % yoy</t>
  </si>
  <si>
    <t>Sales and profitability</t>
  </si>
  <si>
    <t>FINANCIAL RATIOS</t>
  </si>
  <si>
    <t>-</t>
  </si>
  <si>
    <t>Income Statement</t>
  </si>
  <si>
    <t>Net sales revenues</t>
  </si>
  <si>
    <t>Gross sales</t>
  </si>
  <si>
    <t>Returns</t>
  </si>
  <si>
    <t>Discounts</t>
  </si>
  <si>
    <t>Cost of sales</t>
  </si>
  <si>
    <t>Marketing, selling and distribution expenses</t>
  </si>
  <si>
    <t>Research and Development expenses</t>
  </si>
  <si>
    <t>General administrative expenses</t>
  </si>
  <si>
    <t>EBIT</t>
  </si>
  <si>
    <t>Depreciation and amortization</t>
  </si>
  <si>
    <t>Financial income</t>
  </si>
  <si>
    <t>FX gain</t>
  </si>
  <si>
    <t>Interest income</t>
  </si>
  <si>
    <t>Financial Expense</t>
  </si>
  <si>
    <t>Interest expenses</t>
  </si>
  <si>
    <t>FX loss</t>
  </si>
  <si>
    <t>Other interest expenses</t>
  </si>
  <si>
    <t>Other income/expenses</t>
  </si>
  <si>
    <t>Current Tax</t>
  </si>
  <si>
    <t>Deferred Tax</t>
  </si>
  <si>
    <t>Net income</t>
  </si>
  <si>
    <t>Total Depreciation</t>
  </si>
  <si>
    <t>Depreciation and amortization (COGS)</t>
  </si>
  <si>
    <t>Depreciation and amortization (S&amp;M)</t>
  </si>
  <si>
    <t>Depreciation and amortization (GA)</t>
  </si>
  <si>
    <t>Depreciation and amortization (R&amp;D)</t>
  </si>
  <si>
    <t>4)</t>
  </si>
  <si>
    <t>Depreciation</t>
  </si>
  <si>
    <t>INTANGIBLE ASSETS</t>
  </si>
  <si>
    <t>Rights</t>
  </si>
  <si>
    <t>Development Cost</t>
  </si>
  <si>
    <t>Other</t>
  </si>
  <si>
    <t>Dep.rate</t>
  </si>
  <si>
    <t>dep.rate</t>
  </si>
  <si>
    <t>Gross Intangible Assets</t>
  </si>
  <si>
    <t>Net Intangible Assets</t>
  </si>
  <si>
    <t>BALANCE SHEET - TL '000</t>
  </si>
  <si>
    <t>Other current liabilities</t>
  </si>
  <si>
    <t>Existing Intangible Assets</t>
  </si>
  <si>
    <t>Other adjustments</t>
  </si>
  <si>
    <t>Cost of equity (Re)</t>
  </si>
  <si>
    <t>Levered Beta (Bl)</t>
  </si>
  <si>
    <t>UL Beta (Bu)</t>
  </si>
  <si>
    <t>Expected market return (Rm)</t>
  </si>
  <si>
    <t>Risk free rate (Rf)</t>
  </si>
  <si>
    <t>Re (Cost of Equity)</t>
  </si>
  <si>
    <t>Rd * (1-Tc) (Cost of debt after tax)</t>
  </si>
  <si>
    <t>Rd</t>
  </si>
  <si>
    <t>LT debt</t>
  </si>
  <si>
    <t>ST debt</t>
  </si>
  <si>
    <t>Interest margin (%)</t>
  </si>
  <si>
    <t>Corporate tax rate (%)</t>
  </si>
  <si>
    <t>Rd (Cost of Debt)</t>
  </si>
  <si>
    <t>Cost of components</t>
  </si>
  <si>
    <t>Weight in Cost of Capital</t>
  </si>
  <si>
    <t>Book Value as of Dec 2019</t>
  </si>
  <si>
    <t>Capital</t>
  </si>
  <si>
    <t xml:space="preserve"> Financial Debt</t>
  </si>
  <si>
    <t>Equity</t>
  </si>
  <si>
    <t>WACC (Cost of Capital)</t>
  </si>
  <si>
    <t>Equity Value</t>
  </si>
  <si>
    <t>+ Cash</t>
  </si>
  <si>
    <t xml:space="preserve">- Financial debt </t>
  </si>
  <si>
    <t>Sum of PV (Enterprise Value)</t>
  </si>
  <si>
    <t>PV of Cash Flows over the period</t>
  </si>
  <si>
    <t>PV of Terminal Value</t>
  </si>
  <si>
    <t>Terminal Value</t>
  </si>
  <si>
    <t>Terminal WACC</t>
  </si>
  <si>
    <t>Perpetuity Growth rate</t>
  </si>
  <si>
    <t>Terminal Free Cash Flow</t>
  </si>
  <si>
    <t>DCF Valuation:</t>
  </si>
  <si>
    <t>Present Value of Free Cash Flow</t>
  </si>
  <si>
    <t>Cumulative discount factor</t>
  </si>
  <si>
    <t>DCF Valuation - TL '000</t>
  </si>
  <si>
    <t>Shares Outstanding</t>
  </si>
  <si>
    <t>Price per share</t>
  </si>
  <si>
    <t>Current price on exchange (15.05.20)</t>
  </si>
  <si>
    <t>Heavy investments are over, now time to make money and improve margins</t>
  </si>
  <si>
    <t xml:space="preserve">BS was not balance because the fixed assets as of YE2019 was not consistent with the one in depreciation calculation sheet. </t>
  </si>
  <si>
    <t>You projected the company to have a subtantial amount of cash balance by 2025. You may consider your company to pay some of its liabilities i.e. LT other liabilities. Check what it entails of and assume the company to repay it over time.</t>
  </si>
  <si>
    <t>List your forecasts in your report.</t>
  </si>
  <si>
    <t>Changes in Short-Term Debt</t>
  </si>
  <si>
    <t>Changes in Long-Term Debt</t>
  </si>
  <si>
    <t>Changes in Long-Term Other Liabilities</t>
  </si>
  <si>
    <t>diverging towards the other LT mean</t>
  </si>
  <si>
    <t>%growing rate</t>
  </si>
  <si>
    <t>CFA Institute suggests adding the inflation rate differential</t>
  </si>
  <si>
    <t xml:space="preserve">between the local economy and a developed nation and using that as a spread </t>
  </si>
  <si>
    <t>on top of that same developed nation's long-term bond yield.</t>
  </si>
  <si>
    <t>Turkey inflation = 10%</t>
  </si>
  <si>
    <t>US 10Year = 0.68%</t>
  </si>
  <si>
    <t>CDS 10 Year Turkey = 5.5%</t>
  </si>
  <si>
    <t xml:space="preserve">historical mean of new investments/sales is %2 </t>
  </si>
  <si>
    <t>EBITDA as of 2019</t>
  </si>
  <si>
    <t>Trading peer multiple</t>
  </si>
  <si>
    <t>Enterprise Value</t>
  </si>
  <si>
    <t>Country</t>
  </si>
  <si>
    <t>EV/EBITDA</t>
  </si>
  <si>
    <t>P/E</t>
  </si>
  <si>
    <t>P/B</t>
  </si>
  <si>
    <t>USA</t>
  </si>
  <si>
    <t>UK</t>
  </si>
  <si>
    <t>Germany</t>
  </si>
  <si>
    <t>Norway</t>
  </si>
  <si>
    <t>Singapore</t>
  </si>
  <si>
    <t>Average</t>
  </si>
  <si>
    <t>China</t>
  </si>
  <si>
    <t>Turkey</t>
  </si>
  <si>
    <t xml:space="preserve">   Company</t>
  </si>
  <si>
    <t xml:space="preserve">   Conagra Brands, Inc</t>
  </si>
  <si>
    <t xml:space="preserve">   Nomad Foods Ltd</t>
  </si>
  <si>
    <t xml:space="preserve">   FRoSTA AG</t>
  </si>
  <si>
    <t xml:space="preserve">   Orkla</t>
  </si>
  <si>
    <t xml:space="preserve">   Wilmar International limited</t>
  </si>
  <si>
    <t xml:space="preserve">   General mills</t>
  </si>
  <si>
    <t xml:space="preserve">   Sanquan Food</t>
  </si>
  <si>
    <t xml:space="preserve">   Dardanel Gıda</t>
  </si>
  <si>
    <t xml:space="preserve">   Penguen Gıda</t>
  </si>
  <si>
    <t xml:space="preserve">   Kerevitaş Gıda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</si>
</sst>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0_);_(* \(#,##0\);_(* &quot;-&quot;_);_(@_)"/>
    <numFmt numFmtId="165" formatCode="#,##0_);\(#,##0\);&quot;-  &quot;;&quot; &quot;@"/>
    <numFmt numFmtId="166" formatCode="_-* #,##0_-;\-* #,##0_-;_-* &quot;-&quot;??_-;_-@_-"/>
    <numFmt numFmtId="167" formatCode="_-* #,##0.0_-;\-* #,##0.0_-;_-* &quot;-&quot;??_-;_-@_-"/>
    <numFmt numFmtId="168" formatCode="0.0%"/>
    <numFmt numFmtId="169" formatCode="_(* #,##0.00_);_(* \(#,##0.00\);_(* &quot;-&quot;??_);_(@_)"/>
    <numFmt numFmtId="170" formatCode="_(* #,##0.0_);_(* \(#,##0.0\);_(* &quot;-&quot;??_);_(@_)"/>
    <numFmt numFmtId="171" formatCode="_(* #,##0_);_(* \(#,##0\);_(* &quot;-&quot;??_);_(@_)"/>
    <numFmt numFmtId="172" formatCode="0.0"/>
    <numFmt numFmtId="173" formatCode="#,##0.00_);\(#,##0.00\);&quot;-  &quot;;&quot; &quot;@"/>
    <numFmt numFmtId="174" formatCode="#,##0.00\ &quot;₺&quot;"/>
    <numFmt numFmtId="175" formatCode="_-* #,##0.00\ _₺_-;\-* #,##0.00\ _₺_-;_-* &quot;-&quot;??\ _₺_-;_-@_-"/>
    <numFmt numFmtId="176" formatCode="_(* #,##0.000_);_(* \(#,##0.000\);_(* &quot;-&quot;_);_(@_)"/>
    <numFmt numFmtId="178" formatCode="[$₺-41F]#,##0.00"/>
  </numFmts>
  <fonts count="58">
    <font>
      <sz val="11"/>
      <color theme="1"/>
      <name val="Calibri"/>
      <family val="2"/>
      <charset val="162"/>
      <scheme val="minor"/>
    </font>
    <font>
      <sz val="11"/>
      <color theme="1"/>
      <name val="Calibri"/>
      <family val="2"/>
      <charset val="162"/>
      <scheme val="minor"/>
    </font>
    <font>
      <sz val="8"/>
      <color rgb="FF000000"/>
      <name val="Arial"/>
      <family val="2"/>
    </font>
    <font>
      <sz val="10"/>
      <name val="Arial"/>
      <family val="2"/>
    </font>
    <font>
      <sz val="8"/>
      <name val="Arial"/>
      <family val="2"/>
    </font>
    <font>
      <b/>
      <sz val="8"/>
      <name val="Arial"/>
      <family val="2"/>
    </font>
    <font>
      <i/>
      <sz val="8"/>
      <name val="Arial"/>
      <family val="2"/>
    </font>
    <font>
      <b/>
      <sz val="8"/>
      <color theme="0"/>
      <name val="Arial"/>
      <family val="2"/>
    </font>
    <font>
      <sz val="8"/>
      <color theme="1"/>
      <name val="Arial"/>
      <family val="2"/>
    </font>
    <font>
      <sz val="8"/>
      <color rgb="FF222222"/>
      <name val="Arial"/>
      <family val="2"/>
    </font>
    <font>
      <i/>
      <sz val="9"/>
      <color rgb="FF000000"/>
      <name val="TimesNewRomanPS"/>
    </font>
    <font>
      <b/>
      <sz val="8"/>
      <color rgb="FF000000"/>
      <name val="Arial"/>
      <family val="2"/>
    </font>
    <font>
      <sz val="12"/>
      <name val="Times New Roman"/>
      <family val="1"/>
    </font>
    <font>
      <b/>
      <sz val="12"/>
      <name val="Times New Roman"/>
      <family val="1"/>
    </font>
    <font>
      <b/>
      <sz val="10"/>
      <name val="Arial"/>
      <family val="2"/>
    </font>
    <font>
      <sz val="12"/>
      <color indexed="9"/>
      <name val="Times New Roman"/>
      <family val="1"/>
    </font>
    <font>
      <b/>
      <sz val="12"/>
      <color indexed="9"/>
      <name val="Times New Roman"/>
      <family val="1"/>
    </font>
    <font>
      <u/>
      <sz val="12"/>
      <color indexed="9"/>
      <name val="Times New Roman"/>
      <family val="1"/>
    </font>
    <font>
      <sz val="12"/>
      <name val="Times New Roman"/>
      <family val="1"/>
      <charset val="162"/>
    </font>
    <font>
      <i/>
      <sz val="12"/>
      <name val="Times New Roman"/>
      <family val="1"/>
    </font>
    <font>
      <sz val="12"/>
      <color indexed="23"/>
      <name val="Times New Roman"/>
      <family val="1"/>
    </font>
    <font>
      <sz val="12"/>
      <color indexed="22"/>
      <name val="Times New Roman"/>
      <family val="1"/>
    </font>
    <font>
      <sz val="12"/>
      <color rgb="FFFF0000"/>
      <name val="Times New Roman"/>
      <family val="1"/>
    </font>
    <font>
      <u/>
      <sz val="12"/>
      <name val="Times New Roman"/>
      <family val="1"/>
    </font>
    <font>
      <sz val="12"/>
      <color indexed="10"/>
      <name val="Times New Roman"/>
      <family val="1"/>
    </font>
    <font>
      <sz val="12"/>
      <color indexed="12"/>
      <name val="Times New Roman"/>
      <family val="1"/>
    </font>
    <font>
      <b/>
      <sz val="12"/>
      <color indexed="22"/>
      <name val="Times New Roman"/>
      <family val="1"/>
    </font>
    <font>
      <sz val="10"/>
      <name val="Arial"/>
      <family val="2"/>
      <charset val="162"/>
    </font>
    <font>
      <sz val="12"/>
      <color theme="1"/>
      <name val="Times New Roman"/>
      <family val="1"/>
    </font>
    <font>
      <sz val="8"/>
      <color theme="1"/>
      <name val="TimesNewRomanPS"/>
    </font>
    <font>
      <sz val="8"/>
      <color theme="1"/>
      <name val="TimesNewRomanPSMT"/>
    </font>
    <font>
      <sz val="9"/>
      <color theme="1"/>
      <name val="TimesNewRomanPSMT"/>
    </font>
    <font>
      <b/>
      <sz val="8"/>
      <name val="Times New Roman"/>
      <family val="1"/>
    </font>
    <font>
      <b/>
      <sz val="10"/>
      <name val="Times New Roman"/>
      <family val="1"/>
    </font>
    <font>
      <sz val="8"/>
      <name val="Arial"/>
      <family val="2"/>
      <charset val="162"/>
    </font>
    <font>
      <b/>
      <sz val="8"/>
      <name val="Times New Roman"/>
      <family val="1"/>
      <charset val="162"/>
    </font>
    <font>
      <b/>
      <sz val="9"/>
      <name val="Times New Roman"/>
      <family val="1"/>
    </font>
    <font>
      <sz val="8"/>
      <name val="Calibri"/>
      <family val="2"/>
      <charset val="162"/>
      <scheme val="minor"/>
    </font>
    <font>
      <sz val="11"/>
      <color theme="1"/>
      <name val="Calibri"/>
      <family val="2"/>
      <scheme val="minor"/>
    </font>
    <font>
      <b/>
      <sz val="12"/>
      <color rgb="FFFF0000"/>
      <name val="Times New Roman"/>
      <family val="1"/>
    </font>
    <font>
      <b/>
      <u/>
      <sz val="12"/>
      <name val="Times New Roman"/>
      <family val="1"/>
    </font>
    <font>
      <b/>
      <sz val="12"/>
      <color theme="1"/>
      <name val="Times New Roman"/>
      <family val="1"/>
    </font>
    <font>
      <b/>
      <u/>
      <sz val="12"/>
      <color theme="1"/>
      <name val="Times New Roman"/>
      <family val="1"/>
    </font>
    <font>
      <b/>
      <sz val="9"/>
      <color indexed="81"/>
      <name val="Tahoma"/>
      <family val="2"/>
    </font>
    <font>
      <sz val="9"/>
      <color indexed="81"/>
      <name val="Tahoma"/>
      <family val="2"/>
    </font>
    <font>
      <b/>
      <i/>
      <sz val="12"/>
      <color theme="1"/>
      <name val="Times New Roman"/>
      <family val="1"/>
    </font>
    <font>
      <i/>
      <sz val="12"/>
      <color theme="1"/>
      <name val="Times New Roman"/>
      <family val="1"/>
    </font>
    <font>
      <sz val="10"/>
      <color theme="1"/>
      <name val="Arial"/>
      <family val="2"/>
    </font>
    <font>
      <b/>
      <sz val="12"/>
      <name val="Arial"/>
      <family val="2"/>
      <charset val="162"/>
    </font>
    <font>
      <sz val="12"/>
      <name val="Arial"/>
      <family val="2"/>
      <charset val="162"/>
    </font>
    <font>
      <i/>
      <sz val="11"/>
      <color theme="1"/>
      <name val="Calibri"/>
      <family val="2"/>
      <charset val="162"/>
      <scheme val="minor"/>
    </font>
    <font>
      <sz val="11"/>
      <color rgb="FF111111"/>
      <name val="Arial"/>
      <family val="2"/>
      <charset val="162"/>
    </font>
    <font>
      <b/>
      <sz val="11"/>
      <color theme="1"/>
      <name val="Calibri"/>
      <family val="2"/>
      <charset val="162"/>
      <scheme val="minor"/>
    </font>
    <font>
      <sz val="11"/>
      <color theme="1"/>
      <name val="Times New Roman"/>
      <family val="1"/>
    </font>
    <font>
      <i/>
      <sz val="11"/>
      <color theme="1"/>
      <name val="Times New Roman"/>
      <family val="1"/>
    </font>
    <font>
      <b/>
      <i/>
      <sz val="11"/>
      <color theme="1"/>
      <name val="Times New Roman"/>
      <family val="1"/>
    </font>
    <font>
      <b/>
      <u/>
      <sz val="11"/>
      <color rgb="FFFF0000"/>
      <name val="Times New Roman"/>
      <family val="1"/>
    </font>
    <font>
      <sz val="11"/>
      <name val="Times New Roman"/>
      <family val="1"/>
    </font>
  </fonts>
  <fills count="23">
    <fill>
      <patternFill patternType="none"/>
    </fill>
    <fill>
      <patternFill patternType="gray125"/>
    </fill>
    <fill>
      <patternFill patternType="solid">
        <fgColor rgb="FF0070C0"/>
        <bgColor indexed="64"/>
      </patternFill>
    </fill>
    <fill>
      <patternFill patternType="solid">
        <fgColor indexed="9"/>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0"/>
        <bgColor indexed="64"/>
      </patternFill>
    </fill>
    <fill>
      <patternFill patternType="solid">
        <fgColor rgb="FFFFFFCC"/>
        <bgColor indexed="64"/>
      </patternFill>
    </fill>
    <fill>
      <patternFill patternType="solid">
        <fgColor indexed="54"/>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rgb="FFFFFFFF"/>
        <bgColor rgb="FF000000"/>
      </patternFill>
    </fill>
    <fill>
      <patternFill patternType="solid">
        <fgColor rgb="FFFFE6C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39997558519241921"/>
        <bgColor indexed="64"/>
      </patternFill>
    </fill>
  </fills>
  <borders count="4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right/>
      <top/>
      <bottom style="double">
        <color indexed="64"/>
      </bottom>
      <diagonal/>
    </border>
    <border>
      <left style="thin">
        <color indexed="64"/>
      </left>
      <right/>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diagonal/>
    </border>
    <border>
      <left style="thin">
        <color theme="0"/>
      </left>
      <right style="thin">
        <color theme="0"/>
      </right>
      <top/>
      <bottom style="thin">
        <color theme="0"/>
      </bottom>
      <diagonal/>
    </border>
    <border>
      <left style="medium">
        <color indexed="64"/>
      </left>
      <right/>
      <top/>
      <bottom style="thin">
        <color indexed="64"/>
      </bottom>
      <diagonal/>
    </border>
    <border>
      <left/>
      <right style="medium">
        <color indexed="64"/>
      </right>
      <top/>
      <bottom style="thin">
        <color indexed="64"/>
      </bottom>
      <diagonal/>
    </border>
  </borders>
  <cellStyleXfs count="15">
    <xf numFmtId="0" fontId="0" fillId="0" borderId="0"/>
    <xf numFmtId="43" fontId="1" fillId="0" borderId="0" applyFont="0" applyFill="0" applyBorder="0" applyAlignment="0" applyProtection="0"/>
    <xf numFmtId="0" fontId="3" fillId="0" borderId="0"/>
    <xf numFmtId="165" fontId="14" fillId="0" borderId="0" applyFont="0" applyFill="0" applyBorder="0" applyAlignment="0" applyProtection="0"/>
    <xf numFmtId="0" fontId="18" fillId="0" borderId="0"/>
    <xf numFmtId="43" fontId="18" fillId="0" borderId="0" applyFont="0" applyFill="0" applyBorder="0" applyAlignment="0" applyProtection="0"/>
    <xf numFmtId="9" fontId="18"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27" fillId="0" borderId="0"/>
    <xf numFmtId="9" fontId="1" fillId="0" borderId="0" applyFont="0" applyFill="0" applyBorder="0" applyAlignment="0" applyProtection="0"/>
    <xf numFmtId="9" fontId="38" fillId="0" borderId="0" applyFont="0" applyFill="0" applyBorder="0" applyAlignment="0" applyProtection="0"/>
    <xf numFmtId="169" fontId="38" fillId="0" borderId="0" applyFont="0" applyFill="0" applyBorder="0" applyAlignment="0" applyProtection="0"/>
    <xf numFmtId="9" fontId="38" fillId="0" borderId="0" applyFont="0" applyFill="0" applyBorder="0" applyAlignment="0" applyProtection="0"/>
    <xf numFmtId="0" fontId="27" fillId="0" borderId="0"/>
  </cellStyleXfs>
  <cellXfs count="431">
    <xf numFmtId="0" fontId="0" fillId="0" borderId="0" xfId="0"/>
    <xf numFmtId="0" fontId="2" fillId="0" borderId="0" xfId="0" applyFont="1" applyAlignment="1">
      <alignment vertical="top"/>
    </xf>
    <xf numFmtId="0" fontId="4" fillId="0" borderId="0" xfId="2" applyFont="1"/>
    <xf numFmtId="0" fontId="5" fillId="0" borderId="0" xfId="2" applyFont="1"/>
    <xf numFmtId="0" fontId="6" fillId="0" borderId="0" xfId="2" applyFont="1"/>
    <xf numFmtId="0" fontId="5" fillId="0" borderId="3" xfId="2" applyFont="1" applyBorder="1"/>
    <xf numFmtId="3" fontId="5" fillId="0" borderId="3" xfId="2" applyNumberFormat="1" applyFont="1" applyBorder="1" applyAlignment="1">
      <alignment horizontal="right"/>
    </xf>
    <xf numFmtId="164" fontId="4" fillId="0" borderId="0" xfId="2" applyNumberFormat="1" applyFont="1" applyAlignment="1">
      <alignment horizontal="right"/>
    </xf>
    <xf numFmtId="0" fontId="9" fillId="0" borderId="0" xfId="0" applyFont="1"/>
    <xf numFmtId="164" fontId="5" fillId="0" borderId="3" xfId="2" applyNumberFormat="1" applyFont="1" applyBorder="1" applyAlignment="1">
      <alignment horizontal="right"/>
    </xf>
    <xf numFmtId="164" fontId="5" fillId="0" borderId="0" xfId="2" applyNumberFormat="1" applyFont="1" applyAlignment="1">
      <alignment horizontal="right"/>
    </xf>
    <xf numFmtId="164" fontId="2" fillId="0" borderId="0" xfId="0" applyNumberFormat="1" applyFont="1"/>
    <xf numFmtId="0" fontId="2" fillId="0" borderId="0" xfId="0" applyFont="1"/>
    <xf numFmtId="3" fontId="2" fillId="0" borderId="0" xfId="0" applyNumberFormat="1" applyFont="1"/>
    <xf numFmtId="0" fontId="10" fillId="0" borderId="0" xfId="0" applyFont="1"/>
    <xf numFmtId="0" fontId="11" fillId="0" borderId="0" xfId="0" applyFont="1"/>
    <xf numFmtId="164" fontId="11" fillId="0" borderId="0" xfId="0" applyNumberFormat="1" applyFont="1"/>
    <xf numFmtId="165" fontId="15" fillId="0" borderId="0" xfId="3" applyFont="1" applyFill="1" applyAlignment="1">
      <alignment vertical="top"/>
    </xf>
    <xf numFmtId="165" fontId="16" fillId="0" borderId="0" xfId="3" applyFont="1" applyFill="1" applyAlignment="1">
      <alignment vertical="top"/>
    </xf>
    <xf numFmtId="165" fontId="16" fillId="5" borderId="0" xfId="3" applyFont="1" applyFill="1" applyBorder="1" applyAlignment="1">
      <alignment vertical="top"/>
    </xf>
    <xf numFmtId="165" fontId="17" fillId="5" borderId="0" xfId="3" applyFont="1" applyFill="1" applyBorder="1" applyAlignment="1">
      <alignment vertical="top"/>
    </xf>
    <xf numFmtId="165" fontId="15" fillId="5" borderId="6" xfId="3" applyFont="1" applyFill="1" applyBorder="1" applyAlignment="1">
      <alignment horizontal="right" vertical="top"/>
    </xf>
    <xf numFmtId="165" fontId="15" fillId="5" borderId="0" xfId="3" applyFont="1" applyFill="1" applyBorder="1" applyAlignment="1">
      <alignment vertical="top"/>
    </xf>
    <xf numFmtId="165" fontId="12" fillId="3" borderId="6" xfId="3" applyFont="1" applyFill="1" applyBorder="1" applyAlignment="1">
      <alignment vertical="top"/>
    </xf>
    <xf numFmtId="165" fontId="12" fillId="3" borderId="5" xfId="3" applyFont="1" applyFill="1" applyBorder="1" applyAlignment="1">
      <alignment vertical="top"/>
    </xf>
    <xf numFmtId="165" fontId="12" fillId="3" borderId="6" xfId="3" applyFont="1" applyFill="1" applyBorder="1" applyAlignment="1">
      <alignment horizontal="center" vertical="top"/>
    </xf>
    <xf numFmtId="165" fontId="13" fillId="3" borderId="6" xfId="3" applyFont="1" applyFill="1" applyBorder="1" applyAlignment="1">
      <alignment vertical="top"/>
    </xf>
    <xf numFmtId="166" fontId="13" fillId="0" borderId="0" xfId="1" applyNumberFormat="1" applyFont="1" applyFill="1" applyBorder="1"/>
    <xf numFmtId="165" fontId="12" fillId="0" borderId="5" xfId="3" applyFont="1" applyFill="1" applyBorder="1" applyAlignment="1">
      <alignment horizontal="center" vertical="top"/>
    </xf>
    <xf numFmtId="165" fontId="12" fillId="0" borderId="0" xfId="3" applyFont="1" applyFill="1" applyBorder="1" applyAlignment="1">
      <alignment horizontal="center" vertical="top"/>
    </xf>
    <xf numFmtId="165" fontId="15" fillId="3" borderId="0" xfId="3" applyFont="1" applyFill="1" applyAlignment="1">
      <alignment vertical="top"/>
    </xf>
    <xf numFmtId="165" fontId="16" fillId="5" borderId="0" xfId="3" applyFont="1" applyFill="1" applyAlignment="1">
      <alignment vertical="top"/>
    </xf>
    <xf numFmtId="165" fontId="17" fillId="5" borderId="0" xfId="3" applyFont="1" applyFill="1" applyAlignment="1">
      <alignment vertical="top"/>
    </xf>
    <xf numFmtId="165" fontId="15" fillId="5" borderId="0" xfId="3" applyFont="1" applyFill="1" applyAlignment="1">
      <alignment vertical="top"/>
    </xf>
    <xf numFmtId="165" fontId="17" fillId="0" borderId="0" xfId="3" applyFont="1" applyFill="1" applyAlignment="1">
      <alignment vertical="top"/>
    </xf>
    <xf numFmtId="165" fontId="15" fillId="0" borderId="6" xfId="3" applyFont="1" applyFill="1" applyBorder="1" applyAlignment="1">
      <alignment horizontal="right" vertical="top"/>
    </xf>
    <xf numFmtId="165" fontId="15" fillId="0" borderId="0" xfId="3" applyFont="1" applyFill="1" applyBorder="1" applyAlignment="1">
      <alignment vertical="top"/>
    </xf>
    <xf numFmtId="0" fontId="12" fillId="0" borderId="0" xfId="4" applyFont="1"/>
    <xf numFmtId="0" fontId="12" fillId="3" borderId="0" xfId="4" applyFont="1" applyFill="1"/>
    <xf numFmtId="0" fontId="19" fillId="3" borderId="0" xfId="4" applyFont="1" applyFill="1"/>
    <xf numFmtId="0" fontId="13" fillId="3" borderId="0" xfId="4" applyFont="1" applyFill="1"/>
    <xf numFmtId="166" fontId="12" fillId="3" borderId="3" xfId="5" applyNumberFormat="1" applyFont="1" applyFill="1" applyBorder="1"/>
    <xf numFmtId="0" fontId="12" fillId="3" borderId="3" xfId="4" applyFont="1" applyFill="1" applyBorder="1"/>
    <xf numFmtId="9" fontId="12" fillId="6" borderId="7" xfId="6" applyFont="1" applyFill="1" applyBorder="1"/>
    <xf numFmtId="9" fontId="20" fillId="0" borderId="0" xfId="6" applyFont="1" applyFill="1" applyBorder="1" applyAlignment="1">
      <alignment vertical="top"/>
    </xf>
    <xf numFmtId="0" fontId="19" fillId="0" borderId="0" xfId="4" applyFont="1"/>
    <xf numFmtId="9" fontId="20" fillId="0" borderId="2" xfId="6" applyFont="1" applyFill="1" applyBorder="1" applyAlignment="1">
      <alignment vertical="top"/>
    </xf>
    <xf numFmtId="9" fontId="20" fillId="3" borderId="2" xfId="6" applyFont="1" applyFill="1" applyBorder="1" applyAlignment="1">
      <alignment vertical="top"/>
    </xf>
    <xf numFmtId="0" fontId="12" fillId="0" borderId="2" xfId="4" applyFont="1" applyBorder="1"/>
    <xf numFmtId="0" fontId="19" fillId="0" borderId="2" xfId="4" applyFont="1" applyBorder="1"/>
    <xf numFmtId="165" fontId="12" fillId="3" borderId="0" xfId="4" applyNumberFormat="1" applyFont="1" applyFill="1"/>
    <xf numFmtId="0" fontId="12" fillId="3" borderId="6" xfId="4" applyFont="1" applyFill="1" applyBorder="1"/>
    <xf numFmtId="165" fontId="12" fillId="3" borderId="2" xfId="5" applyNumberFormat="1" applyFont="1" applyFill="1" applyBorder="1"/>
    <xf numFmtId="0" fontId="12" fillId="3" borderId="2" xfId="4" applyFont="1" applyFill="1" applyBorder="1"/>
    <xf numFmtId="9" fontId="20" fillId="3" borderId="0" xfId="6" applyFont="1" applyFill="1" applyBorder="1" applyAlignment="1">
      <alignment vertical="top"/>
    </xf>
    <xf numFmtId="165" fontId="12" fillId="3" borderId="0" xfId="5" applyNumberFormat="1" applyFont="1" applyFill="1" applyBorder="1"/>
    <xf numFmtId="166" fontId="12" fillId="3" borderId="0" xfId="4" applyNumberFormat="1" applyFont="1" applyFill="1"/>
    <xf numFmtId="166" fontId="12" fillId="0" borderId="0" xfId="5" applyNumberFormat="1" applyFont="1" applyFill="1" applyBorder="1"/>
    <xf numFmtId="165" fontId="21" fillId="0" borderId="0" xfId="3" applyFont="1" applyFill="1" applyAlignment="1">
      <alignment vertical="top"/>
    </xf>
    <xf numFmtId="0" fontId="12" fillId="3" borderId="1" xfId="4" applyFont="1" applyFill="1" applyBorder="1" applyAlignment="1">
      <alignment horizontal="right"/>
    </xf>
    <xf numFmtId="0" fontId="13" fillId="0" borderId="2" xfId="4" applyFont="1" applyBorder="1" applyAlignment="1">
      <alignment horizontal="right"/>
    </xf>
    <xf numFmtId="0" fontId="12" fillId="3" borderId="5" xfId="4" applyFont="1" applyFill="1" applyBorder="1"/>
    <xf numFmtId="0" fontId="13" fillId="4" borderId="1" xfId="4" applyFont="1" applyFill="1" applyBorder="1" applyAlignment="1">
      <alignment horizontal="right"/>
    </xf>
    <xf numFmtId="0" fontId="13" fillId="4" borderId="4" xfId="4" applyFont="1" applyFill="1" applyBorder="1" applyAlignment="1">
      <alignment horizontal="center"/>
    </xf>
    <xf numFmtId="0" fontId="13" fillId="4" borderId="1" xfId="4" applyFont="1" applyFill="1" applyBorder="1"/>
    <xf numFmtId="0" fontId="12" fillId="0" borderId="1" xfId="4" applyFont="1" applyBorder="1"/>
    <xf numFmtId="0" fontId="13" fillId="0" borderId="0" xfId="4" applyFont="1"/>
    <xf numFmtId="9" fontId="12" fillId="8" borderId="0" xfId="4" applyNumberFormat="1" applyFont="1" applyFill="1"/>
    <xf numFmtId="9" fontId="12" fillId="3" borderId="0" xfId="4" applyNumberFormat="1" applyFont="1" applyFill="1"/>
    <xf numFmtId="0" fontId="12" fillId="3" borderId="6" xfId="4" applyFont="1" applyFill="1" applyBorder="1" applyAlignment="1">
      <alignment horizontal="center"/>
    </xf>
    <xf numFmtId="0" fontId="12" fillId="3" borderId="4" xfId="4" applyFont="1" applyFill="1" applyBorder="1"/>
    <xf numFmtId="0" fontId="13" fillId="3" borderId="3" xfId="4" applyFont="1" applyFill="1" applyBorder="1"/>
    <xf numFmtId="0" fontId="13" fillId="3" borderId="10" xfId="4" applyFont="1" applyFill="1" applyBorder="1" applyAlignment="1">
      <alignment horizontal="center"/>
    </xf>
    <xf numFmtId="166" fontId="12" fillId="3" borderId="0" xfId="5" applyNumberFormat="1" applyFont="1" applyFill="1"/>
    <xf numFmtId="9" fontId="12" fillId="8" borderId="0" xfId="6" applyFont="1" applyFill="1" applyBorder="1"/>
    <xf numFmtId="165" fontId="12" fillId="0" borderId="6" xfId="3" applyFont="1" applyFill="1" applyBorder="1" applyAlignment="1">
      <alignment horizontal="center" vertical="top"/>
    </xf>
    <xf numFmtId="0" fontId="12" fillId="0" borderId="6" xfId="4" applyFont="1" applyBorder="1" applyAlignment="1">
      <alignment horizontal="center"/>
    </xf>
    <xf numFmtId="165" fontId="13" fillId="5" borderId="0" xfId="3" applyFont="1" applyFill="1" applyBorder="1" applyAlignment="1">
      <alignment vertical="top"/>
    </xf>
    <xf numFmtId="0" fontId="13" fillId="0" borderId="0" xfId="4" applyFont="1" applyAlignment="1">
      <alignment horizontal="right"/>
    </xf>
    <xf numFmtId="0" fontId="15" fillId="3" borderId="0" xfId="4" applyFont="1" applyFill="1" applyAlignment="1">
      <alignment horizontal="right"/>
    </xf>
    <xf numFmtId="0" fontId="15" fillId="3" borderId="2" xfId="4" applyFont="1" applyFill="1" applyBorder="1" applyAlignment="1">
      <alignment horizontal="right"/>
    </xf>
    <xf numFmtId="0" fontId="13" fillId="4" borderId="1" xfId="4" quotePrefix="1" applyFont="1" applyFill="1" applyBorder="1" applyAlignment="1">
      <alignment horizontal="right"/>
    </xf>
    <xf numFmtId="166" fontId="22" fillId="3" borderId="0" xfId="5" applyNumberFormat="1" applyFont="1" applyFill="1" applyBorder="1"/>
    <xf numFmtId="0" fontId="22" fillId="3" borderId="0" xfId="4" applyFont="1" applyFill="1"/>
    <xf numFmtId="165" fontId="22" fillId="3" borderId="0" xfId="3" applyFont="1" applyFill="1" applyBorder="1" applyAlignment="1">
      <alignment vertical="top"/>
    </xf>
    <xf numFmtId="165" fontId="22" fillId="3" borderId="6" xfId="3" applyFont="1" applyFill="1" applyBorder="1" applyAlignment="1">
      <alignment vertical="top"/>
    </xf>
    <xf numFmtId="166" fontId="12" fillId="3" borderId="0" xfId="5" applyNumberFormat="1" applyFont="1" applyFill="1" applyBorder="1"/>
    <xf numFmtId="166" fontId="13" fillId="3" borderId="8" xfId="5" applyNumberFormat="1" applyFont="1" applyFill="1" applyBorder="1"/>
    <xf numFmtId="0" fontId="13" fillId="3" borderId="8" xfId="4" applyFont="1" applyFill="1" applyBorder="1"/>
    <xf numFmtId="2" fontId="12" fillId="3" borderId="0" xfId="5" applyNumberFormat="1" applyFont="1" applyFill="1" applyBorder="1"/>
    <xf numFmtId="165" fontId="13" fillId="3" borderId="0" xfId="5" applyNumberFormat="1" applyFont="1" applyFill="1"/>
    <xf numFmtId="165" fontId="13" fillId="3" borderId="2" xfId="5" applyNumberFormat="1" applyFont="1" applyFill="1" applyBorder="1"/>
    <xf numFmtId="165" fontId="12" fillId="3" borderId="1" xfId="5" applyNumberFormat="1" applyFont="1" applyFill="1" applyBorder="1"/>
    <xf numFmtId="0" fontId="12" fillId="3" borderId="1" xfId="4" applyFont="1" applyFill="1" applyBorder="1"/>
    <xf numFmtId="165" fontId="12" fillId="3" borderId="0" xfId="5" applyNumberFormat="1" applyFont="1" applyFill="1" applyBorder="1" applyAlignment="1">
      <alignment horizontal="right"/>
    </xf>
    <xf numFmtId="166" fontId="12" fillId="3" borderId="1" xfId="5" applyNumberFormat="1" applyFont="1" applyFill="1" applyBorder="1" applyAlignment="1">
      <alignment horizontal="right"/>
    </xf>
    <xf numFmtId="165" fontId="13" fillId="3" borderId="3" xfId="5" applyNumberFormat="1" applyFont="1" applyFill="1" applyBorder="1"/>
    <xf numFmtId="0" fontId="19" fillId="3" borderId="3" xfId="4" applyFont="1" applyFill="1" applyBorder="1"/>
    <xf numFmtId="166" fontId="19" fillId="3" borderId="0" xfId="5" applyNumberFormat="1" applyFont="1" applyFill="1" applyBorder="1"/>
    <xf numFmtId="2" fontId="19" fillId="3" borderId="0" xfId="5" applyNumberFormat="1" applyFont="1" applyFill="1" applyBorder="1"/>
    <xf numFmtId="0" fontId="19" fillId="3" borderId="2" xfId="4" applyFont="1" applyFill="1" applyBorder="1"/>
    <xf numFmtId="0" fontId="13" fillId="7" borderId="2" xfId="4" applyFont="1" applyFill="1" applyBorder="1"/>
    <xf numFmtId="0" fontId="19" fillId="3" borderId="1" xfId="4" applyFont="1" applyFill="1" applyBorder="1"/>
    <xf numFmtId="2" fontId="13" fillId="3" borderId="0" xfId="5" applyNumberFormat="1" applyFont="1" applyFill="1" applyBorder="1"/>
    <xf numFmtId="3" fontId="13" fillId="3" borderId="3" xfId="5" applyNumberFormat="1" applyFont="1" applyFill="1" applyBorder="1"/>
    <xf numFmtId="165" fontId="19" fillId="3" borderId="0" xfId="5" applyNumberFormat="1" applyFont="1" applyFill="1"/>
    <xf numFmtId="165" fontId="12" fillId="3" borderId="0" xfId="5" applyNumberFormat="1" applyFont="1" applyFill="1"/>
    <xf numFmtId="0" fontId="12" fillId="7" borderId="0" xfId="4" applyFont="1" applyFill="1"/>
    <xf numFmtId="0" fontId="12" fillId="7" borderId="2" xfId="4" applyFont="1" applyFill="1" applyBorder="1"/>
    <xf numFmtId="9" fontId="19" fillId="3" borderId="0" xfId="6" applyFont="1" applyFill="1" applyBorder="1"/>
    <xf numFmtId="166" fontId="13" fillId="3" borderId="0" xfId="5" applyNumberFormat="1" applyFont="1" applyFill="1" applyBorder="1"/>
    <xf numFmtId="3" fontId="13" fillId="3" borderId="1" xfId="5" applyNumberFormat="1" applyFont="1" applyFill="1" applyBorder="1"/>
    <xf numFmtId="0" fontId="13" fillId="3" borderId="1" xfId="4" applyFont="1" applyFill="1" applyBorder="1"/>
    <xf numFmtId="165" fontId="15" fillId="9" borderId="0" xfId="3" applyFont="1" applyFill="1" applyAlignment="1">
      <alignment vertical="top"/>
    </xf>
    <xf numFmtId="0" fontId="12" fillId="3" borderId="0" xfId="4" applyFont="1" applyFill="1" applyAlignment="1">
      <alignment horizontal="right"/>
    </xf>
    <xf numFmtId="0" fontId="12" fillId="10" borderId="0" xfId="4" applyFont="1" applyFill="1"/>
    <xf numFmtId="0" fontId="16" fillId="4" borderId="1" xfId="4" applyFont="1" applyFill="1" applyBorder="1"/>
    <xf numFmtId="0" fontId="12" fillId="4" borderId="1" xfId="4" applyFont="1" applyFill="1" applyBorder="1"/>
    <xf numFmtId="0" fontId="12" fillId="3" borderId="4" xfId="4" applyFont="1" applyFill="1" applyBorder="1" applyAlignment="1">
      <alignment horizontal="center"/>
    </xf>
    <xf numFmtId="43" fontId="12" fillId="3" borderId="1" xfId="4" applyNumberFormat="1" applyFont="1" applyFill="1" applyBorder="1"/>
    <xf numFmtId="165" fontId="15" fillId="0" borderId="5" xfId="3" applyFont="1" applyFill="1" applyBorder="1" applyAlignment="1">
      <alignment horizontal="right" vertical="top"/>
    </xf>
    <xf numFmtId="165" fontId="21" fillId="11" borderId="0" xfId="3" applyFont="1" applyFill="1" applyAlignment="1">
      <alignment vertical="top"/>
    </xf>
    <xf numFmtId="165" fontId="12" fillId="5" borderId="6" xfId="3" applyFont="1" applyFill="1" applyBorder="1" applyAlignment="1">
      <alignment horizontal="right" vertical="top"/>
    </xf>
    <xf numFmtId="165" fontId="23" fillId="5" borderId="0" xfId="3" applyFont="1" applyFill="1" applyAlignment="1">
      <alignment vertical="top"/>
    </xf>
    <xf numFmtId="165" fontId="13" fillId="5" borderId="0" xfId="3" applyFont="1" applyFill="1" applyAlignment="1">
      <alignment vertical="top"/>
    </xf>
    <xf numFmtId="1" fontId="12" fillId="3" borderId="0" xfId="4" applyNumberFormat="1" applyFont="1" applyFill="1"/>
    <xf numFmtId="0" fontId="12" fillId="3" borderId="11" xfId="4" applyFont="1" applyFill="1" applyBorder="1"/>
    <xf numFmtId="0" fontId="12" fillId="3" borderId="8" xfId="4" applyFont="1" applyFill="1" applyBorder="1"/>
    <xf numFmtId="0" fontId="13" fillId="0" borderId="8" xfId="4" applyFont="1" applyBorder="1"/>
    <xf numFmtId="165" fontId="17" fillId="0" borderId="2" xfId="3" applyFont="1" applyFill="1" applyBorder="1" applyAlignment="1">
      <alignment vertical="top"/>
    </xf>
    <xf numFmtId="165" fontId="16" fillId="0" borderId="2" xfId="3" applyFont="1" applyFill="1" applyBorder="1" applyAlignment="1">
      <alignment vertical="top"/>
    </xf>
    <xf numFmtId="165" fontId="23" fillId="0" borderId="2" xfId="3" applyFont="1" applyFill="1" applyBorder="1" applyAlignment="1">
      <alignment horizontal="right" vertical="top"/>
    </xf>
    <xf numFmtId="43" fontId="12" fillId="3" borderId="0" xfId="4" applyNumberFormat="1" applyFont="1" applyFill="1"/>
    <xf numFmtId="165" fontId="13" fillId="3" borderId="11" xfId="3" applyFont="1" applyFill="1" applyBorder="1" applyAlignment="1">
      <alignment horizontal="center" vertical="top"/>
    </xf>
    <xf numFmtId="43" fontId="13" fillId="3" borderId="8" xfId="4" applyNumberFormat="1" applyFont="1" applyFill="1" applyBorder="1"/>
    <xf numFmtId="10" fontId="24" fillId="12" borderId="0" xfId="6" applyNumberFormat="1" applyFont="1" applyFill="1" applyBorder="1"/>
    <xf numFmtId="165" fontId="15" fillId="0" borderId="2" xfId="3" applyFont="1" applyFill="1" applyBorder="1" applyAlignment="1">
      <alignment vertical="top"/>
    </xf>
    <xf numFmtId="165" fontId="13" fillId="5" borderId="6" xfId="3" applyFont="1" applyFill="1" applyBorder="1" applyAlignment="1">
      <alignment horizontal="right" vertical="top"/>
    </xf>
    <xf numFmtId="0" fontId="12" fillId="3" borderId="2" xfId="4" applyFont="1" applyFill="1" applyBorder="1" applyAlignment="1">
      <alignment horizontal="right"/>
    </xf>
    <xf numFmtId="3" fontId="12" fillId="3" borderId="2" xfId="7" applyNumberFormat="1" applyFont="1" applyFill="1" applyBorder="1"/>
    <xf numFmtId="166" fontId="12" fillId="3" borderId="0" xfId="7" applyNumberFormat="1" applyFont="1" applyFill="1" applyBorder="1"/>
    <xf numFmtId="166" fontId="12" fillId="13" borderId="0" xfId="7" applyNumberFormat="1" applyFont="1" applyFill="1" applyBorder="1"/>
    <xf numFmtId="3" fontId="12" fillId="3" borderId="0" xfId="4" applyNumberFormat="1" applyFont="1" applyFill="1"/>
    <xf numFmtId="3" fontId="12" fillId="3" borderId="1" xfId="4" applyNumberFormat="1" applyFont="1" applyFill="1" applyBorder="1"/>
    <xf numFmtId="166" fontId="25" fillId="3" borderId="0" xfId="7" applyNumberFormat="1" applyFont="1" applyFill="1" applyBorder="1"/>
    <xf numFmtId="1" fontId="25" fillId="8" borderId="0" xfId="8" applyNumberFormat="1" applyFont="1" applyFill="1" applyBorder="1"/>
    <xf numFmtId="166" fontId="12" fillId="0" borderId="0" xfId="7" applyNumberFormat="1" applyFont="1" applyFill="1" applyBorder="1"/>
    <xf numFmtId="0" fontId="25" fillId="3" borderId="0" xfId="4" applyFont="1" applyFill="1"/>
    <xf numFmtId="166" fontId="12" fillId="13" borderId="0" xfId="7" applyNumberFormat="1" applyFont="1" applyFill="1" applyBorder="1" applyAlignment="1">
      <alignment horizontal="right"/>
    </xf>
    <xf numFmtId="165" fontId="25" fillId="3" borderId="0" xfId="3" applyFont="1" applyFill="1" applyAlignment="1">
      <alignment vertical="top"/>
    </xf>
    <xf numFmtId="166" fontId="25" fillId="0" borderId="0" xfId="7" applyNumberFormat="1" applyFont="1" applyFill="1" applyBorder="1"/>
    <xf numFmtId="166" fontId="25" fillId="8" borderId="0" xfId="7" applyNumberFormat="1" applyFont="1" applyFill="1" applyBorder="1"/>
    <xf numFmtId="165" fontId="12" fillId="3" borderId="0" xfId="3" applyFont="1" applyFill="1" applyAlignment="1">
      <alignment vertical="top"/>
    </xf>
    <xf numFmtId="165" fontId="21" fillId="3" borderId="0" xfId="3" applyFont="1" applyFill="1" applyAlignment="1">
      <alignment vertical="top"/>
    </xf>
    <xf numFmtId="165" fontId="15" fillId="3" borderId="0" xfId="3" applyFont="1" applyFill="1" applyBorder="1" applyAlignment="1">
      <alignment vertical="top"/>
    </xf>
    <xf numFmtId="165" fontId="15" fillId="3" borderId="6" xfId="3" applyFont="1" applyFill="1" applyBorder="1" applyAlignment="1">
      <alignment horizontal="right" vertical="top"/>
    </xf>
    <xf numFmtId="165" fontId="17" fillId="3" borderId="0" xfId="3" applyFont="1" applyFill="1" applyAlignment="1">
      <alignment vertical="top"/>
    </xf>
    <xf numFmtId="165" fontId="16" fillId="3" borderId="0" xfId="3" applyFont="1" applyFill="1" applyAlignment="1">
      <alignment vertical="top"/>
    </xf>
    <xf numFmtId="3" fontId="12" fillId="0" borderId="2" xfId="4" applyNumberFormat="1" applyFont="1" applyBorder="1" applyAlignment="1">
      <alignment horizontal="right"/>
    </xf>
    <xf numFmtId="43" fontId="23" fillId="3" borderId="2" xfId="5" applyFont="1" applyFill="1" applyBorder="1" applyAlignment="1">
      <alignment vertical="top"/>
    </xf>
    <xf numFmtId="43" fontId="13" fillId="3" borderId="2" xfId="5" applyFont="1" applyFill="1" applyBorder="1" applyAlignment="1">
      <alignment vertical="top"/>
    </xf>
    <xf numFmtId="43" fontId="12" fillId="0" borderId="2" xfId="5" applyFont="1" applyFill="1" applyBorder="1" applyAlignment="1">
      <alignment vertical="top"/>
    </xf>
    <xf numFmtId="3" fontId="12" fillId="0" borderId="0" xfId="4" applyNumberFormat="1" applyFont="1" applyAlignment="1">
      <alignment horizontal="right"/>
    </xf>
    <xf numFmtId="43" fontId="23" fillId="3" borderId="0" xfId="5" applyFont="1" applyFill="1" applyBorder="1" applyAlignment="1">
      <alignment vertical="top"/>
    </xf>
    <xf numFmtId="43" fontId="13" fillId="3" borderId="0" xfId="5" applyFont="1" applyFill="1" applyBorder="1" applyAlignment="1">
      <alignment vertical="top"/>
    </xf>
    <xf numFmtId="43" fontId="12" fillId="0" borderId="0" xfId="5" applyFont="1" applyFill="1" applyBorder="1" applyAlignment="1">
      <alignment vertical="top"/>
    </xf>
    <xf numFmtId="43" fontId="12" fillId="3" borderId="0" xfId="5" applyFont="1" applyFill="1" applyBorder="1" applyAlignment="1">
      <alignment vertical="top"/>
    </xf>
    <xf numFmtId="10" fontId="24" fillId="8" borderId="0" xfId="6" applyNumberFormat="1" applyFont="1" applyFill="1" applyBorder="1"/>
    <xf numFmtId="10" fontId="24" fillId="0" borderId="0" xfId="6" applyNumberFormat="1" applyFont="1" applyFill="1" applyBorder="1"/>
    <xf numFmtId="0" fontId="12" fillId="3" borderId="12" xfId="4" applyFont="1" applyFill="1" applyBorder="1"/>
    <xf numFmtId="3" fontId="12" fillId="0" borderId="0" xfId="4" applyNumberFormat="1" applyFont="1"/>
    <xf numFmtId="3" fontId="12" fillId="0" borderId="8" xfId="4" applyNumberFormat="1" applyFont="1" applyBorder="1" applyAlignment="1">
      <alignment horizontal="right"/>
    </xf>
    <xf numFmtId="43" fontId="23" fillId="3" borderId="8" xfId="5" applyFont="1" applyFill="1" applyBorder="1" applyAlignment="1">
      <alignment vertical="top"/>
    </xf>
    <xf numFmtId="43" fontId="13" fillId="3" borderId="8" xfId="5" applyFont="1" applyFill="1" applyBorder="1" applyAlignment="1">
      <alignment vertical="top"/>
    </xf>
    <xf numFmtId="43" fontId="12" fillId="3" borderId="8" xfId="5" applyFont="1" applyFill="1" applyBorder="1" applyAlignment="1">
      <alignment vertical="top"/>
    </xf>
    <xf numFmtId="3" fontId="12" fillId="8" borderId="0" xfId="4" applyNumberFormat="1" applyFont="1" applyFill="1" applyAlignment="1">
      <alignment horizontal="right"/>
    </xf>
    <xf numFmtId="3" fontId="12" fillId="0" borderId="2" xfId="4" applyNumberFormat="1" applyFont="1" applyBorder="1"/>
    <xf numFmtId="165" fontId="12" fillId="3" borderId="5" xfId="3" applyFont="1" applyFill="1" applyBorder="1" applyAlignment="1">
      <alignment horizontal="center" vertical="top"/>
    </xf>
    <xf numFmtId="43" fontId="12" fillId="3" borderId="2" xfId="5" applyFont="1" applyFill="1" applyBorder="1" applyAlignment="1">
      <alignment vertical="top"/>
    </xf>
    <xf numFmtId="3" fontId="12" fillId="0" borderId="8" xfId="4" applyNumberFormat="1" applyFont="1" applyBorder="1"/>
    <xf numFmtId="165" fontId="12" fillId="3" borderId="11" xfId="3" applyFont="1" applyFill="1" applyBorder="1" applyAlignment="1">
      <alignment horizontal="center" vertical="top"/>
    </xf>
    <xf numFmtId="43" fontId="12" fillId="3" borderId="8" xfId="4" applyNumberFormat="1" applyFont="1" applyFill="1" applyBorder="1"/>
    <xf numFmtId="3" fontId="12" fillId="8" borderId="2" xfId="4" applyNumberFormat="1" applyFont="1" applyFill="1" applyBorder="1"/>
    <xf numFmtId="43" fontId="12" fillId="3" borderId="2" xfId="4" applyNumberFormat="1" applyFont="1" applyFill="1" applyBorder="1"/>
    <xf numFmtId="3" fontId="12" fillId="8" borderId="0" xfId="4" applyNumberFormat="1" applyFont="1" applyFill="1"/>
    <xf numFmtId="3" fontId="12" fillId="0" borderId="1" xfId="4" applyNumberFormat="1" applyFont="1" applyBorder="1"/>
    <xf numFmtId="165" fontId="12" fillId="3" borderId="4" xfId="3" applyFont="1" applyFill="1" applyBorder="1" applyAlignment="1">
      <alignment horizontal="center" vertical="top"/>
    </xf>
    <xf numFmtId="165" fontId="13" fillId="5" borderId="6" xfId="3" applyFont="1" applyFill="1" applyBorder="1" applyAlignment="1">
      <alignment horizontal="center" vertical="top"/>
    </xf>
    <xf numFmtId="0" fontId="12" fillId="3" borderId="10" xfId="4" applyFont="1" applyFill="1" applyBorder="1"/>
    <xf numFmtId="9" fontId="12" fillId="8" borderId="3" xfId="4" applyNumberFormat="1" applyFont="1" applyFill="1" applyBorder="1"/>
    <xf numFmtId="0" fontId="26" fillId="3" borderId="3" xfId="4" applyFont="1" applyFill="1" applyBorder="1"/>
    <xf numFmtId="0" fontId="12" fillId="0" borderId="0" xfId="9" applyFont="1"/>
    <xf numFmtId="165" fontId="13" fillId="5" borderId="6" xfId="3" applyFont="1" applyFill="1" applyBorder="1" applyAlignment="1">
      <alignment vertical="top"/>
    </xf>
    <xf numFmtId="43" fontId="12" fillId="3" borderId="0" xfId="5" applyFont="1" applyFill="1"/>
    <xf numFmtId="0" fontId="28" fillId="0" borderId="0" xfId="4" applyFont="1" applyAlignment="1">
      <alignment horizontal="left"/>
    </xf>
    <xf numFmtId="167" fontId="12" fillId="3" borderId="0" xfId="5" applyNumberFormat="1" applyFont="1" applyFill="1"/>
    <xf numFmtId="9" fontId="12" fillId="3" borderId="0" xfId="6" applyFont="1" applyFill="1"/>
    <xf numFmtId="0" fontId="5" fillId="14" borderId="0" xfId="2" applyFont="1" applyFill="1"/>
    <xf numFmtId="0" fontId="6" fillId="14" borderId="0" xfId="2" applyFont="1" applyFill="1"/>
    <xf numFmtId="164" fontId="4" fillId="14" borderId="0" xfId="2" applyNumberFormat="1" applyFont="1" applyFill="1" applyAlignment="1">
      <alignment horizontal="right"/>
    </xf>
    <xf numFmtId="0" fontId="0" fillId="0" borderId="0" xfId="0" applyAlignment="1">
      <alignment horizontal="right"/>
    </xf>
    <xf numFmtId="165" fontId="15" fillId="5" borderId="0" xfId="3" applyFont="1" applyFill="1" applyBorder="1" applyAlignment="1">
      <alignment horizontal="right" vertical="top"/>
    </xf>
    <xf numFmtId="9" fontId="12" fillId="8" borderId="0" xfId="6" applyFont="1" applyFill="1" applyBorder="1" applyAlignment="1">
      <alignment horizontal="right"/>
    </xf>
    <xf numFmtId="166" fontId="13" fillId="3" borderId="3" xfId="5" applyNumberFormat="1" applyFont="1" applyFill="1" applyBorder="1" applyAlignment="1">
      <alignment horizontal="right"/>
    </xf>
    <xf numFmtId="9" fontId="12" fillId="8" borderId="0" xfId="4" applyNumberFormat="1" applyFont="1" applyFill="1" applyAlignment="1">
      <alignment horizontal="right"/>
    </xf>
    <xf numFmtId="166" fontId="12" fillId="3" borderId="0" xfId="5" applyNumberFormat="1" applyFont="1" applyFill="1" applyAlignment="1">
      <alignment horizontal="right"/>
    </xf>
    <xf numFmtId="0" fontId="12" fillId="15" borderId="0" xfId="4" applyFont="1" applyFill="1"/>
    <xf numFmtId="166" fontId="13" fillId="15" borderId="3" xfId="5" applyNumberFormat="1" applyFont="1" applyFill="1" applyBorder="1"/>
    <xf numFmtId="0" fontId="13" fillId="15" borderId="2" xfId="4" applyFont="1" applyFill="1" applyBorder="1" applyAlignment="1">
      <alignment horizontal="right"/>
    </xf>
    <xf numFmtId="166" fontId="12" fillId="15" borderId="0" xfId="5" applyNumberFormat="1" applyFont="1" applyFill="1" applyBorder="1"/>
    <xf numFmtId="166" fontId="13" fillId="15" borderId="0" xfId="5" applyNumberFormat="1" applyFont="1" applyFill="1" applyBorder="1"/>
    <xf numFmtId="166" fontId="12" fillId="15" borderId="0" xfId="4" applyNumberFormat="1" applyFont="1" applyFill="1"/>
    <xf numFmtId="165" fontId="12" fillId="15" borderId="0" xfId="5" applyNumberFormat="1" applyFont="1" applyFill="1" applyBorder="1"/>
    <xf numFmtId="165" fontId="12" fillId="15" borderId="0" xfId="4" applyNumberFormat="1" applyFont="1" applyFill="1"/>
    <xf numFmtId="166" fontId="12" fillId="3" borderId="2" xfId="1" applyNumberFormat="1" applyFont="1" applyFill="1" applyBorder="1"/>
    <xf numFmtId="9" fontId="12" fillId="3" borderId="0" xfId="10" applyFont="1" applyFill="1"/>
    <xf numFmtId="166" fontId="13" fillId="3" borderId="8" xfId="1" applyNumberFormat="1" applyFont="1" applyFill="1" applyBorder="1"/>
    <xf numFmtId="166" fontId="12" fillId="3" borderId="1" xfId="1" applyNumberFormat="1" applyFont="1" applyFill="1" applyBorder="1"/>
    <xf numFmtId="166" fontId="12" fillId="3" borderId="0" xfId="1" applyNumberFormat="1" applyFont="1" applyFill="1"/>
    <xf numFmtId="166" fontId="12" fillId="0" borderId="0" xfId="1" applyNumberFormat="1" applyFont="1"/>
    <xf numFmtId="166" fontId="12" fillId="8" borderId="0" xfId="1" applyNumberFormat="1" applyFont="1" applyFill="1"/>
    <xf numFmtId="166" fontId="13" fillId="0" borderId="8" xfId="1" applyNumberFormat="1" applyFont="1" applyBorder="1"/>
    <xf numFmtId="166" fontId="12" fillId="5" borderId="0" xfId="1" applyNumberFormat="1" applyFont="1" applyFill="1" applyBorder="1" applyAlignment="1">
      <alignment vertical="top"/>
    </xf>
    <xf numFmtId="166" fontId="15" fillId="0" borderId="2" xfId="1" applyNumberFormat="1" applyFont="1" applyFill="1" applyBorder="1" applyAlignment="1">
      <alignment vertical="top"/>
    </xf>
    <xf numFmtId="166" fontId="15" fillId="0" borderId="0" xfId="1" applyNumberFormat="1" applyFont="1" applyFill="1" applyBorder="1" applyAlignment="1">
      <alignment vertical="top"/>
    </xf>
    <xf numFmtId="166" fontId="12" fillId="0" borderId="1" xfId="1" applyNumberFormat="1" applyFont="1" applyBorder="1"/>
    <xf numFmtId="166" fontId="12" fillId="3" borderId="0" xfId="1" applyNumberFormat="1" applyFont="1" applyFill="1" applyBorder="1"/>
    <xf numFmtId="166" fontId="13" fillId="15" borderId="13" xfId="1" applyNumberFormat="1" applyFont="1" applyFill="1" applyBorder="1" applyAlignment="1">
      <alignment horizontal="right"/>
    </xf>
    <xf numFmtId="3" fontId="12" fillId="3" borderId="2" xfId="4" applyNumberFormat="1" applyFont="1" applyFill="1" applyBorder="1"/>
    <xf numFmtId="166" fontId="12" fillId="7" borderId="0" xfId="1" applyNumberFormat="1" applyFont="1" applyFill="1"/>
    <xf numFmtId="9" fontId="12" fillId="8" borderId="1" xfId="10" applyFont="1" applyFill="1" applyBorder="1"/>
    <xf numFmtId="9" fontId="12" fillId="8" borderId="0" xfId="10" applyFont="1" applyFill="1"/>
    <xf numFmtId="9" fontId="12" fillId="8" borderId="2" xfId="10" applyFont="1" applyFill="1" applyBorder="1"/>
    <xf numFmtId="166" fontId="12" fillId="0" borderId="2" xfId="1" applyNumberFormat="1" applyFont="1" applyBorder="1"/>
    <xf numFmtId="166" fontId="12" fillId="3" borderId="14" xfId="7" applyNumberFormat="1" applyFont="1" applyFill="1" applyBorder="1"/>
    <xf numFmtId="164" fontId="0" fillId="0" borderId="0" xfId="0" applyNumberFormat="1"/>
    <xf numFmtId="0" fontId="32" fillId="4" borderId="1" xfId="0" applyFont="1" applyFill="1" applyBorder="1"/>
    <xf numFmtId="0" fontId="32" fillId="4" borderId="4" xfId="0" applyFont="1" applyFill="1" applyBorder="1" applyAlignment="1">
      <alignment horizontal="center"/>
    </xf>
    <xf numFmtId="0" fontId="32" fillId="4" borderId="1" xfId="0" applyFont="1" applyFill="1" applyBorder="1" applyAlignment="1">
      <alignment horizontal="right"/>
    </xf>
    <xf numFmtId="0" fontId="33" fillId="4" borderId="1" xfId="4" applyFont="1" applyFill="1" applyBorder="1" applyAlignment="1">
      <alignment horizontal="right"/>
    </xf>
    <xf numFmtId="0" fontId="33" fillId="4" borderId="1" xfId="4" quotePrefix="1" applyFont="1" applyFill="1" applyBorder="1" applyAlignment="1">
      <alignment horizontal="right"/>
    </xf>
    <xf numFmtId="0" fontId="33" fillId="0" borderId="2" xfId="4" applyFont="1" applyBorder="1" applyAlignment="1">
      <alignment horizontal="right"/>
    </xf>
    <xf numFmtId="0" fontId="34" fillId="0" borderId="0" xfId="2" applyFont="1"/>
    <xf numFmtId="166" fontId="12" fillId="7" borderId="0" xfId="1" applyNumberFormat="1" applyFont="1" applyFill="1" applyAlignment="1">
      <alignment horizontal="right"/>
    </xf>
    <xf numFmtId="166" fontId="35" fillId="15" borderId="3" xfId="5" applyNumberFormat="1" applyFont="1" applyFill="1" applyBorder="1"/>
    <xf numFmtId="166" fontId="35" fillId="15" borderId="1" xfId="5" applyNumberFormat="1" applyFont="1" applyFill="1" applyBorder="1"/>
    <xf numFmtId="0" fontId="36" fillId="0" borderId="2" xfId="4" applyFont="1" applyBorder="1" applyAlignment="1">
      <alignment horizontal="right"/>
    </xf>
    <xf numFmtId="0" fontId="36" fillId="15" borderId="2" xfId="4" applyFont="1" applyFill="1" applyBorder="1" applyAlignment="1">
      <alignment horizontal="right"/>
    </xf>
    <xf numFmtId="166" fontId="35" fillId="16" borderId="3" xfId="5" applyNumberFormat="1" applyFont="1" applyFill="1" applyBorder="1"/>
    <xf numFmtId="166" fontId="0" fillId="0" borderId="0" xfId="0" applyNumberFormat="1"/>
    <xf numFmtId="168" fontId="39" fillId="17" borderId="2" xfId="11" applyNumberFormat="1" applyFont="1" applyFill="1" applyBorder="1" applyAlignment="1">
      <alignment horizontal="right"/>
    </xf>
    <xf numFmtId="168" fontId="12" fillId="18" borderId="2" xfId="11" applyNumberFormat="1" applyFont="1" applyFill="1" applyBorder="1" applyAlignment="1">
      <alignment horizontal="center"/>
    </xf>
    <xf numFmtId="0" fontId="28" fillId="18" borderId="2" xfId="4" applyFont="1" applyFill="1" applyBorder="1"/>
    <xf numFmtId="2" fontId="12" fillId="8" borderId="0" xfId="4" applyNumberFormat="1" applyFont="1" applyFill="1" applyAlignment="1">
      <alignment horizontal="right"/>
    </xf>
    <xf numFmtId="168" fontId="12" fillId="0" borderId="0" xfId="11" applyNumberFormat="1" applyFont="1" applyFill="1" applyBorder="1" applyAlignment="1">
      <alignment horizontal="center"/>
    </xf>
    <xf numFmtId="0" fontId="28" fillId="0" borderId="0" xfId="4" applyFont="1"/>
    <xf numFmtId="170" fontId="12" fillId="0" borderId="0" xfId="12" applyNumberFormat="1" applyFont="1" applyFill="1" applyBorder="1" applyAlignment="1"/>
    <xf numFmtId="10" fontId="12" fillId="8" borderId="0" xfId="11" applyNumberFormat="1" applyFont="1" applyFill="1" applyBorder="1" applyAlignment="1">
      <alignment horizontal="right"/>
    </xf>
    <xf numFmtId="0" fontId="28" fillId="0" borderId="1" xfId="4" applyFont="1" applyBorder="1"/>
    <xf numFmtId="0" fontId="40" fillId="0" borderId="0" xfId="4" applyFont="1"/>
    <xf numFmtId="168" fontId="39" fillId="17" borderId="0" xfId="6" applyNumberFormat="1" applyFont="1" applyFill="1"/>
    <xf numFmtId="10" fontId="12" fillId="8" borderId="2" xfId="4" applyNumberFormat="1" applyFont="1" applyFill="1" applyBorder="1"/>
    <xf numFmtId="10" fontId="12" fillId="8" borderId="0" xfId="4" applyNumberFormat="1" applyFont="1" applyFill="1"/>
    <xf numFmtId="0" fontId="12" fillId="0" borderId="1" xfId="4" applyFont="1" applyBorder="1" applyAlignment="1">
      <alignment horizontal="center" wrapText="1"/>
    </xf>
    <xf numFmtId="0" fontId="40" fillId="0" borderId="1" xfId="4" applyFont="1" applyBorder="1"/>
    <xf numFmtId="9" fontId="12" fillId="0" borderId="3" xfId="4" applyNumberFormat="1" applyFont="1" applyBorder="1"/>
    <xf numFmtId="0" fontId="12" fillId="0" borderId="3" xfId="4" applyFont="1" applyBorder="1"/>
    <xf numFmtId="168" fontId="39" fillId="17" borderId="2" xfId="13" applyNumberFormat="1" applyFont="1" applyFill="1" applyBorder="1" applyAlignment="1">
      <alignment horizontal="right"/>
    </xf>
    <xf numFmtId="168" fontId="28" fillId="8" borderId="2" xfId="14" applyNumberFormat="1" applyFont="1" applyFill="1" applyBorder="1" applyAlignment="1">
      <alignment horizontal="right"/>
    </xf>
    <xf numFmtId="168" fontId="12" fillId="8" borderId="2" xfId="14" applyNumberFormat="1" applyFont="1" applyFill="1" applyBorder="1" applyAlignment="1">
      <alignment horizontal="right"/>
    </xf>
    <xf numFmtId="0" fontId="12" fillId="18" borderId="2" xfId="14" applyFont="1" applyFill="1" applyBorder="1"/>
    <xf numFmtId="0" fontId="28" fillId="18" borderId="2" xfId="14" applyFont="1" applyFill="1" applyBorder="1"/>
    <xf numFmtId="9" fontId="28" fillId="0" borderId="0" xfId="14" applyNumberFormat="1" applyFont="1" applyAlignment="1">
      <alignment horizontal="right"/>
    </xf>
    <xf numFmtId="9" fontId="28" fillId="0" borderId="0" xfId="13" applyFont="1" applyAlignment="1">
      <alignment horizontal="right"/>
    </xf>
    <xf numFmtId="9" fontId="12" fillId="0" borderId="0" xfId="13" applyFont="1" applyAlignment="1">
      <alignment horizontal="right"/>
    </xf>
    <xf numFmtId="0" fontId="12" fillId="0" borderId="0" xfId="14" applyFont="1"/>
    <xf numFmtId="0" fontId="28" fillId="0" borderId="0" xfId="14" applyFont="1"/>
    <xf numFmtId="171" fontId="28" fillId="7" borderId="0" xfId="14" applyNumberFormat="1" applyFont="1" applyFill="1" applyAlignment="1">
      <alignment horizontal="center"/>
    </xf>
    <xf numFmtId="171" fontId="12" fillId="7" borderId="0" xfId="14" applyNumberFormat="1" applyFont="1" applyFill="1"/>
    <xf numFmtId="0" fontId="12" fillId="7" borderId="0" xfId="14" applyFont="1" applyFill="1"/>
    <xf numFmtId="0" fontId="28" fillId="7" borderId="0" xfId="14" applyFont="1" applyFill="1"/>
    <xf numFmtId="0" fontId="41" fillId="0" borderId="2" xfId="14" applyFont="1" applyBorder="1" applyAlignment="1">
      <alignment horizontal="center" vertical="center" wrapText="1"/>
    </xf>
    <xf numFmtId="0" fontId="13" fillId="0" borderId="2" xfId="14" applyFont="1" applyBorder="1" applyAlignment="1">
      <alignment horizontal="center" vertical="center" wrapText="1"/>
    </xf>
    <xf numFmtId="0" fontId="12" fillId="0" borderId="2" xfId="14" applyFont="1" applyBorder="1"/>
    <xf numFmtId="0" fontId="41" fillId="0" borderId="2" xfId="14" applyFont="1" applyBorder="1" applyAlignment="1">
      <alignment vertical="center"/>
    </xf>
    <xf numFmtId="0" fontId="42" fillId="0" borderId="0" xfId="14" applyFont="1"/>
    <xf numFmtId="0" fontId="41" fillId="0" borderId="0" xfId="14" applyFont="1"/>
    <xf numFmtId="171" fontId="39" fillId="17" borderId="15" xfId="4" applyNumberFormat="1" applyFont="1" applyFill="1" applyBorder="1"/>
    <xf numFmtId="0" fontId="45" fillId="0" borderId="16" xfId="4" applyFont="1" applyBorder="1"/>
    <xf numFmtId="0" fontId="45" fillId="0" borderId="17" xfId="4" applyFont="1" applyBorder="1"/>
    <xf numFmtId="171" fontId="12" fillId="7" borderId="18" xfId="4" applyNumberFormat="1" applyFont="1" applyFill="1" applyBorder="1"/>
    <xf numFmtId="0" fontId="46" fillId="0" borderId="0" xfId="4" quotePrefix="1" applyFont="1"/>
    <xf numFmtId="0" fontId="46" fillId="0" borderId="19" xfId="4" quotePrefix="1" applyFont="1" applyBorder="1"/>
    <xf numFmtId="171" fontId="12" fillId="0" borderId="20" xfId="4" applyNumberFormat="1" applyFont="1" applyBorder="1"/>
    <xf numFmtId="0" fontId="45" fillId="0" borderId="3" xfId="4" applyFont="1" applyBorder="1"/>
    <xf numFmtId="0" fontId="45" fillId="0" borderId="21" xfId="4" applyFont="1" applyBorder="1"/>
    <xf numFmtId="171" fontId="12" fillId="0" borderId="18" xfId="4" applyNumberFormat="1" applyFont="1" applyBorder="1"/>
    <xf numFmtId="0" fontId="28" fillId="0" borderId="19" xfId="4" applyFont="1" applyBorder="1"/>
    <xf numFmtId="171" fontId="13" fillId="0" borderId="20" xfId="4" applyNumberFormat="1" applyFont="1" applyBorder="1"/>
    <xf numFmtId="168" fontId="12" fillId="0" borderId="18" xfId="4" applyNumberFormat="1" applyFont="1" applyBorder="1"/>
    <xf numFmtId="9" fontId="12" fillId="0" borderId="18" xfId="11" applyFont="1" applyBorder="1"/>
    <xf numFmtId="171" fontId="12" fillId="0" borderId="18" xfId="4" applyNumberFormat="1" applyFont="1" applyBorder="1" applyAlignment="1">
      <alignment horizontal="center"/>
    </xf>
    <xf numFmtId="172" fontId="28" fillId="0" borderId="0" xfId="4" applyNumberFormat="1" applyFont="1"/>
    <xf numFmtId="172" fontId="28" fillId="0" borderId="19" xfId="4" applyNumberFormat="1" applyFont="1" applyBorder="1"/>
    <xf numFmtId="0" fontId="28" fillId="0" borderId="22" xfId="4" applyFont="1" applyBorder="1"/>
    <xf numFmtId="0" fontId="41" fillId="0" borderId="23" xfId="4" applyFont="1" applyBorder="1"/>
    <xf numFmtId="0" fontId="41" fillId="0" borderId="24" xfId="4" applyFont="1" applyBorder="1"/>
    <xf numFmtId="0" fontId="13" fillId="4" borderId="7" xfId="4" applyFont="1" applyFill="1" applyBorder="1"/>
    <xf numFmtId="169" fontId="47" fillId="0" borderId="0" xfId="14" applyNumberFormat="1" applyFont="1"/>
    <xf numFmtId="173" fontId="12" fillId="3" borderId="0" xfId="5" applyNumberFormat="1" applyFont="1" applyFill="1" applyBorder="1"/>
    <xf numFmtId="168" fontId="13" fillId="8" borderId="3" xfId="6" applyNumberFormat="1" applyFont="1" applyFill="1" applyBorder="1"/>
    <xf numFmtId="3" fontId="13" fillId="3" borderId="0" xfId="5" applyNumberFormat="1" applyFont="1" applyFill="1" applyBorder="1"/>
    <xf numFmtId="166" fontId="12" fillId="8" borderId="2" xfId="1" applyNumberFormat="1" applyFont="1" applyFill="1" applyBorder="1"/>
    <xf numFmtId="0" fontId="12" fillId="3" borderId="25" xfId="4" applyFont="1" applyFill="1" applyBorder="1"/>
    <xf numFmtId="0" fontId="12" fillId="3" borderId="26" xfId="4" applyFont="1" applyFill="1" applyBorder="1"/>
    <xf numFmtId="0" fontId="12" fillId="3" borderId="19" xfId="4" applyFont="1" applyFill="1" applyBorder="1"/>
    <xf numFmtId="0" fontId="12" fillId="3" borderId="0" xfId="4" applyFont="1" applyFill="1" applyBorder="1"/>
    <xf numFmtId="0" fontId="12" fillId="3" borderId="28" xfId="4" applyFont="1" applyFill="1" applyBorder="1"/>
    <xf numFmtId="0" fontId="12" fillId="3" borderId="29" xfId="4" applyFont="1" applyFill="1" applyBorder="1"/>
    <xf numFmtId="166" fontId="12" fillId="3" borderId="27" xfId="1" applyNumberFormat="1" applyFont="1" applyFill="1" applyBorder="1"/>
    <xf numFmtId="174" fontId="48" fillId="3" borderId="18" xfId="1" applyNumberFormat="1" applyFont="1" applyFill="1" applyBorder="1"/>
    <xf numFmtId="174" fontId="49" fillId="3" borderId="30" xfId="4" applyNumberFormat="1" applyFont="1" applyFill="1" applyBorder="1"/>
    <xf numFmtId="0" fontId="50" fillId="0" borderId="0" xfId="0" applyFont="1"/>
    <xf numFmtId="0" fontId="5" fillId="14" borderId="0" xfId="2" applyFont="1" applyFill="1" applyBorder="1"/>
    <xf numFmtId="164" fontId="8" fillId="0" borderId="0" xfId="0" applyNumberFormat="1" applyFont="1" applyBorder="1"/>
    <xf numFmtId="164" fontId="4" fillId="0" borderId="0" xfId="2" applyNumberFormat="1" applyFont="1" applyBorder="1" applyAlignment="1">
      <alignment horizontal="right"/>
    </xf>
    <xf numFmtId="164" fontId="4" fillId="0" borderId="0" xfId="2" applyNumberFormat="1" applyFont="1" applyBorder="1"/>
    <xf numFmtId="0" fontId="4" fillId="0" borderId="0" xfId="2" applyFont="1" applyBorder="1"/>
    <xf numFmtId="0" fontId="5" fillId="0" borderId="0" xfId="2" applyFont="1" applyBorder="1"/>
    <xf numFmtId="164" fontId="4" fillId="0" borderId="0" xfId="0" applyNumberFormat="1" applyFont="1" applyBorder="1" applyAlignment="1">
      <alignment horizontal="right"/>
    </xf>
    <xf numFmtId="164" fontId="8" fillId="7" borderId="0" xfId="0" applyNumberFormat="1" applyFont="1" applyFill="1" applyBorder="1"/>
    <xf numFmtId="0" fontId="6" fillId="0" borderId="0" xfId="2" applyFont="1" applyBorder="1"/>
    <xf numFmtId="164" fontId="6" fillId="0" borderId="0" xfId="2" applyNumberFormat="1" applyFont="1" applyBorder="1" applyAlignment="1">
      <alignment horizontal="right"/>
    </xf>
    <xf numFmtId="164" fontId="5" fillId="0" borderId="0" xfId="2" applyNumberFormat="1" applyFont="1" applyBorder="1" applyAlignment="1">
      <alignment horizontal="right"/>
    </xf>
    <xf numFmtId="164" fontId="4" fillId="7" borderId="0" xfId="2" applyNumberFormat="1" applyFont="1" applyFill="1" applyBorder="1" applyAlignment="1">
      <alignment horizontal="right"/>
    </xf>
    <xf numFmtId="165" fontId="4" fillId="0" borderId="0" xfId="2" applyNumberFormat="1" applyFont="1" applyBorder="1" applyAlignment="1">
      <alignment horizontal="right"/>
    </xf>
    <xf numFmtId="0" fontId="7" fillId="2" borderId="0" xfId="0" applyFont="1" applyFill="1" applyBorder="1" applyAlignment="1">
      <alignment horizontal="left"/>
    </xf>
    <xf numFmtId="0" fontId="7" fillId="2" borderId="0" xfId="0" applyFont="1" applyFill="1" applyBorder="1"/>
    <xf numFmtId="0" fontId="5" fillId="0" borderId="34" xfId="2" applyFont="1" applyBorder="1"/>
    <xf numFmtId="164" fontId="8" fillId="0" borderId="35" xfId="0" applyNumberFormat="1" applyFont="1" applyBorder="1"/>
    <xf numFmtId="164" fontId="8" fillId="0" borderId="31" xfId="0" applyNumberFormat="1" applyFont="1" applyBorder="1"/>
    <xf numFmtId="164" fontId="5" fillId="0" borderId="31" xfId="2" applyNumberFormat="1" applyFont="1" applyBorder="1" applyAlignment="1">
      <alignment horizontal="right"/>
    </xf>
    <xf numFmtId="164" fontId="4" fillId="0" borderId="31" xfId="2" applyNumberFormat="1" applyFont="1" applyBorder="1" applyAlignment="1">
      <alignment horizontal="right"/>
    </xf>
    <xf numFmtId="164" fontId="6" fillId="0" borderId="31" xfId="2" applyNumberFormat="1" applyFont="1" applyBorder="1" applyAlignment="1">
      <alignment horizontal="right"/>
    </xf>
    <xf numFmtId="0" fontId="4" fillId="0" borderId="37" xfId="2" applyFont="1" applyBorder="1"/>
    <xf numFmtId="0" fontId="5" fillId="0" borderId="37" xfId="2" applyFont="1" applyBorder="1"/>
    <xf numFmtId="0" fontId="4" fillId="0" borderId="38" xfId="2" applyFont="1" applyBorder="1"/>
    <xf numFmtId="0" fontId="4" fillId="0" borderId="39" xfId="2" applyFont="1" applyBorder="1"/>
    <xf numFmtId="164" fontId="8" fillId="0" borderId="40" xfId="0" applyNumberFormat="1" applyFont="1" applyBorder="1"/>
    <xf numFmtId="0" fontId="5" fillId="0" borderId="41" xfId="2" applyFont="1" applyBorder="1"/>
    <xf numFmtId="0" fontId="4" fillId="14" borderId="41" xfId="2" applyFont="1" applyFill="1" applyBorder="1"/>
    <xf numFmtId="0" fontId="5" fillId="14" borderId="34" xfId="2" applyFont="1" applyFill="1" applyBorder="1"/>
    <xf numFmtId="164" fontId="8" fillId="0" borderId="34" xfId="0" applyNumberFormat="1" applyFont="1" applyBorder="1"/>
    <xf numFmtId="164" fontId="4" fillId="0" borderId="34" xfId="2" applyNumberFormat="1" applyFont="1" applyBorder="1" applyAlignment="1">
      <alignment horizontal="right"/>
    </xf>
    <xf numFmtId="164" fontId="29" fillId="0" borderId="35" xfId="0" applyNumberFormat="1" applyFont="1" applyBorder="1"/>
    <xf numFmtId="0" fontId="4" fillId="14" borderId="37" xfId="2" applyFont="1" applyFill="1" applyBorder="1"/>
    <xf numFmtId="164" fontId="30" fillId="0" borderId="31" xfId="0" applyNumberFormat="1" applyFont="1" applyBorder="1"/>
    <xf numFmtId="164" fontId="29" fillId="0" borderId="31" xfId="0" applyNumberFormat="1" applyFont="1" applyBorder="1"/>
    <xf numFmtId="0" fontId="4" fillId="0" borderId="41" xfId="2" applyFont="1" applyBorder="1"/>
    <xf numFmtId="164" fontId="4" fillId="7" borderId="31" xfId="2" applyNumberFormat="1" applyFont="1" applyFill="1" applyBorder="1" applyAlignment="1">
      <alignment horizontal="right"/>
    </xf>
    <xf numFmtId="164" fontId="4" fillId="0" borderId="31" xfId="2" applyNumberFormat="1" applyFont="1" applyBorder="1"/>
    <xf numFmtId="164" fontId="4" fillId="0" borderId="39" xfId="2" applyNumberFormat="1" applyFont="1" applyBorder="1" applyAlignment="1">
      <alignment horizontal="right"/>
    </xf>
    <xf numFmtId="165" fontId="4" fillId="0" borderId="39" xfId="2" applyNumberFormat="1" applyFont="1" applyBorder="1" applyAlignment="1">
      <alignment horizontal="right"/>
    </xf>
    <xf numFmtId="165" fontId="4" fillId="0" borderId="40" xfId="2" applyNumberFormat="1" applyFont="1" applyBorder="1" applyAlignment="1">
      <alignment horizontal="right"/>
    </xf>
    <xf numFmtId="164" fontId="4" fillId="7" borderId="33" xfId="2" applyNumberFormat="1" applyFont="1" applyFill="1" applyBorder="1" applyAlignment="1">
      <alignment horizontal="right"/>
    </xf>
    <xf numFmtId="164" fontId="5" fillId="0" borderId="36" xfId="2" applyNumberFormat="1" applyFont="1" applyBorder="1" applyAlignment="1">
      <alignment horizontal="right"/>
    </xf>
    <xf numFmtId="164" fontId="8" fillId="0" borderId="42" xfId="0" applyNumberFormat="1" applyFont="1" applyBorder="1"/>
    <xf numFmtId="164" fontId="31" fillId="0" borderId="36" xfId="0" applyNumberFormat="1" applyFont="1" applyBorder="1"/>
    <xf numFmtId="164" fontId="8" fillId="0" borderId="38" xfId="0" applyNumberFormat="1" applyFont="1" applyBorder="1"/>
    <xf numFmtId="164" fontId="8" fillId="0" borderId="32" xfId="0" applyNumberFormat="1" applyFont="1" applyBorder="1"/>
    <xf numFmtId="43" fontId="0" fillId="0" borderId="0" xfId="0" applyNumberFormat="1"/>
    <xf numFmtId="3" fontId="2" fillId="0" borderId="0" xfId="0" applyNumberFormat="1" applyFont="1" applyFill="1"/>
    <xf numFmtId="166" fontId="12" fillId="17" borderId="2" xfId="1" applyNumberFormat="1" applyFont="1" applyFill="1" applyBorder="1"/>
    <xf numFmtId="175" fontId="12" fillId="3" borderId="0" xfId="4" applyNumberFormat="1" applyFont="1" applyFill="1"/>
    <xf numFmtId="176" fontId="0" fillId="0" borderId="0" xfId="0" applyNumberFormat="1"/>
    <xf numFmtId="9" fontId="22" fillId="17" borderId="0" xfId="4" applyNumberFormat="1" applyFont="1" applyFill="1"/>
    <xf numFmtId="43" fontId="12" fillId="7" borderId="0" xfId="1" applyFont="1" applyFill="1"/>
    <xf numFmtId="0" fontId="12" fillId="19" borderId="0" xfId="4" applyFont="1" applyFill="1"/>
    <xf numFmtId="0" fontId="51" fillId="0" borderId="0" xfId="0" applyFont="1"/>
    <xf numFmtId="0" fontId="0" fillId="7" borderId="0" xfId="0" applyFill="1"/>
    <xf numFmtId="0" fontId="0" fillId="7" borderId="26" xfId="0" applyFill="1" applyBorder="1"/>
    <xf numFmtId="0" fontId="0" fillId="7" borderId="27" xfId="0" applyFill="1" applyBorder="1"/>
    <xf numFmtId="0" fontId="0" fillId="7" borderId="0" xfId="0" applyFill="1" applyBorder="1"/>
    <xf numFmtId="0" fontId="0" fillId="7" borderId="29" xfId="0" applyFill="1" applyBorder="1"/>
    <xf numFmtId="0" fontId="0" fillId="7" borderId="2" xfId="0" applyFill="1" applyBorder="1"/>
    <xf numFmtId="0" fontId="0" fillId="7" borderId="23" xfId="0" applyFill="1" applyBorder="1"/>
    <xf numFmtId="0" fontId="0" fillId="7" borderId="22" xfId="0" applyFill="1" applyBorder="1"/>
    <xf numFmtId="0" fontId="0" fillId="7" borderId="3" xfId="0" applyFill="1" applyBorder="1"/>
    <xf numFmtId="172" fontId="53" fillId="7" borderId="19" xfId="0" applyNumberFormat="1" applyFont="1" applyFill="1" applyBorder="1"/>
    <xf numFmtId="0" fontId="54" fillId="7" borderId="19" xfId="0" quotePrefix="1" applyFont="1" applyFill="1" applyBorder="1"/>
    <xf numFmtId="0" fontId="55" fillId="7" borderId="28" xfId="0" applyFont="1" applyFill="1" applyBorder="1"/>
    <xf numFmtId="172" fontId="53" fillId="7" borderId="24" xfId="0" applyNumberFormat="1" applyFont="1" applyFill="1" applyBorder="1"/>
    <xf numFmtId="0" fontId="54" fillId="7" borderId="43" xfId="0" applyFont="1" applyFill="1" applyBorder="1"/>
    <xf numFmtId="0" fontId="55" fillId="7" borderId="21" xfId="0" applyFont="1" applyFill="1" applyBorder="1"/>
    <xf numFmtId="0" fontId="54" fillId="7" borderId="43" xfId="0" quotePrefix="1" applyFont="1" applyFill="1" applyBorder="1"/>
    <xf numFmtId="3" fontId="0" fillId="7" borderId="18" xfId="0" applyNumberFormat="1" applyFill="1" applyBorder="1"/>
    <xf numFmtId="3" fontId="0" fillId="7" borderId="44" xfId="0" applyNumberFormat="1" applyFill="1" applyBorder="1"/>
    <xf numFmtId="0" fontId="56" fillId="0" borderId="0" xfId="14" applyFont="1"/>
    <xf numFmtId="3" fontId="0" fillId="20" borderId="30" xfId="0" applyNumberFormat="1" applyFill="1" applyBorder="1"/>
    <xf numFmtId="0" fontId="52" fillId="7" borderId="0" xfId="0" applyFont="1" applyFill="1"/>
    <xf numFmtId="0" fontId="0" fillId="7" borderId="25" xfId="0" applyFill="1" applyBorder="1"/>
    <xf numFmtId="3" fontId="0" fillId="7" borderId="20" xfId="0" applyNumberFormat="1" applyFill="1" applyBorder="1"/>
    <xf numFmtId="2" fontId="0" fillId="20" borderId="0" xfId="0" applyNumberFormat="1" applyFill="1"/>
    <xf numFmtId="2" fontId="0" fillId="20" borderId="44" xfId="0" applyNumberFormat="1" applyFill="1" applyBorder="1"/>
    <xf numFmtId="0" fontId="0" fillId="7" borderId="18" xfId="0" applyFill="1" applyBorder="1"/>
    <xf numFmtId="9" fontId="0" fillId="7" borderId="0" xfId="10" applyFont="1" applyFill="1"/>
    <xf numFmtId="0" fontId="52" fillId="21" borderId="19" xfId="0" applyFont="1" applyFill="1" applyBorder="1" applyAlignment="1">
      <alignment horizontal="left" vertical="center"/>
    </xf>
    <xf numFmtId="0" fontId="0" fillId="7" borderId="19" xfId="0" applyFill="1" applyBorder="1" applyAlignment="1">
      <alignment horizontal="left"/>
    </xf>
    <xf numFmtId="0" fontId="52" fillId="21" borderId="18" xfId="0" applyFont="1" applyFill="1" applyBorder="1" applyAlignment="1">
      <alignment horizontal="center" vertical="center"/>
    </xf>
    <xf numFmtId="0" fontId="0" fillId="7" borderId="18" xfId="0" applyFill="1" applyBorder="1" applyAlignment="1">
      <alignment horizontal="center"/>
    </xf>
    <xf numFmtId="0" fontId="0" fillId="7" borderId="18" xfId="0" applyNumberFormat="1" applyFill="1" applyBorder="1" applyAlignment="1">
      <alignment horizontal="center"/>
    </xf>
    <xf numFmtId="0" fontId="52" fillId="21" borderId="0" xfId="0" applyFont="1" applyFill="1" applyBorder="1" applyAlignment="1">
      <alignment horizontal="center" vertical="center"/>
    </xf>
    <xf numFmtId="0" fontId="0" fillId="7" borderId="0" xfId="0" applyFill="1" applyBorder="1" applyAlignment="1">
      <alignment horizontal="center"/>
    </xf>
    <xf numFmtId="0" fontId="52" fillId="7" borderId="28" xfId="0" applyFont="1" applyFill="1" applyBorder="1"/>
    <xf numFmtId="0" fontId="52" fillId="7" borderId="29" xfId="0" applyFont="1" applyFill="1" applyBorder="1" applyAlignment="1">
      <alignment horizontal="center"/>
    </xf>
    <xf numFmtId="0" fontId="52" fillId="7" borderId="30" xfId="0" applyFont="1" applyFill="1" applyBorder="1" applyAlignment="1">
      <alignment horizontal="center"/>
    </xf>
    <xf numFmtId="0" fontId="0" fillId="22" borderId="19" xfId="0" applyFill="1" applyBorder="1" applyAlignment="1">
      <alignment horizontal="left"/>
    </xf>
    <xf numFmtId="0" fontId="0" fillId="22" borderId="0" xfId="0" applyFill="1" applyBorder="1" applyAlignment="1">
      <alignment horizontal="center"/>
    </xf>
    <xf numFmtId="0" fontId="0" fillId="22" borderId="18" xfId="0" applyFill="1" applyBorder="1" applyAlignment="1">
      <alignment horizontal="center"/>
    </xf>
    <xf numFmtId="0" fontId="57" fillId="3" borderId="25" xfId="4" applyFont="1" applyFill="1" applyBorder="1"/>
    <xf numFmtId="0" fontId="57" fillId="3" borderId="19" xfId="4" applyFont="1" applyFill="1" applyBorder="1"/>
    <xf numFmtId="0" fontId="57" fillId="3" borderId="28" xfId="4" applyFont="1" applyFill="1" applyBorder="1"/>
    <xf numFmtId="165" fontId="13" fillId="3" borderId="4" xfId="3" applyFont="1" applyFill="1" applyBorder="1" applyAlignment="1">
      <alignment horizontal="center" vertical="center" wrapText="1"/>
    </xf>
    <xf numFmtId="165" fontId="13" fillId="3" borderId="6" xfId="3" applyFont="1" applyFill="1" applyBorder="1" applyAlignment="1">
      <alignment horizontal="center" vertical="center" wrapText="1"/>
    </xf>
    <xf numFmtId="165" fontId="12" fillId="3" borderId="4" xfId="3" applyFont="1" applyFill="1" applyBorder="1" applyAlignment="1">
      <alignment horizontal="center" vertical="center" wrapText="1"/>
    </xf>
    <xf numFmtId="165" fontId="12" fillId="3" borderId="6" xfId="3" applyFont="1" applyFill="1" applyBorder="1" applyAlignment="1">
      <alignment horizontal="center" vertical="center" wrapText="1"/>
    </xf>
    <xf numFmtId="165" fontId="12" fillId="3" borderId="9" xfId="3" applyFont="1" applyFill="1" applyBorder="1" applyAlignment="1">
      <alignment horizontal="center" vertical="center" wrapText="1"/>
    </xf>
    <xf numFmtId="165" fontId="12" fillId="3" borderId="12" xfId="3" applyFont="1" applyFill="1" applyBorder="1" applyAlignment="1">
      <alignment horizontal="center" vertical="center" wrapText="1"/>
    </xf>
    <xf numFmtId="165" fontId="12" fillId="3" borderId="5" xfId="3" applyFont="1" applyFill="1" applyBorder="1" applyAlignment="1">
      <alignment horizontal="center" vertical="center" wrapText="1"/>
    </xf>
    <xf numFmtId="178" fontId="0" fillId="7" borderId="18" xfId="0" applyNumberFormat="1" applyFill="1" applyBorder="1"/>
    <xf numFmtId="178" fontId="27" fillId="3" borderId="30" xfId="4" applyNumberFormat="1" applyFont="1" applyFill="1" applyBorder="1"/>
  </cellXfs>
  <cellStyles count="15">
    <cellStyle name="Comma" xfId="1" builtinId="3"/>
    <cellStyle name="Comma 2" xfId="5" xr:uid="{00000000-0005-0000-0000-000001000000}"/>
    <cellStyle name="Comma 3 5" xfId="12" xr:uid="{00000000-0005-0000-0000-000002000000}"/>
    <cellStyle name="Comma 49" xfId="7" xr:uid="{00000000-0005-0000-0000-000003000000}"/>
    <cellStyle name="Comma_Copy of Tiryaki Model (EBRD)_v10" xfId="3" xr:uid="{00000000-0005-0000-0000-000004000000}"/>
    <cellStyle name="Normal" xfId="0" builtinId="0"/>
    <cellStyle name="Normal 2" xfId="4" xr:uid="{00000000-0005-0000-0000-000006000000}"/>
    <cellStyle name="Normal 3 3" xfId="9" xr:uid="{00000000-0005-0000-0000-000007000000}"/>
    <cellStyle name="Normal 3 6" xfId="14" xr:uid="{00000000-0005-0000-0000-000008000000}"/>
    <cellStyle name="Normal_Tat_Konserve_financials_v5" xfId="2" xr:uid="{00000000-0005-0000-0000-000009000000}"/>
    <cellStyle name="Percent" xfId="10" builtinId="5"/>
    <cellStyle name="Percent 12" xfId="8" xr:uid="{00000000-0005-0000-0000-00000B000000}"/>
    <cellStyle name="Percent 13" xfId="11" xr:uid="{00000000-0005-0000-0000-00000C000000}"/>
    <cellStyle name="Percent 2" xfId="6" xr:uid="{00000000-0005-0000-0000-00000D000000}"/>
    <cellStyle name="Percent 32" xfId="13" xr:uid="{00000000-0005-0000-0000-00000E000000}"/>
  </cellStyles>
  <dxfs count="8">
    <dxf>
      <font>
        <b/>
        <i val="0"/>
        <condense val="0"/>
        <extend val="0"/>
        <color rgb="FFFF0000"/>
      </font>
      <fill>
        <patternFill>
          <bgColor rgb="FFFFFF00"/>
        </patternFill>
      </fill>
    </dxf>
    <dxf>
      <font>
        <b/>
        <i val="0"/>
        <condense val="0"/>
        <extend val="0"/>
        <color rgb="FFFF0000"/>
      </font>
      <fill>
        <patternFill>
          <bgColor rgb="FFFFFF00"/>
        </patternFill>
      </fill>
    </dxf>
    <dxf>
      <font>
        <b/>
        <i val="0"/>
        <condense val="0"/>
        <extend val="0"/>
        <color rgb="FFFF0000"/>
      </font>
      <fill>
        <patternFill>
          <bgColor rgb="FFFFFF00"/>
        </patternFill>
      </fill>
    </dxf>
    <dxf>
      <font>
        <b/>
        <i val="0"/>
        <condense val="0"/>
        <extend val="0"/>
        <color rgb="FFFF0000"/>
      </font>
      <fill>
        <patternFill>
          <bgColor rgb="FFFFFF00"/>
        </patternFill>
      </fill>
    </dxf>
    <dxf>
      <font>
        <b/>
        <i val="0"/>
        <condense val="0"/>
        <extend val="0"/>
        <color rgb="FFFF0000"/>
      </font>
      <fill>
        <patternFill>
          <bgColor rgb="FFFFFF00"/>
        </patternFill>
      </fill>
    </dxf>
    <dxf>
      <font>
        <b/>
        <i val="0"/>
        <condense val="0"/>
        <extend val="0"/>
        <color rgb="FFFF0000"/>
      </font>
      <fill>
        <patternFill>
          <bgColor rgb="FFFFFF00"/>
        </patternFill>
      </fill>
    </dxf>
    <dxf>
      <font>
        <b/>
        <i val="0"/>
        <condense val="0"/>
        <extend val="0"/>
        <color rgb="FFFF0000"/>
      </font>
      <fill>
        <patternFill>
          <bgColor rgb="FFFFFF00"/>
        </patternFill>
      </fill>
    </dxf>
    <dxf>
      <font>
        <b/>
        <i val="0"/>
        <condense val="0"/>
        <extend val="0"/>
        <color rgb="FFFF0000"/>
      </font>
      <fill>
        <patternFill>
          <bgColor rgb="FFFFFF00"/>
        </patternFill>
      </fill>
    </dxf>
  </dxfs>
  <tableStyles count="0" defaultTableStyle="TableStyleMedium2" defaultPivotStyle="PivotStyleLight16"/>
  <colors>
    <mruColors>
      <color rgb="FFFFE6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7</xdr:col>
      <xdr:colOff>413657</xdr:colOff>
      <xdr:row>5</xdr:row>
      <xdr:rowOff>140828</xdr:rowOff>
    </xdr:to>
    <xdr:pic>
      <xdr:nvPicPr>
        <xdr:cNvPr id="3" name="Picture 2" descr="page45image43354176">
          <a:extLst>
            <a:ext uri="{FF2B5EF4-FFF2-40B4-BE49-F238E27FC236}">
              <a16:creationId xmlns:a16="http://schemas.microsoft.com/office/drawing/2014/main" id="{B82A48D0-BADF-455B-9ACC-28347A91D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3057" y="925286"/>
          <a:ext cx="1143000" cy="140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480060</xdr:colOff>
      <xdr:row>34</xdr:row>
      <xdr:rowOff>38100</xdr:rowOff>
    </xdr:from>
    <xdr:ext cx="7924800" cy="1089660"/>
    <xdr:pic>
      <xdr:nvPicPr>
        <xdr:cNvPr id="2" name="Picture 1">
          <a:extLst>
            <a:ext uri="{FF2B5EF4-FFF2-40B4-BE49-F238E27FC236}">
              <a16:creationId xmlns:a16="http://schemas.microsoft.com/office/drawing/2014/main" id="{8464699B-0E00-4922-BBB3-7016BA5B60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66460" y="6774180"/>
          <a:ext cx="7924800" cy="1089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480060</xdr:colOff>
      <xdr:row>0</xdr:row>
      <xdr:rowOff>91440</xdr:rowOff>
    </xdr:from>
    <xdr:ext cx="3779520" cy="692331"/>
    <xdr:pic>
      <xdr:nvPicPr>
        <xdr:cNvPr id="2" name="Picture 1">
          <a:extLst>
            <a:ext uri="{FF2B5EF4-FFF2-40B4-BE49-F238E27FC236}">
              <a16:creationId xmlns:a16="http://schemas.microsoft.com/office/drawing/2014/main" id="{F4589FFB-E620-42CA-86F4-2379691950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0060" y="91440"/>
          <a:ext cx="3779520" cy="6923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533400</xdr:colOff>
      <xdr:row>4</xdr:row>
      <xdr:rowOff>60960</xdr:rowOff>
    </xdr:from>
    <xdr:ext cx="4054929" cy="1967049"/>
    <xdr:pic>
      <xdr:nvPicPr>
        <xdr:cNvPr id="3" name="Picture 2">
          <a:extLst>
            <a:ext uri="{FF2B5EF4-FFF2-40B4-BE49-F238E27FC236}">
              <a16:creationId xmlns:a16="http://schemas.microsoft.com/office/drawing/2014/main" id="{8DBA84D4-4138-41AF-8E62-8ECAE049DD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0" y="853440"/>
          <a:ext cx="4054929" cy="19670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518160</xdr:colOff>
      <xdr:row>1</xdr:row>
      <xdr:rowOff>106680</xdr:rowOff>
    </xdr:from>
    <xdr:ext cx="4427220" cy="2071551"/>
    <xdr:pic>
      <xdr:nvPicPr>
        <xdr:cNvPr id="5" name="Picture 4">
          <a:extLst>
            <a:ext uri="{FF2B5EF4-FFF2-40B4-BE49-F238E27FC236}">
              <a16:creationId xmlns:a16="http://schemas.microsoft.com/office/drawing/2014/main" id="{A088A30D-1AAA-4854-B2CD-80683D9287C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47560" y="304800"/>
          <a:ext cx="4427220" cy="20715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xdr:col>
      <xdr:colOff>990600</xdr:colOff>
      <xdr:row>1</xdr:row>
      <xdr:rowOff>91440</xdr:rowOff>
    </xdr:from>
    <xdr:ext cx="3858985" cy="549728"/>
    <xdr:pic>
      <xdr:nvPicPr>
        <xdr:cNvPr id="6" name="Picture 5">
          <a:extLst>
            <a:ext uri="{FF2B5EF4-FFF2-40B4-BE49-F238E27FC236}">
              <a16:creationId xmlns:a16="http://schemas.microsoft.com/office/drawing/2014/main" id="{71BD5357-DFD1-4B98-AFFE-E087AEBBD0B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14700" y="289560"/>
          <a:ext cx="3858985" cy="549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20</xdr:col>
      <xdr:colOff>96983</xdr:colOff>
      <xdr:row>0</xdr:row>
      <xdr:rowOff>207817</xdr:rowOff>
    </xdr:from>
    <xdr:ext cx="5043054" cy="2216727"/>
    <xdr:sp macro="" textlink="">
      <xdr:nvSpPr>
        <xdr:cNvPr id="2" name="TextBox 1">
          <a:extLst>
            <a:ext uri="{FF2B5EF4-FFF2-40B4-BE49-F238E27FC236}">
              <a16:creationId xmlns:a16="http://schemas.microsoft.com/office/drawing/2014/main" id="{4D2BC198-0BC7-441A-98D7-E676936DEDDE}"/>
            </a:ext>
          </a:extLst>
        </xdr:cNvPr>
        <xdr:cNvSpPr txBox="1"/>
      </xdr:nvSpPr>
      <xdr:spPr>
        <a:xfrm>
          <a:off x="17304328" y="207817"/>
          <a:ext cx="5043054" cy="22167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tr-TR" sz="1200"/>
            <a:t>Inflation expectation for the long term is around 8%</a:t>
          </a:r>
        </a:p>
        <a:p>
          <a:r>
            <a:rPr lang="tr-TR" sz="1200"/>
            <a:t>We</a:t>
          </a:r>
          <a:r>
            <a:rPr lang="tr-TR" sz="1200" baseline="0"/>
            <a:t> assumed that the company would grow +2% added to inflation.</a:t>
          </a:r>
        </a:p>
        <a:p>
          <a:endParaRPr lang="tr-TR" sz="1200" baseline="0"/>
        </a:p>
        <a:p>
          <a:r>
            <a:rPr lang="tr-TR" sz="1200" baseline="0"/>
            <a:t>For gross margin and opex,</a:t>
          </a:r>
        </a:p>
        <a:p>
          <a:r>
            <a:rPr lang="tr-TR" sz="1200" baseline="0"/>
            <a:t>  our assumption is to have a rate that is average of every 5 years(dynamic).</a:t>
          </a:r>
        </a:p>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21</xdr:col>
      <xdr:colOff>166255</xdr:colOff>
      <xdr:row>3</xdr:row>
      <xdr:rowOff>110836</xdr:rowOff>
    </xdr:from>
    <xdr:ext cx="4308102" cy="665019"/>
    <xdr:sp macro="" textlink="">
      <xdr:nvSpPr>
        <xdr:cNvPr id="2" name="TextBox 1">
          <a:extLst>
            <a:ext uri="{FF2B5EF4-FFF2-40B4-BE49-F238E27FC236}">
              <a16:creationId xmlns:a16="http://schemas.microsoft.com/office/drawing/2014/main" id="{F85DA60C-4497-4C7D-B0C6-4FF98F44C224}"/>
            </a:ext>
          </a:extLst>
        </xdr:cNvPr>
        <xdr:cNvSpPr txBox="1"/>
      </xdr:nvSpPr>
      <xdr:spPr>
        <a:xfrm>
          <a:off x="13078691" y="775854"/>
          <a:ext cx="4308102" cy="665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tr-TR" sz="1200"/>
            <a:t>Depreciation rate</a:t>
          </a:r>
          <a:r>
            <a:rPr lang="tr-TR" sz="1200" baseline="0"/>
            <a:t> calculated as percentage of related fixed assets.</a:t>
          </a:r>
        </a:p>
        <a:p>
          <a:r>
            <a:rPr lang="tr-TR" sz="1200" baseline="0"/>
            <a:t>PP&amp;E is calculated as % of revenues.</a:t>
          </a:r>
        </a:p>
        <a:p>
          <a:r>
            <a:rPr lang="tr-TR" sz="1200" baseline="0"/>
            <a:t>The assumption is that the company will maintain the average 5 years PP&amp;E/Revenue rate over next years</a:t>
          </a:r>
        </a:p>
        <a:p>
          <a:endParaRPr lang="en-US" sz="12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16</xdr:col>
      <xdr:colOff>195942</xdr:colOff>
      <xdr:row>3</xdr:row>
      <xdr:rowOff>141514</xdr:rowOff>
    </xdr:from>
    <xdr:ext cx="4997715" cy="1141338"/>
    <xdr:sp macro="" textlink="">
      <xdr:nvSpPr>
        <xdr:cNvPr id="2" name="TextBox 1">
          <a:extLst>
            <a:ext uri="{FF2B5EF4-FFF2-40B4-BE49-F238E27FC236}">
              <a16:creationId xmlns:a16="http://schemas.microsoft.com/office/drawing/2014/main" id="{7131BC88-EFA2-4254-BCB9-44D842AD94E3}"/>
            </a:ext>
          </a:extLst>
        </xdr:cNvPr>
        <xdr:cNvSpPr txBox="1"/>
      </xdr:nvSpPr>
      <xdr:spPr>
        <a:xfrm>
          <a:off x="10036628" y="816428"/>
          <a:ext cx="4997715" cy="1141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fontAlgn="base"/>
          <a:r>
            <a:rPr lang="en-US" sz="1100" b="0" i="0">
              <a:solidFill>
                <a:schemeClr val="tx1"/>
              </a:solidFill>
              <a:effectLst/>
              <a:latin typeface="+mn-lt"/>
              <a:ea typeface="+mn-ea"/>
              <a:cs typeface="+mn-cs"/>
            </a:rPr>
            <a:t>The </a:t>
          </a:r>
          <a:r>
            <a:rPr lang="en-US" sz="1100" b="1" i="0">
              <a:solidFill>
                <a:schemeClr val="tx1"/>
              </a:solidFill>
              <a:effectLst/>
              <a:latin typeface="+mn-lt"/>
              <a:ea typeface="+mn-ea"/>
              <a:cs typeface="+mn-cs"/>
            </a:rPr>
            <a:t>Turkey 10Y Government Bond</a:t>
          </a:r>
          <a:r>
            <a:rPr lang="en-US" sz="1100" b="0" i="0">
              <a:solidFill>
                <a:schemeClr val="tx1"/>
              </a:solidFill>
              <a:effectLst/>
              <a:latin typeface="+mn-lt"/>
              <a:ea typeface="+mn-ea"/>
              <a:cs typeface="+mn-cs"/>
            </a:rPr>
            <a:t> has a </a:t>
          </a:r>
          <a:r>
            <a:rPr lang="en-US" sz="1100" b="1" i="0">
              <a:solidFill>
                <a:schemeClr val="tx1"/>
              </a:solidFill>
              <a:effectLst/>
              <a:latin typeface="+mn-lt"/>
              <a:ea typeface="+mn-ea"/>
              <a:cs typeface="+mn-cs"/>
            </a:rPr>
            <a:t>11.770%</a:t>
          </a:r>
          <a:r>
            <a:rPr lang="en-US" sz="1100" b="0" i="0">
              <a:solidFill>
                <a:schemeClr val="tx1"/>
              </a:solidFill>
              <a:effectLst/>
              <a:latin typeface="+mn-lt"/>
              <a:ea typeface="+mn-ea"/>
              <a:cs typeface="+mn-cs"/>
            </a:rPr>
            <a:t> yield.</a:t>
          </a:r>
        </a:p>
        <a:p>
          <a:pPr fontAlgn="base"/>
          <a:r>
            <a:rPr lang="en-US" sz="1100" b="1" i="0">
              <a:solidFill>
                <a:schemeClr val="tx1"/>
              </a:solidFill>
              <a:effectLst/>
              <a:latin typeface="+mn-lt"/>
              <a:ea typeface="+mn-ea"/>
              <a:cs typeface="+mn-cs"/>
            </a:rPr>
            <a:t>10 Years vs 2 Years bond spread</a:t>
          </a:r>
          <a:r>
            <a:rPr lang="en-US" sz="1100" b="0" i="0">
              <a:solidFill>
                <a:schemeClr val="tx1"/>
              </a:solidFill>
              <a:effectLst/>
              <a:latin typeface="+mn-lt"/>
              <a:ea typeface="+mn-ea"/>
              <a:cs typeface="+mn-cs"/>
            </a:rPr>
            <a:t> is </a:t>
          </a:r>
          <a:r>
            <a:rPr lang="en-US" sz="1100" b="1" i="0">
              <a:solidFill>
                <a:schemeClr val="tx1"/>
              </a:solidFill>
              <a:effectLst/>
              <a:latin typeface="+mn-lt"/>
              <a:ea typeface="+mn-ea"/>
              <a:cs typeface="+mn-cs"/>
            </a:rPr>
            <a:t>355.5 bp</a:t>
          </a:r>
          <a:r>
            <a:rPr lang="en-US" sz="1100" b="0" i="0">
              <a:solidFill>
                <a:schemeClr val="tx1"/>
              </a:solidFill>
              <a:effectLst/>
              <a:latin typeface="+mn-lt"/>
              <a:ea typeface="+mn-ea"/>
              <a:cs typeface="+mn-cs"/>
            </a:rPr>
            <a:t>.</a:t>
          </a:r>
        </a:p>
        <a:p>
          <a:endParaRPr lang="tr-TR" sz="1200"/>
        </a:p>
        <a:p>
          <a:r>
            <a:rPr lang="tr-TR" sz="1100"/>
            <a:t>As</a:t>
          </a:r>
          <a:r>
            <a:rPr lang="tr-TR" sz="1100" baseline="0"/>
            <a:t> we expect that the interest rates are further to decline,</a:t>
          </a:r>
        </a:p>
        <a:p>
          <a:r>
            <a:rPr lang="tr-TR" sz="1100" baseline="0"/>
            <a:t>Our assumption is that the short term commercial credit rate will be averaged %8.5 </a:t>
          </a:r>
        </a:p>
        <a:p>
          <a:r>
            <a:rPr lang="tr-TR" sz="1100" baseline="0"/>
            <a:t>For long term loan, we can basically add the spread of the yield curve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S2001\izleme2001\RatingF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Ratings\MODEL%20CALISMASI\YARGISAL%20ANALIZ\ACE%20Ge&#231;i&#351;%2015'li%20Spread_Konsolide%202006-09%20(detayl&#30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FORMSRK.XL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SUS/Downloads/Valuation%20exercis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SUS/Downloads/Modeling_empty%20template%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osan"/>
      <sheetName val="ünsa"/>
      <sheetName val="koçlease"/>
      <sheetName val="Zorlu Enerji"/>
      <sheetName val="teksmobili"/>
      <sheetName val="alarko"/>
      <sheetName val="liste"/>
      <sheetName val="notl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ullanım"/>
      <sheetName val="Ana Giriş"/>
      <sheetName val="Yönetim Kurulu"/>
      <sheetName val="YK Detaylı"/>
      <sheetName val="KONSOLİDE"/>
      <sheetName val="GENEL RATİNG"/>
      <sheetName val="Grup  Faaliyetleri"/>
      <sheetName val="SEKTÖR"/>
      <sheetName val="RATE-KONS"/>
      <sheetName val="ReadMe"/>
      <sheetName val="1- InputFinancials"/>
      <sheetName val="Kümüle Detaylı YTL"/>
      <sheetName val="Kümüle Detaylı USD"/>
      <sheetName val="Cover"/>
      <sheetName val="3-Scorecard Summary"/>
      <sheetName val="USDFinancials"/>
      <sheetName val="Qualitative Inputs"/>
      <sheetName val="Specifications"/>
      <sheetName val="MasterScale"/>
      <sheetName val="Özet"/>
      <sheetName val="Skor vs Rating"/>
      <sheetName val="ACE1"/>
      <sheetName val="FİRMA1"/>
      <sheetName val="ACE2"/>
      <sheetName val="FİRMA2"/>
      <sheetName val="ACE3"/>
      <sheetName val="FİRMA3"/>
      <sheetName val="ACE4"/>
      <sheetName val="FİRMA4"/>
      <sheetName val="ACE5"/>
      <sheetName val="FİRMA5"/>
      <sheetName val="ACE6"/>
      <sheetName val="FİRMA6"/>
      <sheetName val="ACE7"/>
      <sheetName val="FİRMA7"/>
      <sheetName val="ACE8"/>
      <sheetName val="FİRMA8"/>
      <sheetName val="ACE9"/>
      <sheetName val="FİRMA9"/>
      <sheetName val="Grup Firması 1"/>
      <sheetName val="Grup Firması 2"/>
      <sheetName val="Grup Firması 3"/>
      <sheetName val="Grup Firmaları 4"/>
      <sheetName val="Grup Firmaları 5"/>
      <sheetName val="Grup Firmaları 6"/>
      <sheetName val="Grup Firmaları 7"/>
      <sheetName val="Grup Firmaları 8"/>
      <sheetName val="Sheet2"/>
      <sheetName val="Grup Firmaları 9"/>
      <sheetName val="ACE10"/>
      <sheetName val="FİRMA10"/>
      <sheetName val="ACE11"/>
      <sheetName val="FİRMA11"/>
      <sheetName val="ACE12"/>
      <sheetName val="FİRMA12"/>
      <sheetName val="ACE13"/>
      <sheetName val="FİRMA13"/>
      <sheetName val="ACE14"/>
      <sheetName val="FİRMA14"/>
      <sheetName val="ACE15"/>
      <sheetName val="FİRMA15"/>
      <sheetName val="2- Input Qualitative Info"/>
      <sheetName val="Grup"/>
      <sheetName val="Tablo"/>
      <sheetName val="Karşılaştırma"/>
      <sheetName val="Grup Firmaları 10"/>
      <sheetName val="Grup Firmaları 11"/>
      <sheetName val="Grup Firmaları 12"/>
      <sheetName val="Grup Firmaları 13"/>
      <sheetName val="Grup Firmaları 14"/>
      <sheetName val="Grup Firmaları 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row r="6">
          <cell r="D6">
            <v>3</v>
          </cell>
        </row>
      </sheetData>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SRK"/>
    </sheetNames>
    <sheetDataSet>
      <sheetData sheetId="0" refreshError="1">
        <row r="3">
          <cell r="B3" t="b">
            <v>1</v>
          </cell>
        </row>
        <row r="4">
          <cell r="B4" t="b">
            <v>1</v>
          </cell>
        </row>
        <row r="6">
          <cell r="B6" t="str">
            <v>ÇIKTI</v>
          </cell>
        </row>
        <row r="7">
          <cell r="B7" t="b">
            <v>1</v>
          </cell>
        </row>
        <row r="8">
          <cell r="B8" t="b">
            <v>1</v>
          </cell>
        </row>
        <row r="9">
          <cell r="B9" t="b">
            <v>1</v>
          </cell>
        </row>
        <row r="10">
          <cell r="B10" t="b">
            <v>1</v>
          </cell>
        </row>
        <row r="11">
          <cell r="B11" t="b">
            <v>1</v>
          </cell>
        </row>
        <row r="12">
          <cell r="B12" t="b">
            <v>1</v>
          </cell>
        </row>
        <row r="13">
          <cell r="B13" t="b">
            <v>1</v>
          </cell>
        </row>
        <row r="14">
          <cell r="B14" t="b">
            <v>1</v>
          </cell>
        </row>
        <row r="15">
          <cell r="B15" t="b">
            <v>1</v>
          </cell>
        </row>
        <row r="16">
          <cell r="B16" t="b">
            <v>1</v>
          </cell>
        </row>
        <row r="17">
          <cell r="B17"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Historical"/>
      <sheetName val="Multiple Valuation"/>
      <sheetName val="Comparables"/>
      <sheetName val="DCF Valuation"/>
      <sheetName val="WACC"/>
      <sheetName val="BS"/>
      <sheetName val="IS"/>
      <sheetName val="CFS"/>
      <sheetName val="S&amp;P input"/>
      <sheetName val="Fixed Assets"/>
      <sheetName val="WC"/>
      <sheetName val="Debt"/>
      <sheetName val="Tax"/>
      <sheetName val="Financial ratios"/>
    </sheetNames>
    <sheetDataSet>
      <sheetData sheetId="0"/>
      <sheetData sheetId="1"/>
      <sheetData sheetId="2"/>
      <sheetData sheetId="3"/>
      <sheetData sheetId="4"/>
      <sheetData sheetId="5"/>
      <sheetData sheetId="6">
        <row r="3">
          <cell r="L3" t="str">
            <v xml:space="preserve">Projected </v>
          </cell>
          <cell r="M3" t="str">
            <v xml:space="preserve">Projected </v>
          </cell>
          <cell r="N3" t="str">
            <v xml:space="preserve">Projected </v>
          </cell>
          <cell r="O3" t="str">
            <v xml:space="preserve">Projected </v>
          </cell>
          <cell r="P3" t="str">
            <v xml:space="preserve">Projected </v>
          </cell>
        </row>
      </sheetData>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Historical"/>
      <sheetName val="BS"/>
      <sheetName val="IS"/>
      <sheetName val="CFS"/>
      <sheetName val="S&amp;P input"/>
      <sheetName val="Fixed Assets"/>
      <sheetName val="WC"/>
      <sheetName val="Debt"/>
      <sheetName val="Tax"/>
      <sheetName val="Financial ratios"/>
    </sheetNames>
    <sheetDataSet>
      <sheetData sheetId="0"/>
      <sheetData sheetId="1"/>
      <sheetData sheetId="2">
        <row r="2">
          <cell r="J2">
            <v>2019</v>
          </cell>
          <cell r="K2">
            <v>2020</v>
          </cell>
          <cell r="L2">
            <v>2021</v>
          </cell>
          <cell r="M2">
            <v>2022</v>
          </cell>
          <cell r="N2">
            <v>2023</v>
          </cell>
          <cell r="O2">
            <v>2024</v>
          </cell>
          <cell r="P2">
            <v>2025</v>
          </cell>
        </row>
        <row r="3">
          <cell r="K3" t="str">
            <v xml:space="preserve">Projected </v>
          </cell>
          <cell r="L3" t="str">
            <v xml:space="preserve">Projected </v>
          </cell>
          <cell r="M3" t="str">
            <v xml:space="preserve">Projected </v>
          </cell>
          <cell r="N3" t="str">
            <v xml:space="preserve">Projected </v>
          </cell>
          <cell r="O3" t="str">
            <v xml:space="preserve">Projected </v>
          </cell>
          <cell r="P3" t="str">
            <v xml:space="preserve">Projected </v>
          </cell>
        </row>
      </sheetData>
      <sheetData sheetId="3">
        <row r="7">
          <cell r="J7">
            <v>450</v>
          </cell>
        </row>
      </sheetData>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C4"/>
  <sheetViews>
    <sheetView topLeftCell="XEH1" workbookViewId="0">
      <selection activeCell="XEZ18" sqref="XEZ18"/>
    </sheetView>
  </sheetViews>
  <sheetFormatPr defaultRowHeight="14.4"/>
  <sheetData>
    <row r="2" spans="2:3">
      <c r="B2" t="s">
        <v>197</v>
      </c>
      <c r="C2" t="s">
        <v>277</v>
      </c>
    </row>
    <row r="3" spans="2:3">
      <c r="B3" t="s">
        <v>197</v>
      </c>
      <c r="C3" t="s">
        <v>278</v>
      </c>
    </row>
    <row r="4" spans="2:3">
      <c r="B4" t="s">
        <v>197</v>
      </c>
      <c r="C4" t="s">
        <v>279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CE27"/>
  <sheetViews>
    <sheetView showGridLines="0" zoomScale="70" zoomScaleNormal="70" workbookViewId="0">
      <pane xSplit="8" topLeftCell="I1" activePane="topRight" state="frozen"/>
      <selection pane="topRight" activeCell="O36" sqref="O36"/>
    </sheetView>
  </sheetViews>
  <sheetFormatPr defaultColWidth="10" defaultRowHeight="15.6"/>
  <cols>
    <col min="1" max="4" width="0.77734375" style="37" customWidth="1"/>
    <col min="5" max="5" width="3.44140625" style="37" customWidth="1"/>
    <col min="6" max="6" width="37.44140625" style="38" bestFit="1" customWidth="1"/>
    <col min="7" max="7" width="2.33203125" style="38" customWidth="1"/>
    <col min="8" max="8" width="8" style="38" customWidth="1"/>
    <col min="9" max="9" width="9.5546875" style="38" customWidth="1"/>
    <col min="10" max="10" width="15.21875" style="200" bestFit="1" customWidth="1"/>
    <col min="11" max="12" width="17.109375" style="38" bestFit="1" customWidth="1"/>
    <col min="13" max="16" width="17.109375" style="38" customWidth="1"/>
    <col min="17" max="17" width="17.109375" style="38" bestFit="1" customWidth="1"/>
    <col min="18" max="20" width="17.109375" style="37" bestFit="1" customWidth="1"/>
    <col min="21" max="16384" width="10" style="37"/>
  </cols>
  <sheetData>
    <row r="1" spans="1:83" ht="18" customHeight="1">
      <c r="E1" s="66"/>
    </row>
    <row r="2" spans="1:83">
      <c r="A2" s="65"/>
      <c r="B2" s="65"/>
      <c r="C2" s="65"/>
      <c r="D2" s="65"/>
      <c r="E2" s="65"/>
      <c r="F2" s="64" t="s">
        <v>115</v>
      </c>
      <c r="G2" s="64"/>
      <c r="H2" s="64"/>
      <c r="I2" s="63" t="s">
        <v>53</v>
      </c>
      <c r="J2" s="62">
        <v>2015</v>
      </c>
      <c r="K2" s="62">
        <v>2016</v>
      </c>
      <c r="L2" s="62">
        <v>2017</v>
      </c>
      <c r="M2" s="62">
        <v>2018</v>
      </c>
      <c r="N2" s="81">
        <v>2019</v>
      </c>
      <c r="O2" s="81">
        <f t="shared" ref="O2:T2" si="0">+N2+1</f>
        <v>2020</v>
      </c>
      <c r="P2" s="81">
        <f t="shared" si="0"/>
        <v>2021</v>
      </c>
      <c r="Q2" s="81">
        <f t="shared" si="0"/>
        <v>2022</v>
      </c>
      <c r="R2" s="81">
        <f t="shared" si="0"/>
        <v>2023</v>
      </c>
      <c r="S2" s="81">
        <f t="shared" si="0"/>
        <v>2024</v>
      </c>
      <c r="T2" s="81">
        <f t="shared" si="0"/>
        <v>2025</v>
      </c>
    </row>
    <row r="3" spans="1:83">
      <c r="A3" s="48"/>
      <c r="B3" s="48"/>
      <c r="C3" s="48"/>
      <c r="D3" s="48"/>
      <c r="E3" s="48"/>
      <c r="F3" s="53"/>
      <c r="G3" s="53"/>
      <c r="H3" s="53"/>
      <c r="I3" s="61"/>
      <c r="J3" s="60" t="s">
        <v>54</v>
      </c>
      <c r="K3" s="60" t="s">
        <v>54</v>
      </c>
      <c r="L3" s="60" t="s">
        <v>54</v>
      </c>
      <c r="M3" s="60" t="s">
        <v>54</v>
      </c>
      <c r="N3" s="60" t="s">
        <v>54</v>
      </c>
      <c r="O3" s="208" t="str">
        <f>[5]BS!L3</f>
        <v xml:space="preserve">Projected </v>
      </c>
      <c r="P3" s="208" t="str">
        <f>[5]BS!M3</f>
        <v xml:space="preserve">Projected </v>
      </c>
      <c r="Q3" s="208" t="str">
        <f>[5]BS!N3</f>
        <v xml:space="preserve">Projected </v>
      </c>
      <c r="R3" s="208" t="str">
        <f>[5]BS!O3</f>
        <v xml:space="preserve">Projected </v>
      </c>
      <c r="S3" s="208" t="str">
        <f>[5]BS!P3</f>
        <v xml:space="preserve">Projected </v>
      </c>
      <c r="T3" s="208" t="str">
        <f>S3</f>
        <v xml:space="preserve">Projected </v>
      </c>
    </row>
    <row r="4" spans="1:83">
      <c r="I4" s="51"/>
      <c r="M4" s="79"/>
      <c r="N4" s="78"/>
      <c r="O4" s="78"/>
      <c r="P4" s="78"/>
      <c r="Q4" s="78"/>
      <c r="R4" s="78"/>
      <c r="S4" s="78"/>
      <c r="T4" s="78"/>
    </row>
    <row r="5" spans="1:83" s="17" customFormat="1">
      <c r="E5" s="18"/>
      <c r="F5" s="77"/>
      <c r="G5" s="19"/>
      <c r="H5" s="19"/>
      <c r="I5" s="21"/>
      <c r="J5" s="201"/>
      <c r="K5" s="22"/>
      <c r="L5" s="22"/>
      <c r="M5" s="22"/>
      <c r="N5" s="22"/>
      <c r="O5" s="22"/>
      <c r="P5" s="22"/>
      <c r="Q5" s="22"/>
      <c r="R5" s="22"/>
      <c r="S5" s="22"/>
      <c r="T5" s="22"/>
      <c r="U5" s="36"/>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row>
    <row r="6" spans="1:83">
      <c r="F6" s="38" t="s">
        <v>114</v>
      </c>
      <c r="I6" s="69" t="s">
        <v>113</v>
      </c>
      <c r="J6" s="38" t="s">
        <v>197</v>
      </c>
      <c r="K6" s="38" t="s">
        <v>197</v>
      </c>
      <c r="L6" s="38" t="s">
        <v>197</v>
      </c>
      <c r="M6" s="38" t="s">
        <v>197</v>
      </c>
      <c r="N6" s="38" t="s">
        <v>197</v>
      </c>
      <c r="O6" s="38" t="s">
        <v>197</v>
      </c>
      <c r="P6" s="38" t="s">
        <v>197</v>
      </c>
      <c r="Q6" s="38" t="s">
        <v>197</v>
      </c>
      <c r="R6" s="38" t="s">
        <v>197</v>
      </c>
      <c r="S6" s="38" t="s">
        <v>197</v>
      </c>
      <c r="T6" s="38" t="s">
        <v>197</v>
      </c>
    </row>
    <row r="7" spans="1:83">
      <c r="F7" s="37" t="s">
        <v>112</v>
      </c>
      <c r="G7" s="37"/>
      <c r="H7" s="37"/>
      <c r="I7" s="75" t="s">
        <v>61</v>
      </c>
      <c r="J7" s="202"/>
      <c r="K7" s="74"/>
      <c r="L7" s="74"/>
      <c r="M7" s="74"/>
      <c r="N7" s="74"/>
      <c r="O7" s="74"/>
      <c r="P7" s="74"/>
      <c r="Q7" s="74"/>
      <c r="R7" s="74"/>
      <c r="S7" s="74"/>
      <c r="T7" s="74"/>
    </row>
    <row r="8" spans="1:83">
      <c r="F8" s="37"/>
      <c r="G8" s="37"/>
      <c r="H8" s="37"/>
      <c r="I8" s="76"/>
      <c r="J8" s="114"/>
      <c r="R8" s="38"/>
      <c r="S8" s="38"/>
      <c r="T8" s="38"/>
    </row>
    <row r="9" spans="1:83">
      <c r="F9" s="37" t="s">
        <v>111</v>
      </c>
      <c r="G9" s="37"/>
      <c r="H9" s="37"/>
      <c r="I9" s="76" t="s">
        <v>103</v>
      </c>
      <c r="J9" s="37" t="s">
        <v>197</v>
      </c>
      <c r="K9" s="37" t="s">
        <v>197</v>
      </c>
      <c r="L9" s="37" t="s">
        <v>197</v>
      </c>
      <c r="M9" s="37" t="s">
        <v>197</v>
      </c>
      <c r="N9" s="37" t="s">
        <v>197</v>
      </c>
      <c r="O9" s="37" t="s">
        <v>197</v>
      </c>
      <c r="P9" s="37" t="s">
        <v>197</v>
      </c>
      <c r="Q9" s="37" t="s">
        <v>197</v>
      </c>
      <c r="R9" s="37" t="s">
        <v>197</v>
      </c>
      <c r="S9" s="37" t="s">
        <v>197</v>
      </c>
      <c r="T9" s="37" t="s">
        <v>197</v>
      </c>
    </row>
    <row r="10" spans="1:83">
      <c r="F10" s="37" t="s">
        <v>110</v>
      </c>
      <c r="G10" s="37"/>
      <c r="H10" s="37"/>
      <c r="I10" s="75" t="s">
        <v>61</v>
      </c>
      <c r="J10" s="202"/>
      <c r="K10" s="74"/>
      <c r="L10" s="74"/>
      <c r="M10" s="74"/>
      <c r="N10" s="74"/>
      <c r="O10" s="74"/>
      <c r="P10" s="74"/>
      <c r="Q10" s="74"/>
      <c r="R10" s="74"/>
      <c r="S10" s="74"/>
      <c r="T10" s="74"/>
    </row>
    <row r="11" spans="1:83">
      <c r="I11" s="69"/>
      <c r="J11" s="114"/>
      <c r="R11" s="38"/>
      <c r="S11" s="38"/>
      <c r="T11" s="38"/>
    </row>
    <row r="12" spans="1:83">
      <c r="E12" s="66" t="s">
        <v>109</v>
      </c>
      <c r="F12" s="71" t="s">
        <v>56</v>
      </c>
      <c r="G12" s="71"/>
      <c r="H12" s="71"/>
      <c r="I12" s="72" t="s">
        <v>103</v>
      </c>
      <c r="J12" s="203">
        <f>IS_hist!G3</f>
        <v>382760.01300000004</v>
      </c>
      <c r="K12" s="203">
        <f>IS_hist!H3</f>
        <v>1898018.9809999999</v>
      </c>
      <c r="L12" s="203">
        <f>IS_hist!I3</f>
        <v>2406203.1540000001</v>
      </c>
      <c r="M12" s="203">
        <f>IS_hist!J3</f>
        <v>2422035.0819999999</v>
      </c>
      <c r="N12" s="203">
        <f>IS_hist!K3</f>
        <v>2492865.7590000001</v>
      </c>
      <c r="O12" s="203">
        <f>N12*(1+O13)</f>
        <v>2742152.3349000001</v>
      </c>
      <c r="P12" s="203">
        <f t="shared" ref="P12:T12" si="1">O12*(1+P13)</f>
        <v>3016367.5683900006</v>
      </c>
      <c r="Q12" s="203">
        <f t="shared" si="1"/>
        <v>3318004.3252290008</v>
      </c>
      <c r="R12" s="203">
        <f t="shared" si="1"/>
        <v>3649804.7577519012</v>
      </c>
      <c r="S12" s="203">
        <f t="shared" si="1"/>
        <v>4014785.2335270918</v>
      </c>
      <c r="T12" s="203">
        <f t="shared" si="1"/>
        <v>4416263.7568798009</v>
      </c>
    </row>
    <row r="13" spans="1:83">
      <c r="F13" s="37" t="s">
        <v>112</v>
      </c>
      <c r="I13" s="51"/>
      <c r="J13" s="114"/>
      <c r="K13" s="215">
        <f>K12/J12-1</f>
        <v>3.9587702908767533</v>
      </c>
      <c r="L13" s="215">
        <f>L12/K12-1</f>
        <v>0.26774451577520875</v>
      </c>
      <c r="M13" s="215">
        <f>M12/L12-1</f>
        <v>6.5796306407799321E-3</v>
      </c>
      <c r="N13" s="215">
        <f>N12/M12-1</f>
        <v>2.9244282019858847E-2</v>
      </c>
      <c r="O13" s="215">
        <v>0.1</v>
      </c>
      <c r="P13" s="215">
        <v>0.1</v>
      </c>
      <c r="Q13" s="215">
        <v>0.1</v>
      </c>
      <c r="R13" s="215">
        <v>0.1</v>
      </c>
      <c r="S13" s="215">
        <v>0.1</v>
      </c>
      <c r="T13" s="215">
        <v>0.1</v>
      </c>
    </row>
    <row r="14" spans="1:83">
      <c r="F14" s="38" t="s">
        <v>108</v>
      </c>
      <c r="I14" s="69" t="s">
        <v>61</v>
      </c>
      <c r="J14" s="204">
        <f>J16/J12</f>
        <v>0.27652353800082047</v>
      </c>
      <c r="K14" s="204">
        <f>K16/K12</f>
        <v>0.18764163296847441</v>
      </c>
      <c r="L14" s="204">
        <f>L16/L12</f>
        <v>0.17192528166721871</v>
      </c>
      <c r="M14" s="204">
        <f>M16/M12</f>
        <v>0.23242676548481134</v>
      </c>
      <c r="N14" s="204">
        <f>N16/N12</f>
        <v>0.24607417538843893</v>
      </c>
      <c r="O14" s="67">
        <f>AVERAGE(J14:N14)</f>
        <v>0.2229182787019528</v>
      </c>
      <c r="P14" s="67">
        <f t="shared" ref="P14:T14" si="2">AVERAGE(K14:O14)</f>
        <v>0.21219722684217923</v>
      </c>
      <c r="Q14" s="67">
        <f t="shared" si="2"/>
        <v>0.21710834561692022</v>
      </c>
      <c r="R14" s="67">
        <f t="shared" si="2"/>
        <v>0.2261449584068605</v>
      </c>
      <c r="S14" s="67">
        <f t="shared" si="2"/>
        <v>0.22488859699127031</v>
      </c>
      <c r="T14" s="67">
        <f t="shared" si="2"/>
        <v>0.22065148131183662</v>
      </c>
    </row>
    <row r="15" spans="1:83">
      <c r="I15" s="51"/>
      <c r="J15" s="114"/>
      <c r="R15" s="38"/>
      <c r="S15" s="38"/>
      <c r="T15" s="38"/>
    </row>
    <row r="16" spans="1:83">
      <c r="E16" s="66" t="s">
        <v>107</v>
      </c>
      <c r="F16" s="71" t="s">
        <v>106</v>
      </c>
      <c r="G16" s="71"/>
      <c r="H16" s="71"/>
      <c r="I16" s="72" t="s">
        <v>103</v>
      </c>
      <c r="J16" s="203">
        <f>IS_hist!G8</f>
        <v>105842.15300000005</v>
      </c>
      <c r="K16" s="203">
        <f>IS_hist!H8</f>
        <v>356147.38099999982</v>
      </c>
      <c r="L16" s="203">
        <f>IS_hist!I8</f>
        <v>413687.15500000003</v>
      </c>
      <c r="M16" s="203">
        <f>IS_hist!J8</f>
        <v>562945.7799999998</v>
      </c>
      <c r="N16" s="203">
        <f>IS_hist!K8</f>
        <v>613429.88599999994</v>
      </c>
      <c r="O16" s="207">
        <f t="shared" ref="O16:T16" si="3">O12*O14</f>
        <v>611275.87843444885</v>
      </c>
      <c r="P16" s="207">
        <f t="shared" si="3"/>
        <v>640064.83314904559</v>
      </c>
      <c r="Q16" s="207">
        <f t="shared" si="3"/>
        <v>720366.42980025406</v>
      </c>
      <c r="R16" s="207">
        <f t="shared" si="3"/>
        <v>825384.94513496524</v>
      </c>
      <c r="S16" s="207">
        <f t="shared" si="3"/>
        <v>902879.41838917718</v>
      </c>
      <c r="T16" s="207">
        <f t="shared" si="3"/>
        <v>974455.13981930481</v>
      </c>
    </row>
    <row r="17" spans="5:20">
      <c r="I17" s="51"/>
      <c r="J17" s="114"/>
      <c r="R17" s="38"/>
      <c r="S17" s="38"/>
      <c r="T17" s="38"/>
    </row>
    <row r="18" spans="5:20">
      <c r="F18" s="38" t="s">
        <v>105</v>
      </c>
      <c r="I18" s="69" t="s">
        <v>61</v>
      </c>
      <c r="J18" s="204">
        <f>-J19/J12</f>
        <v>0.23587502072741331</v>
      </c>
      <c r="K18" s="204">
        <f>-K19/K12</f>
        <v>0.12613599937439193</v>
      </c>
      <c r="L18" s="204">
        <f>-L19/L12</f>
        <v>0.11089692927898141</v>
      </c>
      <c r="M18" s="204">
        <f>-M19/M12</f>
        <v>0.10902665529598635</v>
      </c>
      <c r="N18" s="204">
        <f>-N19/N12</f>
        <v>0.11383383801373799</v>
      </c>
      <c r="O18" s="67">
        <f>AVERAGE(J18:N18)</f>
        <v>0.13915368853810223</v>
      </c>
      <c r="P18" s="67">
        <f t="shared" ref="P18:T18" si="4">AVERAGE(K18:O18)</f>
        <v>0.11980942210023997</v>
      </c>
      <c r="Q18" s="67">
        <f t="shared" si="4"/>
        <v>0.11854410664540957</v>
      </c>
      <c r="R18" s="67">
        <f t="shared" si="4"/>
        <v>0.12007354211869523</v>
      </c>
      <c r="S18" s="67">
        <f t="shared" si="4"/>
        <v>0.122282919483237</v>
      </c>
      <c r="T18" s="67">
        <f t="shared" si="4"/>
        <v>0.12397273577713681</v>
      </c>
    </row>
    <row r="19" spans="5:20">
      <c r="F19" s="38" t="s">
        <v>62</v>
      </c>
      <c r="I19" s="69" t="s">
        <v>103</v>
      </c>
      <c r="J19" s="205">
        <f>SUM(IS_hist!G9:G11)</f>
        <v>-90283.525999999998</v>
      </c>
      <c r="K19" s="205">
        <f>SUM(IS_hist!H9:H11)</f>
        <v>-239408.52100000001</v>
      </c>
      <c r="L19" s="205">
        <f>SUM(IS_hist!I9:I11)</f>
        <v>-266840.54100000003</v>
      </c>
      <c r="M19" s="205">
        <f>SUM(IS_hist!J9:J11)</f>
        <v>-264066.38400000002</v>
      </c>
      <c r="N19" s="205">
        <f>SUM(IS_hist!K9:K11)</f>
        <v>-283772.47700000001</v>
      </c>
      <c r="O19" s="73">
        <f t="shared" ref="O19:T19" si="5">-O12*O18</f>
        <v>-381580.61193470442</v>
      </c>
      <c r="P19" s="73">
        <f t="shared" si="5"/>
        <v>-361389.25521071203</v>
      </c>
      <c r="Q19" s="73">
        <f t="shared" si="5"/>
        <v>-393329.85857987689</v>
      </c>
      <c r="R19" s="73">
        <f t="shared" si="5"/>
        <v>-438244.98530493712</v>
      </c>
      <c r="S19" s="73">
        <f t="shared" si="5"/>
        <v>-490939.6594538822</v>
      </c>
      <c r="T19" s="73">
        <f t="shared" si="5"/>
        <v>-547496.2998538051</v>
      </c>
    </row>
    <row r="20" spans="5:20">
      <c r="I20" s="51"/>
      <c r="J20" s="114"/>
      <c r="R20" s="38"/>
      <c r="S20" s="38"/>
      <c r="T20" s="38"/>
    </row>
    <row r="21" spans="5:20">
      <c r="E21" s="66" t="s">
        <v>104</v>
      </c>
      <c r="F21" s="71" t="s">
        <v>207</v>
      </c>
      <c r="G21" s="71"/>
      <c r="H21" s="71"/>
      <c r="I21" s="72" t="s">
        <v>103</v>
      </c>
      <c r="J21" s="203">
        <f>(J16+J19)</f>
        <v>15558.627000000051</v>
      </c>
      <c r="K21" s="203">
        <f t="shared" ref="K21:N21" si="6">(K16+K19)</f>
        <v>116738.85999999981</v>
      </c>
      <c r="L21" s="203">
        <f t="shared" si="6"/>
        <v>146846.614</v>
      </c>
      <c r="M21" s="203">
        <f t="shared" si="6"/>
        <v>298879.39599999978</v>
      </c>
      <c r="N21" s="203">
        <f t="shared" si="6"/>
        <v>329657.40899999993</v>
      </c>
      <c r="O21" s="207">
        <f>O16+O19</f>
        <v>229695.26649974444</v>
      </c>
      <c r="P21" s="207">
        <f t="shared" ref="P21:T21" si="7">P16+P19</f>
        <v>278675.57793833356</v>
      </c>
      <c r="Q21" s="207">
        <f t="shared" si="7"/>
        <v>327036.57122037717</v>
      </c>
      <c r="R21" s="207">
        <f t="shared" si="7"/>
        <v>387139.95983002812</v>
      </c>
      <c r="S21" s="207">
        <f t="shared" si="7"/>
        <v>411939.75893529499</v>
      </c>
      <c r="T21" s="207">
        <f t="shared" si="7"/>
        <v>426958.8399654997</v>
      </c>
    </row>
    <row r="22" spans="5:20">
      <c r="I22" s="70"/>
      <c r="J22" s="114"/>
      <c r="R22" s="38"/>
      <c r="S22" s="38"/>
      <c r="T22" s="38"/>
    </row>
    <row r="23" spans="5:20">
      <c r="F23" s="38" t="s">
        <v>193</v>
      </c>
      <c r="I23" s="69" t="s">
        <v>61</v>
      </c>
      <c r="J23" s="204">
        <f t="shared" ref="J23:T23" si="8">J21/J12</f>
        <v>4.064851727340716E-2</v>
      </c>
      <c r="K23" s="67">
        <f t="shared" si="8"/>
        <v>6.1505633594082489E-2</v>
      </c>
      <c r="L23" s="67">
        <f t="shared" si="8"/>
        <v>6.1028352388237291E-2</v>
      </c>
      <c r="M23" s="67">
        <f t="shared" si="8"/>
        <v>0.12340011018882499</v>
      </c>
      <c r="N23" s="67">
        <f t="shared" si="8"/>
        <v>0.13224033737470092</v>
      </c>
      <c r="O23" s="67">
        <f t="shared" si="8"/>
        <v>8.3764590163850572E-2</v>
      </c>
      <c r="P23" s="67">
        <f t="shared" si="8"/>
        <v>9.2387804741939278E-2</v>
      </c>
      <c r="Q23" s="67">
        <f t="shared" si="8"/>
        <v>9.8564238971510648E-2</v>
      </c>
      <c r="R23" s="67">
        <f t="shared" si="8"/>
        <v>0.10607141628816527</v>
      </c>
      <c r="S23" s="67">
        <f t="shared" si="8"/>
        <v>0.10260567750803332</v>
      </c>
      <c r="T23" s="67">
        <f t="shared" si="8"/>
        <v>9.6678745534699823E-2</v>
      </c>
    </row>
    <row r="24" spans="5:20">
      <c r="F24" s="38" t="s">
        <v>226</v>
      </c>
      <c r="I24" s="69" t="s">
        <v>61</v>
      </c>
      <c r="J24" s="243">
        <f>IS_hist!G13</f>
        <v>20507.907999999999</v>
      </c>
      <c r="K24" s="243">
        <f>IS_hist!H13</f>
        <v>32254.172000000002</v>
      </c>
      <c r="L24" s="243">
        <f>IS_hist!I13</f>
        <v>38682.247000000003</v>
      </c>
      <c r="M24" s="243">
        <f>IS_hist!J13</f>
        <v>44703.93</v>
      </c>
      <c r="N24" s="243">
        <f>IS_hist!K13</f>
        <v>49689.074000000001</v>
      </c>
      <c r="O24" s="229">
        <f>('Fixed&amp;Intangible Assets'!P24+'Fixed&amp;Intangible Assets'!P52)</f>
        <v>50154.654014143969</v>
      </c>
      <c r="P24" s="229">
        <f>('Fixed&amp;Intangible Assets'!Q24+'Fixed&amp;Intangible Assets'!Q52)</f>
        <v>56336.367382551573</v>
      </c>
      <c r="Q24" s="229">
        <f>('Fixed&amp;Intangible Assets'!R24+'Fixed&amp;Intangible Assets'!R52)</f>
        <v>63135.687656209986</v>
      </c>
      <c r="R24" s="229">
        <f>('Fixed&amp;Intangible Assets'!S24+'Fixed&amp;Intangible Assets'!S52)</f>
        <v>70614.374396781088</v>
      </c>
      <c r="S24" s="229">
        <f>('Fixed&amp;Intangible Assets'!T24+'Fixed&amp;Intangible Assets'!T52)</f>
        <v>78840.363119835267</v>
      </c>
      <c r="T24" s="229">
        <f>('Fixed&amp;Intangible Assets'!U24+'Fixed&amp;Intangible Assets'!U52)</f>
        <v>87888.38289023767</v>
      </c>
    </row>
    <row r="25" spans="5:20">
      <c r="E25" s="66" t="s">
        <v>225</v>
      </c>
      <c r="F25" s="71" t="s">
        <v>63</v>
      </c>
      <c r="G25" s="71"/>
      <c r="H25" s="71"/>
      <c r="I25" s="72" t="s">
        <v>103</v>
      </c>
      <c r="J25" s="203">
        <f>J21+J24</f>
        <v>36066.535000000047</v>
      </c>
      <c r="K25" s="203">
        <f t="shared" ref="K25:N25" si="9">K21+K24</f>
        <v>148993.0319999998</v>
      </c>
      <c r="L25" s="203">
        <f t="shared" si="9"/>
        <v>185528.861</v>
      </c>
      <c r="M25" s="203">
        <f t="shared" si="9"/>
        <v>343583.32599999977</v>
      </c>
      <c r="N25" s="203">
        <f t="shared" si="9"/>
        <v>379346.48299999995</v>
      </c>
      <c r="O25" s="207">
        <f>O21+O24</f>
        <v>279849.92051388841</v>
      </c>
      <c r="P25" s="207">
        <f t="shared" ref="P25:T25" si="10">P21+P24</f>
        <v>335011.94532088516</v>
      </c>
      <c r="Q25" s="207">
        <f t="shared" si="10"/>
        <v>390172.25887658715</v>
      </c>
      <c r="R25" s="207">
        <f t="shared" si="10"/>
        <v>457754.33422680921</v>
      </c>
      <c r="S25" s="207">
        <f t="shared" si="10"/>
        <v>490780.12205513025</v>
      </c>
      <c r="T25" s="207">
        <f t="shared" si="10"/>
        <v>514847.22285573737</v>
      </c>
    </row>
    <row r="26" spans="5:20">
      <c r="I26" s="70"/>
      <c r="J26" s="114"/>
      <c r="R26" s="38"/>
      <c r="S26" s="38"/>
      <c r="T26" s="38"/>
    </row>
    <row r="27" spans="5:20">
      <c r="F27" s="38" t="s">
        <v>102</v>
      </c>
      <c r="I27" s="69" t="s">
        <v>61</v>
      </c>
      <c r="J27" s="204">
        <f t="shared" ref="J27:T27" si="11">J25/J12</f>
        <v>9.42275414751855E-2</v>
      </c>
      <c r="K27" s="204">
        <f t="shared" si="11"/>
        <v>7.8499231826175186E-2</v>
      </c>
      <c r="L27" s="204">
        <f t="shared" si="11"/>
        <v>7.7104404377320496E-2</v>
      </c>
      <c r="M27" s="204">
        <f t="shared" si="11"/>
        <v>0.1418572871026646</v>
      </c>
      <c r="N27" s="204">
        <f t="shared" si="11"/>
        <v>0.15217284830939826</v>
      </c>
      <c r="O27" s="204">
        <f t="shared" si="11"/>
        <v>0.10205484099193704</v>
      </c>
      <c r="P27" s="204">
        <f t="shared" si="11"/>
        <v>0.1110646954408475</v>
      </c>
      <c r="Q27" s="204">
        <f t="shared" si="11"/>
        <v>0.11759245035030459</v>
      </c>
      <c r="R27" s="204">
        <f t="shared" si="11"/>
        <v>0.12541885514686085</v>
      </c>
      <c r="S27" s="204">
        <f t="shared" si="11"/>
        <v>0.12224318201548413</v>
      </c>
      <c r="T27" s="204">
        <f t="shared" si="11"/>
        <v>0.11657981751060303</v>
      </c>
    </row>
  </sheetData>
  <pageMargins left="0.74803149606299213" right="0.74803149606299213" top="0.98425196850393704" bottom="0.98425196850393704" header="0.51181102362204722" footer="0.51181102362204722"/>
  <pageSetup paperSize="9" scale="64"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BL66"/>
  <sheetViews>
    <sheetView showGridLines="0" topLeftCell="G1" zoomScale="55" zoomScaleNormal="55" workbookViewId="0">
      <pane ySplit="3" topLeftCell="A4" activePane="bottomLeft" state="frozen"/>
      <selection pane="bottomLeft" activeCell="M14" sqref="M14"/>
    </sheetView>
  </sheetViews>
  <sheetFormatPr defaultColWidth="10" defaultRowHeight="15.6"/>
  <cols>
    <col min="1" max="9" width="0.77734375" style="37" customWidth="1"/>
    <col min="10" max="10" width="3.44140625" style="38" customWidth="1"/>
    <col min="11" max="11" width="37.44140625" style="38" bestFit="1" customWidth="1"/>
    <col min="12" max="12" width="7.5546875" style="38" customWidth="1"/>
    <col min="13" max="13" width="9" style="38" customWidth="1"/>
    <col min="14" max="14" width="9.5546875" style="38" bestFit="1" customWidth="1"/>
    <col min="15" max="16" width="15.88671875" style="38" bestFit="1" customWidth="1"/>
    <col min="17" max="17" width="15.88671875" style="38" customWidth="1"/>
    <col min="18" max="18" width="18.44140625" style="38" customWidth="1"/>
    <col min="19" max="21" width="15.88671875" style="38" customWidth="1"/>
    <col min="22" max="22" width="17.88671875" style="38" bestFit="1" customWidth="1"/>
    <col min="23" max="23" width="15.88671875" style="38" bestFit="1" customWidth="1"/>
    <col min="24" max="26" width="10" style="38"/>
    <col min="27" max="27" width="17.88671875" style="38" bestFit="1" customWidth="1"/>
    <col min="28" max="16384" width="10" style="38"/>
  </cols>
  <sheetData>
    <row r="1" spans="1:63" ht="22.5" customHeight="1">
      <c r="J1" s="40"/>
    </row>
    <row r="2" spans="1:63" s="115" customFormat="1">
      <c r="A2" s="65"/>
      <c r="B2" s="65"/>
      <c r="C2" s="65"/>
      <c r="D2" s="65"/>
      <c r="E2" s="65"/>
      <c r="F2" s="65"/>
      <c r="G2" s="65"/>
      <c r="H2" s="65"/>
      <c r="I2" s="65"/>
      <c r="J2" s="64" t="s">
        <v>134</v>
      </c>
      <c r="K2" s="64"/>
      <c r="L2" s="64"/>
      <c r="M2" s="64"/>
      <c r="N2" s="63" t="s">
        <v>53</v>
      </c>
      <c r="O2" s="62">
        <v>2019</v>
      </c>
      <c r="P2" s="62">
        <f t="shared" ref="P2:U2" si="0">+O2+1</f>
        <v>2020</v>
      </c>
      <c r="Q2" s="62">
        <f t="shared" si="0"/>
        <v>2021</v>
      </c>
      <c r="R2" s="62">
        <f t="shared" si="0"/>
        <v>2022</v>
      </c>
      <c r="S2" s="62">
        <f t="shared" si="0"/>
        <v>2023</v>
      </c>
      <c r="T2" s="62">
        <f t="shared" si="0"/>
        <v>2024</v>
      </c>
      <c r="U2" s="62">
        <f t="shared" si="0"/>
        <v>2025</v>
      </c>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row>
    <row r="3" spans="1:63">
      <c r="A3" s="48"/>
      <c r="B3" s="48"/>
      <c r="C3" s="48"/>
      <c r="D3" s="48"/>
      <c r="E3" s="48"/>
      <c r="F3" s="48"/>
      <c r="G3" s="48"/>
      <c r="H3" s="48"/>
      <c r="I3" s="48"/>
      <c r="J3" s="53"/>
      <c r="K3" s="53"/>
      <c r="L3" s="53"/>
      <c r="M3" s="53"/>
      <c r="N3" s="61"/>
      <c r="O3" s="138" t="s">
        <v>54</v>
      </c>
      <c r="P3" s="208" t="s">
        <v>55</v>
      </c>
      <c r="Q3" s="208" t="s">
        <v>55</v>
      </c>
      <c r="R3" s="208" t="s">
        <v>55</v>
      </c>
      <c r="S3" s="208" t="s">
        <v>55</v>
      </c>
      <c r="T3" s="208" t="s">
        <v>55</v>
      </c>
      <c r="U3" s="208" t="s">
        <v>55</v>
      </c>
    </row>
    <row r="4" spans="1:63">
      <c r="N4" s="51"/>
      <c r="O4" s="114"/>
      <c r="P4" s="114"/>
      <c r="Q4" s="114"/>
      <c r="R4" s="114"/>
      <c r="S4" s="114"/>
      <c r="T4" s="114"/>
      <c r="U4" s="114"/>
    </row>
    <row r="5" spans="1:63">
      <c r="J5" s="124" t="s">
        <v>133</v>
      </c>
      <c r="K5" s="31"/>
      <c r="L5" s="31"/>
      <c r="M5" s="32"/>
      <c r="N5" s="137" t="s">
        <v>77</v>
      </c>
      <c r="O5" s="22"/>
      <c r="P5" s="22"/>
      <c r="Q5" s="22"/>
      <c r="R5" s="22"/>
      <c r="S5" s="22"/>
      <c r="T5" s="22"/>
      <c r="U5" s="22"/>
    </row>
    <row r="6" spans="1:63" s="37" customFormat="1">
      <c r="J6" s="130"/>
      <c r="K6" s="130"/>
      <c r="L6" s="130"/>
      <c r="M6" s="129"/>
      <c r="N6" s="120"/>
      <c r="O6" s="136"/>
      <c r="P6" s="136"/>
      <c r="Q6" s="136"/>
      <c r="R6" s="136"/>
      <c r="S6" s="136"/>
      <c r="T6" s="136"/>
      <c r="U6" s="136"/>
    </row>
    <row r="7" spans="1:63">
      <c r="J7" s="93"/>
      <c r="K7" s="65" t="s">
        <v>124</v>
      </c>
      <c r="L7" s="93"/>
      <c r="M7" s="93"/>
      <c r="N7" s="70"/>
      <c r="O7" s="217">
        <f>402506901/1000</f>
        <v>402506.90100000001</v>
      </c>
      <c r="P7" s="217">
        <f t="shared" ref="P7:U9" si="1">O7</f>
        <v>402506.90100000001</v>
      </c>
      <c r="Q7" s="217">
        <f t="shared" si="1"/>
        <v>402506.90100000001</v>
      </c>
      <c r="R7" s="217">
        <f t="shared" si="1"/>
        <v>402506.90100000001</v>
      </c>
      <c r="S7" s="217">
        <f t="shared" si="1"/>
        <v>402506.90100000001</v>
      </c>
      <c r="T7" s="217">
        <f t="shared" si="1"/>
        <v>402506.90100000001</v>
      </c>
      <c r="U7" s="217">
        <f t="shared" si="1"/>
        <v>402506.90100000001</v>
      </c>
    </row>
    <row r="8" spans="1:63">
      <c r="K8" s="37" t="s">
        <v>123</v>
      </c>
      <c r="N8" s="51"/>
      <c r="O8" s="218">
        <f>319266764/1000</f>
        <v>319266.76400000002</v>
      </c>
      <c r="P8" s="218">
        <f t="shared" si="1"/>
        <v>319266.76400000002</v>
      </c>
      <c r="Q8" s="218">
        <f t="shared" si="1"/>
        <v>319266.76400000002</v>
      </c>
      <c r="R8" s="218">
        <f t="shared" si="1"/>
        <v>319266.76400000002</v>
      </c>
      <c r="S8" s="218">
        <f t="shared" si="1"/>
        <v>319266.76400000002</v>
      </c>
      <c r="T8" s="218">
        <f t="shared" si="1"/>
        <v>319266.76400000002</v>
      </c>
      <c r="U8" s="218">
        <f t="shared" si="1"/>
        <v>319266.76400000002</v>
      </c>
    </row>
    <row r="9" spans="1:63">
      <c r="K9" s="37" t="s">
        <v>122</v>
      </c>
      <c r="N9" s="51"/>
      <c r="O9" s="218">
        <f>476334923/1000</f>
        <v>476334.92300000001</v>
      </c>
      <c r="P9" s="218">
        <f>O9</f>
        <v>476334.92300000001</v>
      </c>
      <c r="Q9" s="218">
        <f t="shared" si="1"/>
        <v>476334.92300000001</v>
      </c>
      <c r="R9" s="218">
        <f t="shared" si="1"/>
        <v>476334.92300000001</v>
      </c>
      <c r="S9" s="218">
        <f t="shared" si="1"/>
        <v>476334.92300000001</v>
      </c>
      <c r="T9" s="218">
        <f t="shared" si="1"/>
        <v>476334.92300000001</v>
      </c>
      <c r="U9" s="218">
        <f t="shared" si="1"/>
        <v>476334.92300000001</v>
      </c>
      <c r="V9" s="38" t="s">
        <v>291</v>
      </c>
    </row>
    <row r="10" spans="1:63">
      <c r="J10" s="53"/>
      <c r="K10" s="48" t="s">
        <v>121</v>
      </c>
      <c r="L10" s="53"/>
      <c r="M10" s="53"/>
      <c r="N10" s="61"/>
      <c r="O10" s="214">
        <f>(15721432+5890850+48854491+3430115+37553031+3016486)/1000-4439</f>
        <v>110027.405</v>
      </c>
      <c r="P10" s="214">
        <f t="shared" ref="P10" si="2">O10+O12-O15</f>
        <v>114475.019</v>
      </c>
      <c r="Q10" s="214">
        <f t="shared" ref="Q10" si="3">P10+P12-P15</f>
        <v>174210.44109800001</v>
      </c>
      <c r="R10" s="214">
        <f t="shared" ref="R10" si="4">Q10+Q12-Q15</f>
        <v>239919.40540580003</v>
      </c>
      <c r="S10" s="214">
        <f t="shared" ref="S10" si="5">R10+R12-R15</f>
        <v>312199.26614438003</v>
      </c>
      <c r="T10" s="214">
        <f t="shared" ref="T10" si="6">S10+S12-S15</f>
        <v>391707.11295681808</v>
      </c>
      <c r="U10" s="214">
        <f t="shared" ref="U10" si="7">T10+T12-T15</f>
        <v>479165.74445049989</v>
      </c>
    </row>
    <row r="11" spans="1:63" ht="16.2" thickBot="1">
      <c r="J11" s="127"/>
      <c r="K11" s="128" t="s">
        <v>132</v>
      </c>
      <c r="L11" s="127"/>
      <c r="M11" s="127"/>
      <c r="N11" s="126"/>
      <c r="O11" s="216">
        <f>SUM(O7:O10)</f>
        <v>1308135.993</v>
      </c>
      <c r="P11" s="227">
        <f t="shared" ref="P11:U11" si="8">SUM(P7:P10)</f>
        <v>1312583.6070000001</v>
      </c>
      <c r="Q11" s="227">
        <f t="shared" si="8"/>
        <v>1372319.0290979999</v>
      </c>
      <c r="R11" s="227">
        <f t="shared" si="8"/>
        <v>1438027.9934058001</v>
      </c>
      <c r="S11" s="227">
        <f t="shared" si="8"/>
        <v>1510307.85414438</v>
      </c>
      <c r="T11" s="227">
        <f t="shared" si="8"/>
        <v>1589815.7009568182</v>
      </c>
      <c r="U11" s="227">
        <f t="shared" si="8"/>
        <v>1677274.3324504998</v>
      </c>
    </row>
    <row r="12" spans="1:63" ht="16.2" thickTop="1">
      <c r="K12" s="38" t="s">
        <v>131</v>
      </c>
      <c r="L12" s="132"/>
      <c r="M12" s="132"/>
      <c r="N12" s="427"/>
      <c r="O12" s="229">
        <f>SUM(O13:O14)</f>
        <v>4447.6139999999996</v>
      </c>
      <c r="P12" s="219">
        <f t="shared" ref="P12:U12" si="9">SUM(P13:P14)</f>
        <v>59735.422098000003</v>
      </c>
      <c r="Q12" s="219">
        <f t="shared" si="9"/>
        <v>65708.964307800023</v>
      </c>
      <c r="R12" s="219">
        <f t="shared" si="9"/>
        <v>72279.860738580013</v>
      </c>
      <c r="S12" s="219">
        <f t="shared" si="9"/>
        <v>79507.846812438031</v>
      </c>
      <c r="T12" s="219">
        <f t="shared" si="9"/>
        <v>87458.631493681838</v>
      </c>
      <c r="U12" s="219">
        <f t="shared" si="9"/>
        <v>96204.494643050028</v>
      </c>
    </row>
    <row r="13" spans="1:63">
      <c r="K13" s="38" t="s">
        <v>130</v>
      </c>
      <c r="L13" s="132"/>
      <c r="M13" s="375">
        <v>0.02</v>
      </c>
      <c r="N13" s="425"/>
      <c r="O13" s="229"/>
      <c r="P13" s="220">
        <f>'S&amp;P input'!O12*$M$13</f>
        <v>54843.046698000006</v>
      </c>
      <c r="Q13" s="220">
        <f>'S&amp;P input'!P12*$M$13</f>
        <v>60327.351367800016</v>
      </c>
      <c r="R13" s="220">
        <f>'S&amp;P input'!Q12*$M$13</f>
        <v>66360.086504580016</v>
      </c>
      <c r="S13" s="220">
        <f>'S&amp;P input'!R12*$M$13</f>
        <v>72996.095155038027</v>
      </c>
      <c r="T13" s="220">
        <f>'S&amp;P input'!S12*$M$13</f>
        <v>80295.704670541832</v>
      </c>
      <c r="U13" s="220">
        <f>'S&amp;P input'!T12*$M$13</f>
        <v>88325.275137596022</v>
      </c>
    </row>
    <row r="14" spans="1:63">
      <c r="K14" s="38" t="s">
        <v>129</v>
      </c>
      <c r="L14" s="132"/>
      <c r="M14" s="135">
        <f>O14/'S&amp;P input'!N12</f>
        <v>1.7841369852920346E-3</v>
      </c>
      <c r="N14" s="425"/>
      <c r="O14" s="229">
        <f>4447614/1000</f>
        <v>4447.6139999999996</v>
      </c>
      <c r="P14" s="220">
        <f>$M$14*'S&amp;P input'!O12</f>
        <v>4892.3753999999999</v>
      </c>
      <c r="Q14" s="220">
        <f>$M$14*'S&amp;P input'!P12</f>
        <v>5381.6129400000009</v>
      </c>
      <c r="R14" s="220">
        <f>$M$14*'S&amp;P input'!Q12</f>
        <v>5919.7742340000004</v>
      </c>
      <c r="S14" s="220">
        <f>$M$14*'S&amp;P input'!R12</f>
        <v>6511.751657400001</v>
      </c>
      <c r="T14" s="220">
        <f>$M$14*'S&amp;P input'!S12</f>
        <v>7162.9268231400029</v>
      </c>
      <c r="U14" s="220">
        <f>$M$14*'S&amp;P input'!T12</f>
        <v>7879.2195054540025</v>
      </c>
    </row>
    <row r="15" spans="1:63">
      <c r="K15" s="38" t="s">
        <v>128</v>
      </c>
      <c r="N15" s="428"/>
      <c r="O15" s="229"/>
      <c r="P15" s="233">
        <v>0</v>
      </c>
      <c r="Q15" s="233">
        <v>0</v>
      </c>
      <c r="R15" s="233">
        <v>0</v>
      </c>
      <c r="S15" s="233">
        <v>0</v>
      </c>
      <c r="T15" s="233">
        <v>0</v>
      </c>
      <c r="U15" s="233">
        <v>0</v>
      </c>
    </row>
    <row r="16" spans="1:63" ht="16.2" thickBot="1">
      <c r="J16" s="88"/>
      <c r="K16" s="88" t="s">
        <v>127</v>
      </c>
      <c r="L16" s="134"/>
      <c r="M16" s="134"/>
      <c r="N16" s="133"/>
      <c r="O16" s="221">
        <f t="shared" ref="O16:U16" si="10">O11+O12-O15</f>
        <v>1312583.6070000001</v>
      </c>
      <c r="P16" s="227">
        <f t="shared" si="10"/>
        <v>1372319.0290980001</v>
      </c>
      <c r="Q16" s="227">
        <f t="shared" si="10"/>
        <v>1438027.9934057998</v>
      </c>
      <c r="R16" s="227">
        <f t="shared" si="10"/>
        <v>1510307.8541443802</v>
      </c>
      <c r="S16" s="227">
        <f t="shared" si="10"/>
        <v>1589815.7009568179</v>
      </c>
      <c r="T16" s="227">
        <f t="shared" si="10"/>
        <v>1677274.3324505</v>
      </c>
      <c r="U16" s="227">
        <f t="shared" si="10"/>
        <v>1773478.8270935498</v>
      </c>
    </row>
    <row r="17" spans="10:24" ht="16.2" thickTop="1">
      <c r="K17" s="132"/>
      <c r="L17" s="132"/>
      <c r="M17" s="132"/>
      <c r="N17" s="25"/>
      <c r="O17" s="219"/>
      <c r="P17" s="219"/>
      <c r="Q17" s="219"/>
      <c r="R17" s="219"/>
      <c r="S17" s="219"/>
      <c r="T17" s="219"/>
      <c r="U17" s="219"/>
    </row>
    <row r="18" spans="10:24">
      <c r="J18" s="124"/>
      <c r="K18" s="124" t="s">
        <v>126</v>
      </c>
      <c r="L18" s="124"/>
      <c r="M18" s="123"/>
      <c r="N18" s="122"/>
      <c r="O18" s="222"/>
      <c r="P18" s="222"/>
      <c r="Q18" s="222"/>
      <c r="R18" s="222"/>
      <c r="S18" s="222"/>
      <c r="T18" s="222"/>
      <c r="U18" s="222"/>
    </row>
    <row r="19" spans="10:24" s="37" customFormat="1">
      <c r="J19" s="130"/>
      <c r="K19" s="130"/>
      <c r="L19" s="130"/>
      <c r="M19" s="131" t="s">
        <v>231</v>
      </c>
      <c r="N19" s="120"/>
      <c r="O19" s="223"/>
      <c r="P19" s="223"/>
      <c r="Q19" s="223"/>
      <c r="R19" s="223"/>
      <c r="S19" s="223"/>
      <c r="T19" s="223"/>
      <c r="U19" s="223"/>
    </row>
    <row r="20" spans="10:24">
      <c r="J20" s="93"/>
      <c r="K20" s="65" t="s">
        <v>124</v>
      </c>
      <c r="L20" s="93"/>
      <c r="M20" s="230">
        <v>0</v>
      </c>
      <c r="N20" s="70"/>
      <c r="O20" s="218"/>
      <c r="P20" s="217">
        <v>0</v>
      </c>
      <c r="Q20" s="217">
        <v>0</v>
      </c>
      <c r="R20" s="217">
        <v>0</v>
      </c>
      <c r="S20" s="217">
        <v>0</v>
      </c>
      <c r="T20" s="217">
        <v>0</v>
      </c>
      <c r="U20" s="217">
        <v>0</v>
      </c>
    </row>
    <row r="21" spans="10:24">
      <c r="K21" s="37" t="s">
        <v>123</v>
      </c>
      <c r="M21" s="231">
        <f>O21/O8</f>
        <v>2.212226199655408E-2</v>
      </c>
      <c r="N21" s="51"/>
      <c r="O21" s="218">
        <f>(6632644+430259)/1000</f>
        <v>7062.9030000000002</v>
      </c>
      <c r="P21" s="218">
        <f>P8*$M$21</f>
        <v>7062.9030000000002</v>
      </c>
      <c r="Q21" s="218">
        <f t="shared" ref="Q21:U21" si="11">Q8*$M$21</f>
        <v>7062.9030000000002</v>
      </c>
      <c r="R21" s="218">
        <f t="shared" si="11"/>
        <v>7062.9030000000002</v>
      </c>
      <c r="S21" s="218">
        <f t="shared" si="11"/>
        <v>7062.9030000000002</v>
      </c>
      <c r="T21" s="218">
        <f t="shared" si="11"/>
        <v>7062.9030000000002</v>
      </c>
      <c r="U21" s="218">
        <f t="shared" si="11"/>
        <v>7062.9030000000002</v>
      </c>
    </row>
    <row r="22" spans="10:24">
      <c r="K22" s="37" t="s">
        <v>122</v>
      </c>
      <c r="M22" s="231">
        <f t="shared" ref="M22:M23" si="12">O22/O9</f>
        <v>5.9572791390733279E-2</v>
      </c>
      <c r="N22" s="51"/>
      <c r="O22" s="218">
        <f>28376601/1000</f>
        <v>28376.600999999999</v>
      </c>
      <c r="P22" s="218">
        <f>P9*$M$22</f>
        <v>28376.600999999999</v>
      </c>
      <c r="Q22" s="218">
        <f t="shared" ref="Q22:U22" si="13">Q9*$M$22</f>
        <v>28376.600999999999</v>
      </c>
      <c r="R22" s="218">
        <f t="shared" si="13"/>
        <v>28376.600999999999</v>
      </c>
      <c r="S22" s="218">
        <f t="shared" si="13"/>
        <v>28376.600999999999</v>
      </c>
      <c r="T22" s="218">
        <f t="shared" si="13"/>
        <v>28376.600999999999</v>
      </c>
      <c r="U22" s="218">
        <f t="shared" si="13"/>
        <v>28376.600999999999</v>
      </c>
    </row>
    <row r="23" spans="10:24">
      <c r="J23" s="53"/>
      <c r="K23" s="48" t="s">
        <v>121</v>
      </c>
      <c r="L23" s="53"/>
      <c r="M23" s="231">
        <f t="shared" si="12"/>
        <v>0.10338846944540772</v>
      </c>
      <c r="N23" s="61"/>
      <c r="O23" s="218">
        <f>(641972+1319823+3129501+608310+4053389+1622570)/1000</f>
        <v>11375.565000000001</v>
      </c>
      <c r="P23" s="214">
        <f>P10*$M$23</f>
        <v>11835.397004143968</v>
      </c>
      <c r="Q23" s="214">
        <f t="shared" ref="Q23:U23" si="14">Q10*$M$23</f>
        <v>18011.350866531575</v>
      </c>
      <c r="R23" s="214">
        <f t="shared" si="14"/>
        <v>24804.900115157943</v>
      </c>
      <c r="S23" s="214">
        <f t="shared" si="14"/>
        <v>32277.804288646948</v>
      </c>
      <c r="T23" s="214">
        <f t="shared" si="14"/>
        <v>40497.998879484854</v>
      </c>
      <c r="U23" s="214">
        <f t="shared" si="14"/>
        <v>49540.212929406553</v>
      </c>
    </row>
    <row r="24" spans="10:24" ht="16.2" thickBot="1">
      <c r="J24" s="127"/>
      <c r="K24" s="128" t="s">
        <v>120</v>
      </c>
      <c r="L24" s="127"/>
      <c r="M24" s="127"/>
      <c r="N24" s="126"/>
      <c r="O24" s="221">
        <f t="shared" ref="O24:U24" si="15">SUM(O20:O23)</f>
        <v>46815.069000000003</v>
      </c>
      <c r="P24" s="227">
        <f t="shared" si="15"/>
        <v>47274.901004143969</v>
      </c>
      <c r="Q24" s="227">
        <f t="shared" si="15"/>
        <v>53450.854866531576</v>
      </c>
      <c r="R24" s="227">
        <f t="shared" si="15"/>
        <v>60244.404115157944</v>
      </c>
      <c r="S24" s="227">
        <f t="shared" si="15"/>
        <v>67717.308288646949</v>
      </c>
      <c r="T24" s="227">
        <f t="shared" si="15"/>
        <v>75937.502879484848</v>
      </c>
      <c r="U24" s="227">
        <f t="shared" si="15"/>
        <v>84979.716929406553</v>
      </c>
      <c r="X24" s="56"/>
    </row>
    <row r="25" spans="10:24" ht="16.2" thickTop="1">
      <c r="K25" s="37"/>
      <c r="N25" s="51"/>
      <c r="O25" s="218"/>
      <c r="P25" s="218"/>
      <c r="Q25" s="218"/>
      <c r="R25" s="218"/>
      <c r="S25" s="218"/>
      <c r="T25" s="218"/>
      <c r="U25" s="218"/>
    </row>
    <row r="26" spans="10:24">
      <c r="J26" s="124"/>
      <c r="K26" s="124" t="s">
        <v>125</v>
      </c>
      <c r="L26" s="124"/>
      <c r="M26" s="123"/>
      <c r="N26" s="122"/>
      <c r="O26" s="222"/>
      <c r="P26" s="222"/>
      <c r="Q26" s="222"/>
      <c r="R26" s="222"/>
      <c r="S26" s="222"/>
      <c r="T26" s="222"/>
      <c r="U26" s="222"/>
    </row>
    <row r="27" spans="10:24">
      <c r="J27" s="130"/>
      <c r="K27" s="130"/>
      <c r="L27" s="130"/>
      <c r="M27" s="129"/>
      <c r="N27" s="120"/>
      <c r="O27" s="223"/>
      <c r="P27" s="223"/>
      <c r="Q27" s="223"/>
      <c r="R27" s="223"/>
      <c r="S27" s="223"/>
      <c r="T27" s="223"/>
      <c r="U27" s="223"/>
    </row>
    <row r="28" spans="10:24">
      <c r="J28" s="93"/>
      <c r="K28" s="65" t="s">
        <v>124</v>
      </c>
      <c r="L28" s="93"/>
      <c r="M28" s="93"/>
      <c r="N28" s="70"/>
      <c r="O28" s="217">
        <v>0</v>
      </c>
      <c r="P28" s="217">
        <v>0</v>
      </c>
      <c r="Q28" s="217">
        <v>0</v>
      </c>
      <c r="R28" s="217">
        <v>0</v>
      </c>
      <c r="S28" s="217">
        <v>0</v>
      </c>
      <c r="T28" s="217">
        <v>0</v>
      </c>
      <c r="U28" s="217">
        <v>0</v>
      </c>
    </row>
    <row r="29" spans="10:24">
      <c r="K29" s="37" t="s">
        <v>123</v>
      </c>
      <c r="N29" s="51"/>
      <c r="O29" s="218">
        <f>(65669210)/1000</f>
        <v>65669.210000000006</v>
      </c>
      <c r="P29" s="218">
        <f>O29+P21</f>
        <v>72732.113000000012</v>
      </c>
      <c r="Q29" s="218">
        <f t="shared" ref="Q29:U31" si="16">P29+Q21</f>
        <v>79795.016000000018</v>
      </c>
      <c r="R29" s="218">
        <f t="shared" si="16"/>
        <v>86857.919000000024</v>
      </c>
      <c r="S29" s="218">
        <f t="shared" si="16"/>
        <v>93920.822000000029</v>
      </c>
      <c r="T29" s="218">
        <f t="shared" si="16"/>
        <v>100983.72500000003</v>
      </c>
      <c r="U29" s="218">
        <f t="shared" si="16"/>
        <v>108046.62800000004</v>
      </c>
    </row>
    <row r="30" spans="10:24">
      <c r="K30" s="37" t="s">
        <v>122</v>
      </c>
      <c r="N30" s="51"/>
      <c r="O30" s="218">
        <f>301576943/1000</f>
        <v>301576.94300000003</v>
      </c>
      <c r="P30" s="218">
        <f>O30+P22</f>
        <v>329953.54400000005</v>
      </c>
      <c r="Q30" s="218">
        <f t="shared" si="16"/>
        <v>358330.14500000008</v>
      </c>
      <c r="R30" s="218">
        <f t="shared" si="16"/>
        <v>386706.7460000001</v>
      </c>
      <c r="S30" s="218">
        <f t="shared" si="16"/>
        <v>415083.34700000013</v>
      </c>
      <c r="T30" s="218">
        <f t="shared" si="16"/>
        <v>443459.94800000015</v>
      </c>
      <c r="U30" s="218">
        <f t="shared" si="16"/>
        <v>471836.54900000017</v>
      </c>
    </row>
    <row r="31" spans="10:24">
      <c r="J31" s="53"/>
      <c r="K31" s="48" t="s">
        <v>121</v>
      </c>
      <c r="L31" s="53"/>
      <c r="M31" s="53"/>
      <c r="N31" s="61"/>
      <c r="O31" s="218">
        <f>(8795129+5890547+30116505+2794786+32589156)/1000</f>
        <v>80186.123000000007</v>
      </c>
      <c r="P31" s="214">
        <f>O31+P23</f>
        <v>92021.520004143968</v>
      </c>
      <c r="Q31" s="214">
        <f t="shared" si="16"/>
        <v>110032.87087067554</v>
      </c>
      <c r="R31" s="214">
        <f t="shared" si="16"/>
        <v>134837.77098583349</v>
      </c>
      <c r="S31" s="214">
        <f t="shared" si="16"/>
        <v>167115.57527448045</v>
      </c>
      <c r="T31" s="214">
        <f t="shared" si="16"/>
        <v>207613.57415396531</v>
      </c>
      <c r="U31" s="214">
        <f t="shared" si="16"/>
        <v>257153.78708337186</v>
      </c>
    </row>
    <row r="32" spans="10:24" ht="16.2" thickBot="1">
      <c r="J32" s="127"/>
      <c r="K32" s="128" t="s">
        <v>120</v>
      </c>
      <c r="L32" s="127"/>
      <c r="M32" s="127"/>
      <c r="N32" s="126"/>
      <c r="O32" s="216">
        <f>SUM(O28:O31)</f>
        <v>447432.27600000007</v>
      </c>
      <c r="P32" s="227">
        <f t="shared" ref="P32:U32" si="17">SUM(P28:P31)</f>
        <v>494707.17700414406</v>
      </c>
      <c r="Q32" s="227">
        <f t="shared" si="17"/>
        <v>548158.03187067562</v>
      </c>
      <c r="R32" s="227">
        <f t="shared" si="17"/>
        <v>608402.43598583364</v>
      </c>
      <c r="S32" s="227">
        <f t="shared" si="17"/>
        <v>676119.74427448062</v>
      </c>
      <c r="T32" s="227">
        <f t="shared" si="17"/>
        <v>752057.24715396552</v>
      </c>
      <c r="U32" s="227">
        <f t="shared" si="17"/>
        <v>837036.96408337215</v>
      </c>
    </row>
    <row r="33" spans="1:64" ht="16.2" thickTop="1">
      <c r="N33" s="51"/>
      <c r="O33" s="218"/>
      <c r="P33" s="218"/>
      <c r="Q33" s="218"/>
      <c r="R33" s="218"/>
      <c r="S33" s="218"/>
      <c r="T33" s="218"/>
      <c r="U33" s="218"/>
    </row>
    <row r="34" spans="1:64" s="113" customFormat="1">
      <c r="A34" s="17"/>
      <c r="B34" s="17"/>
      <c r="C34" s="17"/>
      <c r="D34" s="17"/>
      <c r="E34" s="17"/>
      <c r="F34" s="17"/>
      <c r="G34" s="17"/>
      <c r="H34" s="17"/>
      <c r="I34" s="17"/>
      <c r="J34" s="124"/>
      <c r="K34" s="124"/>
      <c r="L34" s="124"/>
      <c r="M34" s="123"/>
      <c r="N34" s="122"/>
      <c r="O34" s="222"/>
      <c r="P34" s="222"/>
      <c r="Q34" s="222"/>
      <c r="R34" s="222"/>
      <c r="S34" s="222"/>
      <c r="T34" s="222"/>
      <c r="U34" s="222"/>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121"/>
    </row>
    <row r="35" spans="1:64" s="17" customFormat="1">
      <c r="J35" s="18"/>
      <c r="K35" s="18"/>
      <c r="L35" s="18"/>
      <c r="M35" s="34"/>
      <c r="N35" s="120"/>
      <c r="O35" s="224"/>
      <c r="P35" s="224"/>
      <c r="Q35" s="224"/>
      <c r="R35" s="224"/>
      <c r="S35" s="224"/>
      <c r="T35" s="224"/>
      <c r="U35" s="224"/>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58"/>
    </row>
    <row r="36" spans="1:64">
      <c r="J36" s="93"/>
      <c r="K36" s="93" t="s">
        <v>119</v>
      </c>
      <c r="L36" s="119"/>
      <c r="M36" s="119"/>
      <c r="N36" s="118"/>
      <c r="O36" s="225">
        <f>O16</f>
        <v>1312583.6070000001</v>
      </c>
      <c r="P36" s="225">
        <f t="shared" ref="P36:U36" si="18">P16</f>
        <v>1372319.0290980001</v>
      </c>
      <c r="Q36" s="225">
        <f t="shared" si="18"/>
        <v>1438027.9934057998</v>
      </c>
      <c r="R36" s="225">
        <f t="shared" si="18"/>
        <v>1510307.8541443802</v>
      </c>
      <c r="S36" s="225">
        <f t="shared" si="18"/>
        <v>1589815.7009568179</v>
      </c>
      <c r="T36" s="225">
        <f t="shared" si="18"/>
        <v>1677274.3324505</v>
      </c>
      <c r="U36" s="225">
        <f t="shared" si="18"/>
        <v>1773478.8270935498</v>
      </c>
    </row>
    <row r="37" spans="1:64">
      <c r="K37" s="38" t="s">
        <v>118</v>
      </c>
      <c r="N37" s="51"/>
      <c r="O37" s="226">
        <f>-O32</f>
        <v>-447432.27600000007</v>
      </c>
      <c r="P37" s="226">
        <f t="shared" ref="P37:U37" si="19">-P32</f>
        <v>-494707.17700414406</v>
      </c>
      <c r="Q37" s="226">
        <f t="shared" si="19"/>
        <v>-548158.03187067562</v>
      </c>
      <c r="R37" s="226">
        <f t="shared" si="19"/>
        <v>-608402.43598583364</v>
      </c>
      <c r="S37" s="226">
        <f t="shared" si="19"/>
        <v>-676119.74427448062</v>
      </c>
      <c r="T37" s="226">
        <f t="shared" si="19"/>
        <v>-752057.24715396552</v>
      </c>
      <c r="U37" s="226">
        <f t="shared" si="19"/>
        <v>-837036.96408337215</v>
      </c>
    </row>
    <row r="38" spans="1:64">
      <c r="J38" s="53"/>
      <c r="K38" s="53" t="s">
        <v>117</v>
      </c>
      <c r="L38" s="53"/>
      <c r="M38" s="53"/>
      <c r="N38" s="61"/>
      <c r="O38" s="372">
        <f>SUM(O36:O37)</f>
        <v>865151.33100000001</v>
      </c>
      <c r="P38" s="214">
        <f>SUM(P36:P37)</f>
        <v>877611.85209385608</v>
      </c>
      <c r="Q38" s="214">
        <f t="shared" ref="Q38:U38" si="20">SUM(Q36:Q37)</f>
        <v>889869.96153512422</v>
      </c>
      <c r="R38" s="214">
        <f t="shared" si="20"/>
        <v>901905.41815854656</v>
      </c>
      <c r="S38" s="214">
        <f t="shared" si="20"/>
        <v>913695.95668233733</v>
      </c>
      <c r="T38" s="214">
        <f t="shared" si="20"/>
        <v>925217.08529653447</v>
      </c>
      <c r="U38" s="214">
        <f t="shared" si="20"/>
        <v>936441.86301017762</v>
      </c>
    </row>
    <row r="39" spans="1:64">
      <c r="P39" s="373"/>
      <c r="V39" s="376"/>
    </row>
    <row r="40" spans="1:64">
      <c r="H40" s="64"/>
      <c r="I40" s="64"/>
      <c r="J40" s="64" t="s">
        <v>227</v>
      </c>
      <c r="K40" s="64"/>
      <c r="L40" s="64"/>
      <c r="M40" s="64"/>
      <c r="N40" s="63" t="s">
        <v>53</v>
      </c>
      <c r="O40" s="62">
        <v>2019</v>
      </c>
      <c r="P40" s="62">
        <f t="shared" ref="P40:U40" si="21">+O40+1</f>
        <v>2020</v>
      </c>
      <c r="Q40" s="62">
        <f t="shared" si="21"/>
        <v>2021</v>
      </c>
      <c r="R40" s="62">
        <f t="shared" si="21"/>
        <v>2022</v>
      </c>
      <c r="S40" s="62">
        <f t="shared" si="21"/>
        <v>2023</v>
      </c>
      <c r="T40" s="62">
        <f t="shared" si="21"/>
        <v>2024</v>
      </c>
      <c r="U40" s="62">
        <f t="shared" si="21"/>
        <v>2025</v>
      </c>
    </row>
    <row r="41" spans="1:64">
      <c r="H41" s="53"/>
      <c r="I41" s="53"/>
      <c r="J41" s="53"/>
      <c r="K41" s="53"/>
      <c r="L41" s="53"/>
      <c r="M41" s="53"/>
      <c r="N41" s="61"/>
      <c r="O41" s="138" t="s">
        <v>54</v>
      </c>
      <c r="P41" s="208" t="s">
        <v>55</v>
      </c>
      <c r="Q41" s="208" t="s">
        <v>55</v>
      </c>
      <c r="R41" s="208" t="s">
        <v>55</v>
      </c>
      <c r="S41" s="208" t="s">
        <v>55</v>
      </c>
      <c r="T41" s="208" t="s">
        <v>55</v>
      </c>
      <c r="U41" s="208" t="s">
        <v>55</v>
      </c>
    </row>
    <row r="42" spans="1:64">
      <c r="J42" s="93"/>
      <c r="K42" s="65" t="s">
        <v>228</v>
      </c>
      <c r="L42" s="93"/>
      <c r="M42" s="93"/>
      <c r="N42" s="70"/>
      <c r="O42" s="217">
        <f>12295999/1000</f>
        <v>12295.999</v>
      </c>
      <c r="P42" s="217">
        <f>O42*$V$42</f>
        <v>12320.590998</v>
      </c>
      <c r="Q42" s="217">
        <f t="shared" ref="Q42:U42" si="22">P42*$V$42</f>
        <v>12345.232179995999</v>
      </c>
      <c r="R42" s="217">
        <f t="shared" si="22"/>
        <v>12369.922644355991</v>
      </c>
      <c r="S42" s="217">
        <f t="shared" si="22"/>
        <v>12394.662489644703</v>
      </c>
      <c r="T42" s="217">
        <f t="shared" si="22"/>
        <v>12419.451814623992</v>
      </c>
      <c r="U42" s="217">
        <f t="shared" si="22"/>
        <v>12444.29071825324</v>
      </c>
      <c r="V42" s="377">
        <f>1+0.002</f>
        <v>1.002</v>
      </c>
      <c r="W42" s="56" t="s">
        <v>284</v>
      </c>
    </row>
    <row r="43" spans="1:64">
      <c r="K43" s="38" t="s">
        <v>229</v>
      </c>
      <c r="N43" s="51"/>
      <c r="O43" s="142">
        <f>17458017/1000</f>
        <v>17458.017</v>
      </c>
      <c r="P43" s="142">
        <f>O43*$V$42</f>
        <v>17492.933034000001</v>
      </c>
      <c r="Q43" s="142">
        <f t="shared" ref="Q43:U43" si="23">P43*$V$42</f>
        <v>17527.918900068002</v>
      </c>
      <c r="R43" s="142">
        <f t="shared" si="23"/>
        <v>17562.974737868139</v>
      </c>
      <c r="S43" s="142">
        <f t="shared" si="23"/>
        <v>17598.100687343875</v>
      </c>
      <c r="T43" s="142">
        <f t="shared" si="23"/>
        <v>17633.296888718563</v>
      </c>
      <c r="U43" s="142">
        <f t="shared" si="23"/>
        <v>17668.563482496</v>
      </c>
    </row>
    <row r="44" spans="1:64">
      <c r="H44" s="48"/>
      <c r="I44" s="48"/>
      <c r="J44" s="53"/>
      <c r="K44" s="53" t="s">
        <v>230</v>
      </c>
      <c r="L44" s="53"/>
      <c r="M44" s="53"/>
      <c r="N44" s="61"/>
      <c r="O44" s="228">
        <f>694962/1000</f>
        <v>694.96199999999999</v>
      </c>
      <c r="P44" s="228">
        <f>O44*$V$42</f>
        <v>696.35192399999994</v>
      </c>
      <c r="Q44" s="228">
        <f t="shared" ref="Q44:U44" si="24">P44*$V$42</f>
        <v>697.74462784799994</v>
      </c>
      <c r="R44" s="228">
        <f t="shared" si="24"/>
        <v>699.14011710369596</v>
      </c>
      <c r="S44" s="228">
        <f t="shared" si="24"/>
        <v>700.53839733790335</v>
      </c>
      <c r="T44" s="228">
        <f t="shared" si="24"/>
        <v>701.93947413257911</v>
      </c>
      <c r="U44" s="228">
        <f t="shared" si="24"/>
        <v>703.34335308084428</v>
      </c>
    </row>
    <row r="45" spans="1:64" ht="16.2" thickBot="1">
      <c r="F45" s="127"/>
      <c r="G45" s="127"/>
      <c r="H45" s="127"/>
      <c r="I45" s="127"/>
      <c r="J45" s="127"/>
      <c r="K45" s="128" t="s">
        <v>237</v>
      </c>
      <c r="L45" s="127"/>
      <c r="M45" s="127"/>
      <c r="N45" s="126"/>
      <c r="O45" s="216">
        <f>SUM(O41:O44)</f>
        <v>30448.977999999999</v>
      </c>
      <c r="P45" s="227">
        <f>SUM(P41:P44)</f>
        <v>30509.875956</v>
      </c>
      <c r="Q45" s="227">
        <f t="shared" ref="Q45:U45" si="25">SUM(Q41:Q44)</f>
        <v>30570.895707912001</v>
      </c>
      <c r="R45" s="227">
        <f t="shared" si="25"/>
        <v>30632.037499327827</v>
      </c>
      <c r="S45" s="227">
        <f t="shared" si="25"/>
        <v>30693.30157432648</v>
      </c>
      <c r="T45" s="227">
        <f t="shared" si="25"/>
        <v>30754.688177475135</v>
      </c>
      <c r="U45" s="227">
        <f t="shared" si="25"/>
        <v>30816.197553830083</v>
      </c>
    </row>
    <row r="46" spans="1:64" ht="16.2" thickTop="1">
      <c r="F46" s="38"/>
      <c r="G46" s="38"/>
      <c r="H46" s="38"/>
      <c r="I46" s="38"/>
    </row>
    <row r="47" spans="1:64">
      <c r="F47" s="124"/>
      <c r="G47" s="124"/>
      <c r="H47" s="124"/>
      <c r="I47" s="124"/>
      <c r="J47" s="124"/>
      <c r="K47" s="124" t="s">
        <v>126</v>
      </c>
      <c r="L47" s="124"/>
      <c r="M47" s="123"/>
      <c r="N47" s="122"/>
      <c r="O47" s="222"/>
      <c r="P47" s="222"/>
      <c r="Q47" s="222"/>
      <c r="R47" s="222"/>
      <c r="S47" s="222"/>
      <c r="T47" s="222"/>
      <c r="U47" s="222"/>
    </row>
    <row r="48" spans="1:64">
      <c r="F48" s="130"/>
      <c r="G48" s="130"/>
      <c r="H48" s="130"/>
      <c r="I48" s="130"/>
      <c r="J48" s="130"/>
      <c r="K48" s="130"/>
      <c r="L48" s="130"/>
      <c r="M48" s="131" t="s">
        <v>232</v>
      </c>
      <c r="N48" s="120"/>
      <c r="O48" s="223"/>
      <c r="P48" s="223"/>
      <c r="Q48" s="223"/>
      <c r="R48" s="223"/>
      <c r="S48" s="223"/>
      <c r="T48" s="223"/>
      <c r="U48" s="223"/>
    </row>
    <row r="49" spans="6:21">
      <c r="F49" s="38"/>
      <c r="G49" s="38"/>
      <c r="H49" s="38"/>
      <c r="I49" s="38"/>
      <c r="K49" s="65" t="s">
        <v>228</v>
      </c>
      <c r="M49" s="231">
        <f>O49/O42</f>
        <v>6.6633951417855525E-2</v>
      </c>
      <c r="N49" s="51"/>
      <c r="O49" s="218">
        <f>819331/1000</f>
        <v>819.33100000000002</v>
      </c>
      <c r="P49" s="218">
        <f>P42*$M$49</f>
        <v>820.96966200000008</v>
      </c>
      <c r="Q49" s="218">
        <f t="shared" ref="Q49:U49" si="26">Q42*$M$49</f>
        <v>822.61160132400005</v>
      </c>
      <c r="R49" s="218">
        <f t="shared" si="26"/>
        <v>824.25682452664807</v>
      </c>
      <c r="S49" s="218">
        <f t="shared" si="26"/>
        <v>825.90533817570133</v>
      </c>
      <c r="T49" s="218">
        <f t="shared" si="26"/>
        <v>827.55714885205271</v>
      </c>
      <c r="U49" s="218">
        <f t="shared" si="26"/>
        <v>829.21226314975684</v>
      </c>
    </row>
    <row r="50" spans="6:21">
      <c r="F50" s="38"/>
      <c r="G50" s="38"/>
      <c r="H50" s="38"/>
      <c r="I50" s="38"/>
      <c r="K50" s="38" t="s">
        <v>229</v>
      </c>
      <c r="M50" s="231">
        <f>O50/O43</f>
        <v>0.1077876141373903</v>
      </c>
      <c r="N50" s="51"/>
      <c r="O50" s="218">
        <f>1881758/1000</f>
        <v>1881.758</v>
      </c>
      <c r="P50" s="218">
        <f>P43*$M$50</f>
        <v>1885.5215160000002</v>
      </c>
      <c r="Q50" s="218">
        <f t="shared" ref="Q50:U50" si="27">Q43*$M$50</f>
        <v>1889.2925590320003</v>
      </c>
      <c r="R50" s="218">
        <f t="shared" si="27"/>
        <v>1893.0711441500644</v>
      </c>
      <c r="S50" s="218">
        <f t="shared" si="27"/>
        <v>1896.8572864383646</v>
      </c>
      <c r="T50" s="218">
        <f t="shared" si="27"/>
        <v>1900.6510010112413</v>
      </c>
      <c r="U50" s="218">
        <f t="shared" si="27"/>
        <v>1904.4523030132639</v>
      </c>
    </row>
    <row r="51" spans="6:21">
      <c r="F51" s="53"/>
      <c r="G51" s="53"/>
      <c r="H51" s="53"/>
      <c r="I51" s="53"/>
      <c r="J51" s="53"/>
      <c r="K51" s="53" t="s">
        <v>230</v>
      </c>
      <c r="L51" s="53"/>
      <c r="M51" s="232">
        <f>O51/O44</f>
        <v>0.248813604197064</v>
      </c>
      <c r="N51" s="61"/>
      <c r="O51" s="218">
        <f>172916/1000</f>
        <v>172.916</v>
      </c>
      <c r="P51" s="214">
        <f>$M$51*P44</f>
        <v>173.26183199999997</v>
      </c>
      <c r="Q51" s="214">
        <f t="shared" ref="Q51:U51" si="28">$M$51*Q44</f>
        <v>173.60835566399999</v>
      </c>
      <c r="R51" s="214">
        <f t="shared" si="28"/>
        <v>173.95557237532799</v>
      </c>
      <c r="S51" s="214">
        <f t="shared" si="28"/>
        <v>174.30348352007863</v>
      </c>
      <c r="T51" s="214">
        <f t="shared" si="28"/>
        <v>174.65209048711878</v>
      </c>
      <c r="U51" s="214">
        <f t="shared" si="28"/>
        <v>175.00139466809301</v>
      </c>
    </row>
    <row r="52" spans="6:21" ht="16.2" thickBot="1">
      <c r="F52" s="127"/>
      <c r="G52" s="127"/>
      <c r="H52" s="127"/>
      <c r="I52" s="127"/>
      <c r="J52" s="127"/>
      <c r="K52" s="128" t="s">
        <v>120</v>
      </c>
      <c r="L52" s="127"/>
      <c r="M52" s="127"/>
      <c r="N52" s="126"/>
      <c r="O52" s="216">
        <f>SUM(O49:O51)</f>
        <v>2874.0050000000001</v>
      </c>
      <c r="P52" s="227">
        <f>SUM(P49:P51)</f>
        <v>2879.7530100000004</v>
      </c>
      <c r="Q52" s="227">
        <f t="shared" ref="Q52:U52" si="29">SUM(Q49:Q51)</f>
        <v>2885.5125160200005</v>
      </c>
      <c r="R52" s="227">
        <f t="shared" si="29"/>
        <v>2891.2835410520402</v>
      </c>
      <c r="S52" s="227">
        <f t="shared" si="29"/>
        <v>2897.0661081341445</v>
      </c>
      <c r="T52" s="227">
        <f t="shared" si="29"/>
        <v>2902.8602403504128</v>
      </c>
      <c r="U52" s="227">
        <f t="shared" si="29"/>
        <v>2908.6659608311138</v>
      </c>
    </row>
    <row r="53" spans="6:21" ht="16.2" thickTop="1">
      <c r="F53" s="38"/>
      <c r="G53" s="38"/>
      <c r="H53" s="38"/>
      <c r="I53" s="38"/>
      <c r="K53" s="37"/>
      <c r="N53" s="51"/>
      <c r="O53" s="218"/>
      <c r="P53" s="218"/>
      <c r="Q53" s="218"/>
      <c r="R53" s="218"/>
      <c r="S53" s="218"/>
      <c r="T53" s="218"/>
      <c r="U53" s="218"/>
    </row>
    <row r="54" spans="6:21">
      <c r="F54" s="124"/>
      <c r="G54" s="124"/>
      <c r="H54" s="124"/>
      <c r="I54" s="124"/>
      <c r="J54" s="124"/>
      <c r="K54" s="124" t="s">
        <v>125</v>
      </c>
      <c r="L54" s="124"/>
      <c r="M54" s="123"/>
      <c r="N54" s="122"/>
      <c r="O54" s="222"/>
      <c r="P54" s="222"/>
      <c r="Q54" s="222"/>
      <c r="R54" s="222"/>
      <c r="S54" s="222"/>
      <c r="T54" s="222"/>
      <c r="U54" s="222"/>
    </row>
    <row r="55" spans="6:21">
      <c r="F55" s="130"/>
      <c r="G55" s="130"/>
      <c r="H55" s="130"/>
      <c r="I55" s="130"/>
      <c r="J55" s="130"/>
      <c r="K55" s="130"/>
      <c r="L55" s="130"/>
      <c r="M55" s="129"/>
      <c r="N55" s="120"/>
      <c r="O55" s="223"/>
      <c r="P55" s="223"/>
      <c r="Q55" s="223"/>
      <c r="R55" s="223"/>
      <c r="S55" s="223"/>
      <c r="T55" s="223"/>
      <c r="U55" s="223"/>
    </row>
    <row r="56" spans="6:21">
      <c r="F56" s="93"/>
      <c r="G56" s="93"/>
      <c r="H56" s="93"/>
      <c r="I56" s="93"/>
      <c r="J56" s="93"/>
      <c r="K56" s="65" t="s">
        <v>228</v>
      </c>
      <c r="L56" s="93"/>
      <c r="M56" s="93"/>
      <c r="N56" s="70"/>
      <c r="O56" s="217">
        <f>11413803/1000</f>
        <v>11413.803</v>
      </c>
      <c r="P56" s="217">
        <f>O56+P49</f>
        <v>12234.772661999999</v>
      </c>
      <c r="Q56" s="217">
        <f t="shared" ref="Q56:U56" si="30">P56+Q49</f>
        <v>13057.384263324</v>
      </c>
      <c r="R56" s="217">
        <f t="shared" si="30"/>
        <v>13881.641087850649</v>
      </c>
      <c r="S56" s="217">
        <f t="shared" si="30"/>
        <v>14707.546426026351</v>
      </c>
      <c r="T56" s="217">
        <f t="shared" si="30"/>
        <v>15535.103574878403</v>
      </c>
      <c r="U56" s="217">
        <f t="shared" si="30"/>
        <v>16364.31583802816</v>
      </c>
    </row>
    <row r="57" spans="6:21">
      <c r="F57" s="38"/>
      <c r="G57" s="38"/>
      <c r="H57" s="38"/>
      <c r="I57" s="38"/>
      <c r="K57" s="38" t="s">
        <v>229</v>
      </c>
      <c r="N57" s="51"/>
      <c r="O57" s="218">
        <f>3307638/1000</f>
        <v>3307.6379999999999</v>
      </c>
      <c r="P57" s="218">
        <f>O57+P50</f>
        <v>5193.1595159999997</v>
      </c>
      <c r="Q57" s="218">
        <f t="shared" ref="Q57:U57" si="31">P57+Q50</f>
        <v>7082.4520750319998</v>
      </c>
      <c r="R57" s="218">
        <f t="shared" si="31"/>
        <v>8975.5232191820651</v>
      </c>
      <c r="S57" s="218">
        <f t="shared" si="31"/>
        <v>10872.380505620429</v>
      </c>
      <c r="T57" s="218">
        <f t="shared" si="31"/>
        <v>12773.031506631671</v>
      </c>
      <c r="U57" s="218">
        <f t="shared" si="31"/>
        <v>14677.483809644935</v>
      </c>
    </row>
    <row r="58" spans="6:21">
      <c r="F58" s="38"/>
      <c r="G58" s="38"/>
      <c r="H58" s="38"/>
      <c r="I58" s="38"/>
      <c r="K58" s="53" t="s">
        <v>230</v>
      </c>
      <c r="N58" s="51"/>
      <c r="O58" s="218">
        <f>681750/1000</f>
        <v>681.75</v>
      </c>
      <c r="P58" s="214">
        <f>O58+P51</f>
        <v>855.01183199999991</v>
      </c>
      <c r="Q58" s="214">
        <f t="shared" ref="Q58:U58" si="32">P58+Q51</f>
        <v>1028.6201876639998</v>
      </c>
      <c r="R58" s="214">
        <f t="shared" si="32"/>
        <v>1202.5757600393279</v>
      </c>
      <c r="S58" s="214">
        <f t="shared" si="32"/>
        <v>1376.8792435594064</v>
      </c>
      <c r="T58" s="214">
        <f t="shared" si="32"/>
        <v>1551.5313340465252</v>
      </c>
      <c r="U58" s="214">
        <f t="shared" si="32"/>
        <v>1726.5327287146183</v>
      </c>
    </row>
    <row r="59" spans="6:21" ht="16.2" thickBot="1">
      <c r="F59" s="127"/>
      <c r="G59" s="127"/>
      <c r="H59" s="127"/>
      <c r="I59" s="127"/>
      <c r="J59" s="127"/>
      <c r="K59" s="128" t="s">
        <v>120</v>
      </c>
      <c r="L59" s="127"/>
      <c r="M59" s="127"/>
      <c r="N59" s="126"/>
      <c r="O59" s="216">
        <f t="shared" ref="O59:U59" si="33">SUM(O56:O58)</f>
        <v>15403.190999999999</v>
      </c>
      <c r="P59" s="227">
        <f t="shared" si="33"/>
        <v>18282.944009999999</v>
      </c>
      <c r="Q59" s="227">
        <f t="shared" si="33"/>
        <v>21168.45652602</v>
      </c>
      <c r="R59" s="227">
        <f t="shared" si="33"/>
        <v>24059.740067072038</v>
      </c>
      <c r="S59" s="227">
        <f t="shared" si="33"/>
        <v>26956.806175206188</v>
      </c>
      <c r="T59" s="227">
        <f t="shared" si="33"/>
        <v>29859.6664155566</v>
      </c>
      <c r="U59" s="227">
        <f t="shared" si="33"/>
        <v>32768.332376387712</v>
      </c>
    </row>
    <row r="60" spans="6:21" ht="16.2" thickTop="1">
      <c r="F60" s="38"/>
      <c r="G60" s="38"/>
      <c r="H60" s="38"/>
      <c r="I60" s="38"/>
      <c r="N60" s="51"/>
      <c r="O60" s="218"/>
      <c r="P60" s="218"/>
      <c r="Q60" s="218"/>
      <c r="R60" s="218"/>
      <c r="S60" s="218"/>
      <c r="T60" s="218"/>
      <c r="U60" s="218"/>
    </row>
    <row r="61" spans="6:21">
      <c r="F61" s="124"/>
      <c r="G61" s="124"/>
      <c r="H61" s="124"/>
      <c r="I61" s="124"/>
      <c r="J61" s="124"/>
      <c r="K61" s="124"/>
      <c r="L61" s="124"/>
      <c r="M61" s="123"/>
      <c r="N61" s="122"/>
      <c r="O61" s="222"/>
      <c r="P61" s="222"/>
      <c r="Q61" s="222"/>
      <c r="R61" s="222"/>
      <c r="S61" s="222"/>
      <c r="T61" s="222"/>
      <c r="U61" s="222"/>
    </row>
    <row r="62" spans="6:21">
      <c r="F62" s="18"/>
      <c r="G62" s="18"/>
      <c r="H62" s="18"/>
      <c r="I62" s="18"/>
      <c r="J62" s="18"/>
      <c r="K62" s="18"/>
      <c r="L62" s="18"/>
      <c r="M62" s="34"/>
      <c r="N62" s="120"/>
      <c r="O62" s="224"/>
      <c r="P62" s="224"/>
      <c r="Q62" s="224"/>
      <c r="R62" s="224"/>
      <c r="S62" s="224"/>
      <c r="T62" s="224"/>
      <c r="U62" s="224"/>
    </row>
    <row r="63" spans="6:21">
      <c r="F63" s="93"/>
      <c r="G63" s="93"/>
      <c r="H63" s="93"/>
      <c r="I63" s="93"/>
      <c r="J63" s="93"/>
      <c r="K63" s="93" t="s">
        <v>233</v>
      </c>
      <c r="L63" s="119"/>
      <c r="M63" s="119"/>
      <c r="N63" s="118"/>
      <c r="O63" s="225">
        <f>O45</f>
        <v>30448.977999999999</v>
      </c>
      <c r="P63" s="225">
        <f t="shared" ref="P63:U63" si="34">P45</f>
        <v>30509.875956</v>
      </c>
      <c r="Q63" s="225">
        <f t="shared" si="34"/>
        <v>30570.895707912001</v>
      </c>
      <c r="R63" s="225">
        <f t="shared" si="34"/>
        <v>30632.037499327827</v>
      </c>
      <c r="S63" s="225">
        <f t="shared" si="34"/>
        <v>30693.30157432648</v>
      </c>
      <c r="T63" s="225">
        <f t="shared" si="34"/>
        <v>30754.688177475135</v>
      </c>
      <c r="U63" s="225">
        <f t="shared" si="34"/>
        <v>30816.197553830083</v>
      </c>
    </row>
    <row r="64" spans="6:21">
      <c r="F64" s="38"/>
      <c r="G64" s="38"/>
      <c r="H64" s="38"/>
      <c r="I64" s="38"/>
      <c r="K64" s="38" t="s">
        <v>118</v>
      </c>
      <c r="N64" s="51"/>
      <c r="O64" s="226">
        <f>-O59</f>
        <v>-15403.190999999999</v>
      </c>
      <c r="P64" s="226">
        <f t="shared" ref="P64:U64" si="35">-P59</f>
        <v>-18282.944009999999</v>
      </c>
      <c r="Q64" s="226">
        <f t="shared" si="35"/>
        <v>-21168.45652602</v>
      </c>
      <c r="R64" s="226">
        <f t="shared" si="35"/>
        <v>-24059.740067072038</v>
      </c>
      <c r="S64" s="226">
        <f t="shared" si="35"/>
        <v>-26956.806175206188</v>
      </c>
      <c r="T64" s="226">
        <f t="shared" si="35"/>
        <v>-29859.6664155566</v>
      </c>
      <c r="U64" s="226">
        <f t="shared" si="35"/>
        <v>-32768.332376387712</v>
      </c>
    </row>
    <row r="65" spans="6:21">
      <c r="F65" s="53"/>
      <c r="G65" s="53"/>
      <c r="H65" s="53"/>
      <c r="I65" s="53"/>
      <c r="J65" s="53"/>
      <c r="K65" s="53" t="s">
        <v>234</v>
      </c>
      <c r="L65" s="53"/>
      <c r="M65" s="53"/>
      <c r="N65" s="61"/>
      <c r="O65" s="214">
        <f t="shared" ref="O65" si="36">SUM(O63:O64)</f>
        <v>15045.787</v>
      </c>
      <c r="P65" s="214">
        <f t="shared" ref="P65" si="37">SUM(P63:P64)</f>
        <v>12226.931946000001</v>
      </c>
      <c r="Q65" s="214">
        <f t="shared" ref="Q65" si="38">SUM(Q63:Q64)</f>
        <v>9402.4391818920012</v>
      </c>
      <c r="R65" s="214">
        <f t="shared" ref="R65" si="39">SUM(R63:R64)</f>
        <v>6572.2974322557893</v>
      </c>
      <c r="S65" s="214">
        <f t="shared" ref="S65" si="40">SUM(S63:S64)</f>
        <v>3736.4953991202929</v>
      </c>
      <c r="T65" s="214">
        <f t="shared" ref="T65" si="41">SUM(T63:T64)</f>
        <v>895.02176191853505</v>
      </c>
      <c r="U65" s="214">
        <f t="shared" ref="U65" si="42">SUM(U63:U64)</f>
        <v>-1952.1348225576294</v>
      </c>
    </row>
    <row r="66" spans="6:21">
      <c r="K66" s="38" t="s">
        <v>92</v>
      </c>
    </row>
  </sheetData>
  <mergeCells count="1">
    <mergeCell ref="N12:N15"/>
  </mergeCells>
  <pageMargins left="0.7" right="0.7" top="0.75" bottom="0.75" header="0.3" footer="0.3"/>
  <pageSetup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BM35"/>
  <sheetViews>
    <sheetView showGridLines="0" zoomScale="70" zoomScaleNormal="70" workbookViewId="0">
      <selection activeCell="K20" sqref="K20"/>
    </sheetView>
  </sheetViews>
  <sheetFormatPr defaultColWidth="10" defaultRowHeight="15.6"/>
  <cols>
    <col min="1" max="4" width="0.77734375" style="37" customWidth="1"/>
    <col min="5" max="5" width="3.44140625" style="38" customWidth="1"/>
    <col min="6" max="6" width="37.44140625" style="38" bestFit="1" customWidth="1"/>
    <col min="7" max="7" width="2.33203125" style="38" customWidth="1"/>
    <col min="8" max="8" width="8" style="38" bestFit="1" customWidth="1"/>
    <col min="9" max="9" width="9.5546875" style="38" bestFit="1" customWidth="1"/>
    <col min="10" max="10" width="13.88671875" style="38" bestFit="1" customWidth="1"/>
    <col min="11" max="16" width="11.6640625" style="38" bestFit="1" customWidth="1"/>
    <col min="17" max="16384" width="10" style="38"/>
  </cols>
  <sheetData>
    <row r="1" spans="1:65" ht="22.5" customHeight="1">
      <c r="E1" s="40"/>
    </row>
    <row r="2" spans="1:65" s="115" customFormat="1">
      <c r="A2" s="65"/>
      <c r="B2" s="65"/>
      <c r="C2" s="65"/>
      <c r="D2" s="65"/>
      <c r="E2" s="64" t="s">
        <v>152</v>
      </c>
      <c r="F2" s="64"/>
      <c r="G2" s="64"/>
      <c r="H2" s="64"/>
      <c r="I2" s="63" t="s">
        <v>53</v>
      </c>
      <c r="J2" s="62">
        <v>2019</v>
      </c>
      <c r="K2" s="62">
        <f t="shared" ref="K2:P2" si="0">+J2+1</f>
        <v>2020</v>
      </c>
      <c r="L2" s="62">
        <f t="shared" si="0"/>
        <v>2021</v>
      </c>
      <c r="M2" s="62">
        <f t="shared" si="0"/>
        <v>2022</v>
      </c>
      <c r="N2" s="62">
        <f t="shared" si="0"/>
        <v>2023</v>
      </c>
      <c r="O2" s="62">
        <f t="shared" si="0"/>
        <v>2024</v>
      </c>
      <c r="P2" s="62">
        <f t="shared" si="0"/>
        <v>2025</v>
      </c>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row>
    <row r="3" spans="1:65">
      <c r="A3" s="48"/>
      <c r="B3" s="48"/>
      <c r="C3" s="48"/>
      <c r="D3" s="48"/>
      <c r="E3" s="53"/>
      <c r="F3" s="53"/>
      <c r="G3" s="53"/>
      <c r="H3" s="53"/>
      <c r="I3" s="61"/>
      <c r="J3" s="138" t="s">
        <v>54</v>
      </c>
      <c r="K3" s="208" t="s">
        <v>55</v>
      </c>
      <c r="L3" s="208" t="s">
        <v>55</v>
      </c>
      <c r="M3" s="208" t="s">
        <v>55</v>
      </c>
      <c r="N3" s="208" t="s">
        <v>55</v>
      </c>
      <c r="O3" s="208" t="s">
        <v>55</v>
      </c>
      <c r="P3" s="208" t="s">
        <v>55</v>
      </c>
    </row>
    <row r="4" spans="1:65">
      <c r="I4" s="51"/>
      <c r="J4" s="114"/>
      <c r="K4" s="114"/>
      <c r="L4" s="114"/>
      <c r="M4" s="114"/>
      <c r="N4" s="114"/>
      <c r="O4" s="114"/>
      <c r="P4" s="114"/>
    </row>
    <row r="5" spans="1:65" s="113" customFormat="1">
      <c r="A5" s="17"/>
      <c r="B5" s="17"/>
      <c r="C5" s="17"/>
      <c r="D5" s="17"/>
      <c r="E5" s="31"/>
      <c r="F5" s="31"/>
      <c r="G5" s="31"/>
      <c r="H5" s="32"/>
      <c r="I5" s="21"/>
      <c r="J5" s="22"/>
      <c r="K5" s="22"/>
      <c r="L5" s="22"/>
      <c r="M5" s="22"/>
      <c r="N5" s="22"/>
      <c r="O5" s="22"/>
      <c r="P5" s="22"/>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121"/>
    </row>
    <row r="6" spans="1:65">
      <c r="F6" s="38" t="s">
        <v>151</v>
      </c>
      <c r="I6" s="51"/>
      <c r="J6" s="38">
        <v>365</v>
      </c>
      <c r="K6" s="38">
        <f t="shared" ref="K6:P6" si="1">J6</f>
        <v>365</v>
      </c>
      <c r="L6" s="38">
        <f t="shared" si="1"/>
        <v>365</v>
      </c>
      <c r="M6" s="38">
        <f t="shared" si="1"/>
        <v>365</v>
      </c>
      <c r="N6" s="38">
        <f t="shared" si="1"/>
        <v>365</v>
      </c>
      <c r="O6" s="38">
        <f t="shared" si="1"/>
        <v>365</v>
      </c>
      <c r="P6" s="38">
        <f t="shared" si="1"/>
        <v>365</v>
      </c>
    </row>
    <row r="7" spans="1:65" s="30" customFormat="1">
      <c r="A7" s="17"/>
      <c r="B7" s="17"/>
      <c r="C7" s="17"/>
      <c r="D7" s="17"/>
      <c r="E7" s="157"/>
      <c r="F7" s="157"/>
      <c r="G7" s="157"/>
      <c r="H7" s="156"/>
      <c r="I7" s="155"/>
      <c r="J7" s="154"/>
      <c r="K7" s="154"/>
      <c r="L7" s="154"/>
      <c r="M7" s="154" t="e">
        <f>#REF!/(M6*4)*360</f>
        <v>#REF!</v>
      </c>
      <c r="N7" s="154"/>
      <c r="O7" s="154"/>
      <c r="P7" s="154"/>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153"/>
    </row>
    <row r="8" spans="1:65">
      <c r="F8" s="152" t="s">
        <v>150</v>
      </c>
      <c r="I8" s="23" t="s">
        <v>57</v>
      </c>
      <c r="J8" s="141">
        <f>BS_hist!K6</f>
        <v>447038.978</v>
      </c>
      <c r="K8" s="141">
        <f t="shared" ref="K8:P8" si="2">K9*K10/365</f>
        <v>491742.8758000001</v>
      </c>
      <c r="L8" s="141">
        <f t="shared" si="2"/>
        <v>540917.16338000016</v>
      </c>
      <c r="M8" s="141">
        <f t="shared" si="2"/>
        <v>595008.87971800007</v>
      </c>
      <c r="N8" s="141">
        <f t="shared" si="2"/>
        <v>654509.76768980012</v>
      </c>
      <c r="O8" s="141">
        <f t="shared" si="2"/>
        <v>719960.74445878027</v>
      </c>
      <c r="P8" s="141">
        <f t="shared" si="2"/>
        <v>791956.81890465843</v>
      </c>
    </row>
    <row r="9" spans="1:65">
      <c r="F9" s="149" t="s">
        <v>143</v>
      </c>
      <c r="I9" s="23" t="s">
        <v>57</v>
      </c>
      <c r="J9" s="140">
        <f>'S&amp;P input'!N12</f>
        <v>2492865.7590000001</v>
      </c>
      <c r="K9" s="140">
        <f>'S&amp;P input'!O12</f>
        <v>2742152.3349000001</v>
      </c>
      <c r="L9" s="140">
        <f>'S&amp;P input'!P12</f>
        <v>3016367.5683900006</v>
      </c>
      <c r="M9" s="140">
        <f>'S&amp;P input'!Q12</f>
        <v>3318004.3252290008</v>
      </c>
      <c r="N9" s="140">
        <f>'S&amp;P input'!R12</f>
        <v>3649804.7577519012</v>
      </c>
      <c r="O9" s="140">
        <f>'S&amp;P input'!S12</f>
        <v>4014785.2335270918</v>
      </c>
      <c r="P9" s="140">
        <f>'S&amp;P input'!T12</f>
        <v>4416263.7568798009</v>
      </c>
    </row>
    <row r="10" spans="1:65">
      <c r="F10" s="152" t="s">
        <v>149</v>
      </c>
      <c r="I10" s="23" t="s">
        <v>139</v>
      </c>
      <c r="J10" s="144">
        <f>J8/J9*365</f>
        <v>65.454477996221698</v>
      </c>
      <c r="K10" s="151">
        <f>J10</f>
        <v>65.454477996221698</v>
      </c>
      <c r="L10" s="151">
        <f t="shared" ref="L10:P10" si="3">K10</f>
        <v>65.454477996221698</v>
      </c>
      <c r="M10" s="151">
        <f t="shared" si="3"/>
        <v>65.454477996221698</v>
      </c>
      <c r="N10" s="151">
        <f t="shared" si="3"/>
        <v>65.454477996221698</v>
      </c>
      <c r="O10" s="151">
        <f t="shared" si="3"/>
        <v>65.454477996221698</v>
      </c>
      <c r="P10" s="151">
        <f t="shared" si="3"/>
        <v>65.454477996221698</v>
      </c>
    </row>
    <row r="11" spans="1:65">
      <c r="I11" s="51"/>
    </row>
    <row r="12" spans="1:65">
      <c r="F12" s="38" t="s">
        <v>148</v>
      </c>
      <c r="I12" s="23" t="s">
        <v>57</v>
      </c>
      <c r="J12" s="141">
        <f>BS_hist!K27</f>
        <v>385132.34700000001</v>
      </c>
      <c r="K12" s="141">
        <f t="shared" ref="K12:P12" si="4">K13*K14/365</f>
        <v>436657.33033798542</v>
      </c>
      <c r="L12" s="141">
        <f t="shared" si="4"/>
        <v>486949.86764566693</v>
      </c>
      <c r="M12" s="141">
        <f t="shared" si="4"/>
        <v>532305.67410937871</v>
      </c>
      <c r="N12" s="141">
        <f t="shared" si="4"/>
        <v>578777.62522970664</v>
      </c>
      <c r="O12" s="141">
        <f t="shared" si="4"/>
        <v>637689.00415524468</v>
      </c>
      <c r="P12" s="141">
        <f t="shared" si="4"/>
        <v>705292.39632818953</v>
      </c>
    </row>
    <row r="13" spans="1:65">
      <c r="F13" s="147" t="s">
        <v>58</v>
      </c>
      <c r="I13" s="23" t="s">
        <v>57</v>
      </c>
      <c r="J13" s="142">
        <f>-IS!N8</f>
        <v>1879435.8730000001</v>
      </c>
      <c r="K13" s="142">
        <f>-IS!O8</f>
        <v>2130876.4564655512</v>
      </c>
      <c r="L13" s="142">
        <f>-IS!P8</f>
        <v>2376302.7352409549</v>
      </c>
      <c r="M13" s="142">
        <f>-IS!Q8</f>
        <v>2597637.8954287469</v>
      </c>
      <c r="N13" s="142">
        <f>-IS!R8</f>
        <v>2824419.8126169359</v>
      </c>
      <c r="O13" s="142">
        <f>-IS!S8</f>
        <v>3111905.8151379144</v>
      </c>
      <c r="P13" s="142">
        <f>-IS!T8</f>
        <v>3441808.617060496</v>
      </c>
    </row>
    <row r="14" spans="1:65">
      <c r="F14" s="38" t="s">
        <v>147</v>
      </c>
      <c r="I14" s="23" t="s">
        <v>139</v>
      </c>
      <c r="J14" s="144">
        <f>J12/J13*365</f>
        <v>74.79547915120591</v>
      </c>
      <c r="K14" s="151">
        <f>J14</f>
        <v>74.79547915120591</v>
      </c>
      <c r="L14" s="151">
        <f t="shared" ref="L14:P14" si="5">K14</f>
        <v>74.79547915120591</v>
      </c>
      <c r="M14" s="151">
        <f t="shared" si="5"/>
        <v>74.79547915120591</v>
      </c>
      <c r="N14" s="151">
        <f t="shared" si="5"/>
        <v>74.79547915120591</v>
      </c>
      <c r="O14" s="151">
        <f t="shared" si="5"/>
        <v>74.79547915120591</v>
      </c>
      <c r="P14" s="151">
        <f t="shared" si="5"/>
        <v>74.79547915120591</v>
      </c>
    </row>
    <row r="15" spans="1:65">
      <c r="I15" s="51"/>
    </row>
    <row r="16" spans="1:65">
      <c r="F16" s="38" t="s">
        <v>146</v>
      </c>
      <c r="I16" s="23" t="s">
        <v>57</v>
      </c>
      <c r="J16" s="141">
        <f>BS_hist!K9</f>
        <v>417527.03</v>
      </c>
      <c r="K16" s="141">
        <f t="shared" ref="K16:P16" si="6">K17*K18/365</f>
        <v>473385.94040180161</v>
      </c>
      <c r="L16" s="141">
        <f t="shared" si="6"/>
        <v>527908.73989347985</v>
      </c>
      <c r="M16" s="141">
        <f t="shared" si="6"/>
        <v>577079.56471139216</v>
      </c>
      <c r="N16" s="141">
        <f t="shared" si="6"/>
        <v>627460.41659443511</v>
      </c>
      <c r="O16" s="141">
        <f t="shared" si="6"/>
        <v>691327.01535609271</v>
      </c>
      <c r="P16" s="141">
        <f t="shared" si="6"/>
        <v>764616.73971127626</v>
      </c>
    </row>
    <row r="17" spans="6:17">
      <c r="F17" s="147" t="s">
        <v>58</v>
      </c>
      <c r="I17" s="23" t="s">
        <v>57</v>
      </c>
      <c r="J17" s="142">
        <f>-IS!N8</f>
        <v>1879435.8730000001</v>
      </c>
      <c r="K17" s="142">
        <f>-IS!O8</f>
        <v>2130876.4564655512</v>
      </c>
      <c r="L17" s="142">
        <f>-IS!P8</f>
        <v>2376302.7352409549</v>
      </c>
      <c r="M17" s="142">
        <f>-IS!Q8</f>
        <v>2597637.8954287469</v>
      </c>
      <c r="N17" s="142">
        <f>-IS!R8</f>
        <v>2824419.8126169359</v>
      </c>
      <c r="O17" s="142">
        <f>-IS!S8</f>
        <v>3111905.8151379144</v>
      </c>
      <c r="P17" s="142">
        <f>-IS!T8</f>
        <v>3441808.617060496</v>
      </c>
    </row>
    <row r="18" spans="6:17">
      <c r="F18" s="38" t="s">
        <v>145</v>
      </c>
      <c r="I18" s="23" t="s">
        <v>139</v>
      </c>
      <c r="J18" s="144">
        <f>J16/J17*365</f>
        <v>81.086760202538713</v>
      </c>
      <c r="K18" s="151">
        <f>J18</f>
        <v>81.086760202538713</v>
      </c>
      <c r="L18" s="151">
        <f t="shared" ref="L18:P18" si="7">K18</f>
        <v>81.086760202538713</v>
      </c>
      <c r="M18" s="151">
        <f t="shared" si="7"/>
        <v>81.086760202538713</v>
      </c>
      <c r="N18" s="151">
        <f t="shared" si="7"/>
        <v>81.086760202538713</v>
      </c>
      <c r="O18" s="151">
        <f t="shared" si="7"/>
        <v>81.086760202538713</v>
      </c>
      <c r="P18" s="151">
        <f t="shared" si="7"/>
        <v>81.086760202538713</v>
      </c>
    </row>
    <row r="19" spans="6:17">
      <c r="I19" s="23"/>
      <c r="J19" s="144"/>
      <c r="K19" s="150"/>
      <c r="L19" s="150"/>
      <c r="M19" s="150"/>
      <c r="N19" s="150"/>
      <c r="O19" s="150"/>
      <c r="P19" s="150"/>
      <c r="Q19" s="37"/>
    </row>
    <row r="20" spans="6:17">
      <c r="F20" s="38" t="s">
        <v>144</v>
      </c>
      <c r="I20" s="23" t="s">
        <v>57</v>
      </c>
      <c r="J20" s="141">
        <f>BS!K8</f>
        <v>655346.58700000006</v>
      </c>
      <c r="K20" s="141">
        <f t="shared" ref="K20:P20" si="8">K21*K22/365</f>
        <v>720881.2457000002</v>
      </c>
      <c r="L20" s="141">
        <f t="shared" si="8"/>
        <v>792969.37027000031</v>
      </c>
      <c r="M20" s="141">
        <f t="shared" si="8"/>
        <v>872266.30729700031</v>
      </c>
      <c r="N20" s="141">
        <f t="shared" si="8"/>
        <v>959492.9380267004</v>
      </c>
      <c r="O20" s="141">
        <f t="shared" si="8"/>
        <v>1055442.2318293706</v>
      </c>
      <c r="P20" s="141">
        <f t="shared" si="8"/>
        <v>1160986.4550123077</v>
      </c>
    </row>
    <row r="21" spans="6:17">
      <c r="F21" s="149" t="s">
        <v>143</v>
      </c>
      <c r="I21" s="23" t="s">
        <v>57</v>
      </c>
      <c r="J21" s="140">
        <f>'S&amp;P input'!N12</f>
        <v>2492865.7590000001</v>
      </c>
      <c r="K21" s="140">
        <f>'S&amp;P input'!O12</f>
        <v>2742152.3349000001</v>
      </c>
      <c r="L21" s="140">
        <f>'S&amp;P input'!P12</f>
        <v>3016367.5683900006</v>
      </c>
      <c r="M21" s="140">
        <f>'S&amp;P input'!Q12</f>
        <v>3318004.3252290008</v>
      </c>
      <c r="N21" s="140">
        <f>'S&amp;P input'!R12</f>
        <v>3649804.7577519012</v>
      </c>
      <c r="O21" s="140">
        <f>'S&amp;P input'!S12</f>
        <v>4014785.2335270918</v>
      </c>
      <c r="P21" s="140">
        <f>'S&amp;P input'!T12</f>
        <v>4416263.7568798009</v>
      </c>
    </row>
    <row r="22" spans="6:17">
      <c r="F22" s="38" t="s">
        <v>141</v>
      </c>
      <c r="I22" s="23" t="s">
        <v>139</v>
      </c>
      <c r="J22" s="144">
        <f>J20/J21*365</f>
        <v>95.954426503477052</v>
      </c>
      <c r="K22" s="145">
        <f>J22</f>
        <v>95.954426503477052</v>
      </c>
      <c r="L22" s="145">
        <f t="shared" ref="L22:P22" si="9">K22</f>
        <v>95.954426503477052</v>
      </c>
      <c r="M22" s="145">
        <f t="shared" si="9"/>
        <v>95.954426503477052</v>
      </c>
      <c r="N22" s="145">
        <f t="shared" si="9"/>
        <v>95.954426503477052</v>
      </c>
      <c r="O22" s="145">
        <f t="shared" si="9"/>
        <v>95.954426503477052</v>
      </c>
      <c r="P22" s="145">
        <f t="shared" si="9"/>
        <v>95.954426503477052</v>
      </c>
    </row>
    <row r="23" spans="6:17">
      <c r="I23" s="51"/>
    </row>
    <row r="24" spans="6:17">
      <c r="F24" s="38" t="s">
        <v>142</v>
      </c>
      <c r="I24" s="23" t="s">
        <v>57</v>
      </c>
      <c r="J24" s="141">
        <f>BS!K18</f>
        <v>164076.87900000002</v>
      </c>
      <c r="K24" s="148">
        <f t="shared" ref="K24:P24" si="10">K25*K26/365</f>
        <v>186027.92653593613</v>
      </c>
      <c r="L24" s="148">
        <f t="shared" si="10"/>
        <v>207453.91846497933</v>
      </c>
      <c r="M24" s="148">
        <f t="shared" si="10"/>
        <v>226776.72847318114</v>
      </c>
      <c r="N24" s="148">
        <f t="shared" si="10"/>
        <v>246575.04653256753</v>
      </c>
      <c r="O24" s="148">
        <f t="shared" si="10"/>
        <v>271672.8999509631</v>
      </c>
      <c r="P24" s="148">
        <f t="shared" si="10"/>
        <v>300473.78796764743</v>
      </c>
    </row>
    <row r="25" spans="6:17">
      <c r="F25" s="147" t="s">
        <v>58</v>
      </c>
      <c r="I25" s="23" t="s">
        <v>57</v>
      </c>
      <c r="J25" s="146">
        <f>-IS!N8</f>
        <v>1879435.8730000001</v>
      </c>
      <c r="K25" s="146">
        <f>-IS!O8</f>
        <v>2130876.4564655512</v>
      </c>
      <c r="L25" s="146">
        <f>-IS!P8</f>
        <v>2376302.7352409549</v>
      </c>
      <c r="M25" s="146">
        <f>-IS!Q8</f>
        <v>2597637.8954287469</v>
      </c>
      <c r="N25" s="146">
        <f>-IS!R8</f>
        <v>2824419.8126169359</v>
      </c>
      <c r="O25" s="146">
        <f>-IS!S8</f>
        <v>3111905.8151379144</v>
      </c>
      <c r="P25" s="146">
        <f>-IS!T8</f>
        <v>3441808.617060496</v>
      </c>
    </row>
    <row r="26" spans="6:17">
      <c r="F26" s="38" t="s">
        <v>141</v>
      </c>
      <c r="I26" s="23" t="s">
        <v>139</v>
      </c>
      <c r="J26" s="144">
        <f>J24/J25*365</f>
        <v>31.864913134495652</v>
      </c>
      <c r="K26" s="145">
        <f>J26</f>
        <v>31.864913134495652</v>
      </c>
      <c r="L26" s="145">
        <f t="shared" ref="L26:P26" si="11">K26</f>
        <v>31.864913134495652</v>
      </c>
      <c r="M26" s="145">
        <f t="shared" si="11"/>
        <v>31.864913134495652</v>
      </c>
      <c r="N26" s="145">
        <f t="shared" si="11"/>
        <v>31.864913134495652</v>
      </c>
      <c r="O26" s="145">
        <f t="shared" si="11"/>
        <v>31.864913134495652</v>
      </c>
      <c r="P26" s="145">
        <f t="shared" si="11"/>
        <v>31.864913134495652</v>
      </c>
    </row>
    <row r="27" spans="6:17">
      <c r="I27" s="51"/>
      <c r="J27" s="140"/>
      <c r="L27" s="144"/>
      <c r="M27" s="140"/>
      <c r="N27" s="140"/>
      <c r="P27" s="144"/>
    </row>
    <row r="28" spans="6:17">
      <c r="F28" s="38" t="s">
        <v>140</v>
      </c>
      <c r="I28" s="23" t="s">
        <v>139</v>
      </c>
      <c r="J28" s="140">
        <f t="shared" ref="J28:P28" si="12">J10+J18-J14</f>
        <v>71.745759047554515</v>
      </c>
      <c r="K28" s="140">
        <f t="shared" si="12"/>
        <v>71.745759047554515</v>
      </c>
      <c r="L28" s="140">
        <f t="shared" si="12"/>
        <v>71.745759047554515</v>
      </c>
      <c r="M28" s="140">
        <f t="shared" si="12"/>
        <v>71.745759047554515</v>
      </c>
      <c r="N28" s="140">
        <f t="shared" si="12"/>
        <v>71.745759047554515</v>
      </c>
      <c r="O28" s="140">
        <f t="shared" si="12"/>
        <v>71.745759047554515</v>
      </c>
      <c r="P28" s="140">
        <f t="shared" si="12"/>
        <v>71.745759047554515</v>
      </c>
    </row>
    <row r="29" spans="6:17">
      <c r="I29" s="51"/>
      <c r="J29" s="140"/>
      <c r="L29" s="144"/>
      <c r="M29" s="140"/>
      <c r="N29" s="140"/>
      <c r="P29" s="144"/>
    </row>
    <row r="30" spans="6:17">
      <c r="F30" s="112" t="s">
        <v>138</v>
      </c>
      <c r="G30" s="93"/>
      <c r="H30" s="93"/>
      <c r="I30" s="70"/>
      <c r="J30" s="93"/>
      <c r="K30" s="143"/>
      <c r="L30" s="143"/>
      <c r="M30" s="143"/>
      <c r="N30" s="143"/>
      <c r="O30" s="143"/>
      <c r="P30" s="143"/>
    </row>
    <row r="31" spans="6:17">
      <c r="F31" s="38" t="s">
        <v>137</v>
      </c>
      <c r="I31" s="23" t="s">
        <v>57</v>
      </c>
      <c r="K31" s="142">
        <f t="shared" ref="K31:P31" si="13">J33</f>
        <v>479433.66100000002</v>
      </c>
      <c r="L31" s="142">
        <f t="shared" si="13"/>
        <v>528471.48586381623</v>
      </c>
      <c r="M31" s="142">
        <f t="shared" si="13"/>
        <v>581876.03562781308</v>
      </c>
      <c r="N31" s="142">
        <f t="shared" si="13"/>
        <v>639782.77032001351</v>
      </c>
      <c r="O31" s="142">
        <f t="shared" si="13"/>
        <v>703192.55905452871</v>
      </c>
      <c r="P31" s="142">
        <f t="shared" si="13"/>
        <v>773598.75565962819</v>
      </c>
    </row>
    <row r="32" spans="6:17">
      <c r="F32" s="38" t="s">
        <v>136</v>
      </c>
      <c r="I32" s="23" t="s">
        <v>57</v>
      </c>
      <c r="J32" s="140"/>
      <c r="K32" s="141">
        <f t="shared" ref="K32:P32" si="14">K33-K31</f>
        <v>49037.824863816204</v>
      </c>
      <c r="L32" s="141">
        <f t="shared" si="14"/>
        <v>53404.549763996853</v>
      </c>
      <c r="M32" s="141">
        <f t="shared" si="14"/>
        <v>57906.734692200436</v>
      </c>
      <c r="N32" s="141">
        <f t="shared" si="14"/>
        <v>63409.788734515198</v>
      </c>
      <c r="O32" s="141">
        <f t="shared" si="14"/>
        <v>70406.196605099482</v>
      </c>
      <c r="P32" s="141">
        <f t="shared" si="14"/>
        <v>77682.406628116849</v>
      </c>
    </row>
    <row r="33" spans="6:16">
      <c r="F33" s="53" t="s">
        <v>135</v>
      </c>
      <c r="G33" s="53"/>
      <c r="H33" s="53"/>
      <c r="I33" s="24" t="s">
        <v>57</v>
      </c>
      <c r="J33" s="234">
        <f>+J8+J16-J12</f>
        <v>479433.66100000002</v>
      </c>
      <c r="K33" s="139">
        <f t="shared" ref="K33:P33" si="15">K8+K16-K12</f>
        <v>528471.48586381623</v>
      </c>
      <c r="L33" s="139">
        <f t="shared" si="15"/>
        <v>581876.03562781308</v>
      </c>
      <c r="M33" s="139">
        <f t="shared" si="15"/>
        <v>639782.77032001351</v>
      </c>
      <c r="N33" s="139">
        <f t="shared" si="15"/>
        <v>703192.55905452871</v>
      </c>
      <c r="O33" s="139">
        <f t="shared" si="15"/>
        <v>773598.75565962819</v>
      </c>
      <c r="P33" s="139">
        <f t="shared" si="15"/>
        <v>851281.16228774504</v>
      </c>
    </row>
    <row r="35" spans="6:16">
      <c r="K35" s="5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BK33"/>
  <sheetViews>
    <sheetView showGridLines="0" zoomScale="70" zoomScaleNormal="70" workbookViewId="0">
      <pane ySplit="3" topLeftCell="A4" activePane="bottomLeft" state="frozen"/>
      <selection pane="bottomLeft" activeCell="S23" sqref="S23"/>
    </sheetView>
  </sheetViews>
  <sheetFormatPr defaultColWidth="10" defaultRowHeight="15.6"/>
  <cols>
    <col min="1" max="4" width="0.77734375" style="37" customWidth="1"/>
    <col min="5" max="5" width="3.44140625" style="38" customWidth="1"/>
    <col min="6" max="6" width="37.44140625" style="38" bestFit="1" customWidth="1"/>
    <col min="7" max="7" width="2.33203125" style="38" customWidth="1"/>
    <col min="8" max="8" width="9.6640625" style="38" customWidth="1"/>
    <col min="9" max="9" width="9.5546875" style="38" bestFit="1" customWidth="1"/>
    <col min="10" max="10" width="11.21875" style="38" bestFit="1" customWidth="1"/>
    <col min="11" max="11" width="10.21875" style="38" bestFit="1" customWidth="1"/>
    <col min="12" max="16" width="11.21875" style="38" bestFit="1" customWidth="1"/>
    <col min="17" max="16384" width="10" style="38"/>
  </cols>
  <sheetData>
    <row r="1" spans="1:63" ht="22.5" customHeight="1">
      <c r="E1" s="40"/>
    </row>
    <row r="2" spans="1:63" s="115" customFormat="1">
      <c r="A2" s="65"/>
      <c r="B2" s="65"/>
      <c r="C2" s="65"/>
      <c r="D2" s="65"/>
      <c r="E2" s="64" t="s">
        <v>172</v>
      </c>
      <c r="F2" s="64"/>
      <c r="G2" s="64"/>
      <c r="H2" s="64"/>
      <c r="I2" s="63" t="s">
        <v>53</v>
      </c>
      <c r="J2" s="62">
        <v>2019</v>
      </c>
      <c r="K2" s="62">
        <f t="shared" ref="K2:P2" si="0">+J2+1</f>
        <v>2020</v>
      </c>
      <c r="L2" s="62">
        <f t="shared" si="0"/>
        <v>2021</v>
      </c>
      <c r="M2" s="62">
        <f t="shared" si="0"/>
        <v>2022</v>
      </c>
      <c r="N2" s="62">
        <f t="shared" si="0"/>
        <v>2023</v>
      </c>
      <c r="O2" s="62">
        <f t="shared" si="0"/>
        <v>2024</v>
      </c>
      <c r="P2" s="62">
        <f t="shared" si="0"/>
        <v>2025</v>
      </c>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row>
    <row r="3" spans="1:63">
      <c r="A3" s="48"/>
      <c r="B3" s="48"/>
      <c r="C3" s="48"/>
      <c r="D3" s="48"/>
      <c r="E3" s="53"/>
      <c r="F3" s="53"/>
      <c r="G3" s="53"/>
      <c r="H3" s="53"/>
      <c r="I3" s="61"/>
      <c r="J3" s="138" t="s">
        <v>54</v>
      </c>
      <c r="K3" s="208" t="s">
        <v>55</v>
      </c>
      <c r="L3" s="208" t="s">
        <v>55</v>
      </c>
      <c r="M3" s="208" t="s">
        <v>55</v>
      </c>
      <c r="N3" s="208" t="s">
        <v>55</v>
      </c>
      <c r="O3" s="208" t="s">
        <v>55</v>
      </c>
      <c r="P3" s="208" t="s">
        <v>55</v>
      </c>
    </row>
    <row r="4" spans="1:63">
      <c r="I4" s="51"/>
      <c r="J4" s="114"/>
      <c r="K4" s="114"/>
      <c r="L4" s="114"/>
      <c r="M4" s="114"/>
      <c r="N4" s="114"/>
      <c r="O4" s="114"/>
      <c r="P4" s="114"/>
    </row>
    <row r="5" spans="1:63" s="113" customFormat="1">
      <c r="A5" s="17"/>
      <c r="B5" s="17"/>
      <c r="C5" s="17"/>
      <c r="D5" s="17"/>
      <c r="E5" s="124" t="s">
        <v>171</v>
      </c>
      <c r="F5" s="33"/>
      <c r="G5" s="33"/>
      <c r="H5" s="32"/>
      <c r="I5" s="187" t="s">
        <v>77</v>
      </c>
      <c r="J5" s="22"/>
      <c r="K5" s="22"/>
      <c r="L5" s="22"/>
      <c r="M5" s="22"/>
      <c r="N5" s="22"/>
      <c r="O5" s="22"/>
      <c r="P5" s="22"/>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121"/>
    </row>
    <row r="6" spans="1:63" s="17" customFormat="1">
      <c r="E6" s="18"/>
      <c r="F6" s="18"/>
      <c r="G6" s="18"/>
      <c r="H6" s="34"/>
      <c r="I6" s="35"/>
      <c r="J6" s="36"/>
      <c r="K6" s="36"/>
      <c r="L6" s="36"/>
      <c r="M6" s="36"/>
      <c r="N6" s="36"/>
      <c r="O6" s="36"/>
      <c r="P6" s="36"/>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58"/>
    </row>
    <row r="7" spans="1:63">
      <c r="E7" s="93" t="s">
        <v>170</v>
      </c>
      <c r="F7" s="119"/>
      <c r="G7" s="119"/>
      <c r="H7" s="119"/>
      <c r="I7" s="186"/>
      <c r="J7" s="185"/>
      <c r="K7" s="185">
        <f t="shared" ref="K7:P7" si="1">J10</f>
        <v>71353.171000000002</v>
      </c>
      <c r="L7" s="185">
        <f t="shared" si="1"/>
        <v>91353.171000000002</v>
      </c>
      <c r="M7" s="185">
        <f t="shared" si="1"/>
        <v>111353.171</v>
      </c>
      <c r="N7" s="185">
        <f t="shared" si="1"/>
        <v>131353.171</v>
      </c>
      <c r="O7" s="185">
        <f t="shared" si="1"/>
        <v>151353.171</v>
      </c>
      <c r="P7" s="185">
        <f t="shared" si="1"/>
        <v>171353.171</v>
      </c>
    </row>
    <row r="8" spans="1:63">
      <c r="E8" s="38" t="s">
        <v>169</v>
      </c>
      <c r="F8" s="132"/>
      <c r="I8" s="25"/>
      <c r="J8" s="170"/>
      <c r="K8" s="184">
        <v>20000</v>
      </c>
      <c r="L8" s="184">
        <v>20000</v>
      </c>
      <c r="M8" s="184">
        <v>20000</v>
      </c>
      <c r="N8" s="184">
        <v>20000</v>
      </c>
      <c r="O8" s="184">
        <v>20000</v>
      </c>
      <c r="P8" s="184">
        <v>20000</v>
      </c>
    </row>
    <row r="9" spans="1:63">
      <c r="E9" s="53" t="s">
        <v>168</v>
      </c>
      <c r="F9" s="183"/>
      <c r="G9" s="53"/>
      <c r="H9" s="53"/>
      <c r="I9" s="177"/>
      <c r="J9" s="176"/>
      <c r="K9" s="182">
        <v>0</v>
      </c>
      <c r="L9" s="182">
        <v>0</v>
      </c>
      <c r="M9" s="182">
        <v>0</v>
      </c>
      <c r="N9" s="182">
        <v>0</v>
      </c>
      <c r="O9" s="182">
        <v>0</v>
      </c>
      <c r="P9" s="182">
        <v>0</v>
      </c>
    </row>
    <row r="10" spans="1:63" ht="16.2" thickBot="1">
      <c r="E10" s="127" t="s">
        <v>167</v>
      </c>
      <c r="F10" s="181"/>
      <c r="G10" s="181"/>
      <c r="H10" s="181"/>
      <c r="I10" s="180"/>
      <c r="J10" s="179">
        <f>BS_hist!K25</f>
        <v>71353.171000000002</v>
      </c>
      <c r="K10" s="179">
        <f t="shared" ref="K10:P10" si="2">K7+K8-K9</f>
        <v>91353.171000000002</v>
      </c>
      <c r="L10" s="179">
        <f t="shared" si="2"/>
        <v>111353.171</v>
      </c>
      <c r="M10" s="179">
        <f t="shared" si="2"/>
        <v>131353.171</v>
      </c>
      <c r="N10" s="179">
        <f t="shared" si="2"/>
        <v>151353.171</v>
      </c>
      <c r="O10" s="179">
        <f t="shared" si="2"/>
        <v>171353.171</v>
      </c>
      <c r="P10" s="179">
        <f t="shared" si="2"/>
        <v>191353.171</v>
      </c>
    </row>
    <row r="11" spans="1:63" ht="16.2" thickTop="1">
      <c r="I11" s="69"/>
      <c r="J11" s="170"/>
      <c r="K11" s="170"/>
      <c r="L11" s="170"/>
      <c r="M11" s="170"/>
      <c r="N11" s="170"/>
      <c r="O11" s="170"/>
      <c r="P11" s="170"/>
    </row>
    <row r="12" spans="1:63">
      <c r="E12" s="166" t="s">
        <v>166</v>
      </c>
      <c r="G12" s="168"/>
      <c r="H12" s="167">
        <v>8.5000000000000006E-2</v>
      </c>
      <c r="I12" s="69" t="s">
        <v>61</v>
      </c>
      <c r="J12" s="170"/>
      <c r="K12" s="170"/>
      <c r="L12" s="170"/>
      <c r="M12" s="170"/>
      <c r="N12" s="170"/>
      <c r="O12" s="170"/>
      <c r="P12" s="170"/>
    </row>
    <row r="13" spans="1:63">
      <c r="E13" s="178" t="s">
        <v>165</v>
      </c>
      <c r="F13" s="53"/>
      <c r="G13" s="53"/>
      <c r="H13" s="53"/>
      <c r="I13" s="177"/>
      <c r="J13" s="176"/>
      <c r="K13" s="176">
        <f t="shared" ref="K13:P13" si="3">AVERAGE(K7,K10)*$H$12</f>
        <v>6915.0195350000004</v>
      </c>
      <c r="L13" s="176">
        <f t="shared" si="3"/>
        <v>8615.0195350000013</v>
      </c>
      <c r="M13" s="176">
        <f t="shared" si="3"/>
        <v>10315.019535000001</v>
      </c>
      <c r="N13" s="176">
        <f t="shared" si="3"/>
        <v>12015.019535000001</v>
      </c>
      <c r="O13" s="176">
        <f t="shared" si="3"/>
        <v>13715.019535000001</v>
      </c>
      <c r="P13" s="176">
        <f t="shared" si="3"/>
        <v>15415.019535000001</v>
      </c>
    </row>
    <row r="16" spans="1:63">
      <c r="E16" s="124" t="s">
        <v>164</v>
      </c>
      <c r="F16" s="33"/>
      <c r="G16" s="33"/>
      <c r="H16" s="32"/>
      <c r="I16" s="21"/>
      <c r="J16" s="22"/>
      <c r="K16" s="22"/>
      <c r="L16" s="22"/>
      <c r="M16" s="22"/>
      <c r="N16" s="22"/>
      <c r="O16" s="22"/>
      <c r="P16" s="22"/>
    </row>
    <row r="17" spans="5:21">
      <c r="E17" s="18"/>
      <c r="F17" s="18"/>
      <c r="G17" s="18"/>
      <c r="H17" s="34"/>
      <c r="I17" s="35"/>
      <c r="J17" s="36"/>
      <c r="K17" s="36"/>
      <c r="L17" s="36"/>
      <c r="M17" s="36"/>
      <c r="N17" s="36"/>
      <c r="O17" s="36"/>
      <c r="P17" s="36"/>
    </row>
    <row r="18" spans="5:21">
      <c r="E18" s="166" t="s">
        <v>163</v>
      </c>
      <c r="F18" s="164"/>
      <c r="G18" s="163"/>
      <c r="I18" s="51"/>
      <c r="J18" s="162"/>
      <c r="K18" s="162">
        <f t="shared" ref="K18:P18" si="4">J23</f>
        <v>2878.4230000000002</v>
      </c>
      <c r="L18" s="162">
        <f t="shared" si="4"/>
        <v>6302.7384000000002</v>
      </c>
      <c r="M18" s="162">
        <f t="shared" si="4"/>
        <v>8242.1907200000005</v>
      </c>
      <c r="N18" s="162">
        <f t="shared" si="4"/>
        <v>8993.7525760000008</v>
      </c>
      <c r="O18" s="162">
        <f t="shared" si="4"/>
        <v>8795.0020608000013</v>
      </c>
      <c r="P18" s="162">
        <f t="shared" si="4"/>
        <v>7836.0016486400009</v>
      </c>
      <c r="U18" s="162"/>
    </row>
    <row r="19" spans="5:21">
      <c r="E19" s="166" t="s">
        <v>153</v>
      </c>
      <c r="F19" s="164"/>
      <c r="G19" s="163"/>
      <c r="I19" s="51"/>
      <c r="J19" s="162"/>
      <c r="K19" s="162">
        <f t="shared" ref="K19:P19" si="5">K18*$H$25</f>
        <v>345.41076000000004</v>
      </c>
      <c r="L19" s="162">
        <f t="shared" si="5"/>
        <v>756.32860800000003</v>
      </c>
      <c r="M19" s="162">
        <f t="shared" si="5"/>
        <v>989.06288640000002</v>
      </c>
      <c r="N19" s="162">
        <f t="shared" si="5"/>
        <v>1079.2503091200001</v>
      </c>
      <c r="O19" s="162">
        <f t="shared" si="5"/>
        <v>1055.4002472960001</v>
      </c>
      <c r="P19" s="162">
        <f t="shared" si="5"/>
        <v>940.32019783680005</v>
      </c>
      <c r="U19" s="162"/>
    </row>
    <row r="20" spans="5:21">
      <c r="E20" s="166" t="s">
        <v>154</v>
      </c>
      <c r="F20" s="164"/>
      <c r="G20" s="163"/>
      <c r="I20" s="51"/>
      <c r="J20" s="162"/>
      <c r="K20" s="175">
        <v>5000</v>
      </c>
      <c r="L20" s="175">
        <v>4000</v>
      </c>
      <c r="M20" s="175">
        <v>3000</v>
      </c>
      <c r="N20" s="175">
        <v>2000</v>
      </c>
      <c r="O20" s="175">
        <v>1000</v>
      </c>
      <c r="P20" s="175">
        <v>0</v>
      </c>
      <c r="U20" s="162"/>
    </row>
    <row r="21" spans="5:21">
      <c r="E21" s="165" t="s">
        <v>162</v>
      </c>
      <c r="F21" s="164"/>
      <c r="G21" s="163"/>
      <c r="I21" s="51"/>
      <c r="J21" s="162"/>
      <c r="K21" s="175">
        <f>J23/5</f>
        <v>575.68460000000005</v>
      </c>
      <c r="L21" s="175">
        <f t="shared" ref="L21:P21" si="6">K23/5</f>
        <v>1260.5476800000001</v>
      </c>
      <c r="M21" s="175">
        <f t="shared" si="6"/>
        <v>1648.4381440000002</v>
      </c>
      <c r="N21" s="175">
        <f t="shared" si="6"/>
        <v>1798.7505152000001</v>
      </c>
      <c r="O21" s="175">
        <f t="shared" si="6"/>
        <v>1759.0004121600002</v>
      </c>
      <c r="P21" s="175">
        <f t="shared" si="6"/>
        <v>1567.2003297280003</v>
      </c>
      <c r="U21" s="162"/>
    </row>
    <row r="22" spans="5:21">
      <c r="E22" s="165" t="s">
        <v>161</v>
      </c>
      <c r="F22" s="164"/>
      <c r="G22" s="163"/>
      <c r="I22" s="51"/>
      <c r="J22" s="162"/>
      <c r="K22" s="175">
        <f>K20/5</f>
        <v>1000</v>
      </c>
      <c r="L22" s="175">
        <f t="shared" ref="L22:P22" si="7">L20/5</f>
        <v>800</v>
      </c>
      <c r="M22" s="175">
        <f t="shared" si="7"/>
        <v>600</v>
      </c>
      <c r="N22" s="175">
        <f t="shared" si="7"/>
        <v>400</v>
      </c>
      <c r="O22" s="175">
        <f t="shared" si="7"/>
        <v>200</v>
      </c>
      <c r="P22" s="175">
        <f t="shared" si="7"/>
        <v>0</v>
      </c>
      <c r="S22" s="142"/>
      <c r="U22" s="162"/>
    </row>
    <row r="23" spans="5:21" ht="16.2" thickBot="1">
      <c r="E23" s="174" t="s">
        <v>160</v>
      </c>
      <c r="F23" s="173"/>
      <c r="G23" s="172"/>
      <c r="H23" s="127"/>
      <c r="I23" s="126"/>
      <c r="J23" s="171">
        <f>BS_hist!K35</f>
        <v>2878.4230000000002</v>
      </c>
      <c r="K23" s="171">
        <f>K18+K20-K21-K22</f>
        <v>6302.7384000000002</v>
      </c>
      <c r="L23" s="171">
        <f t="shared" ref="L23:P23" si="8">L18+L20-L21-L22</f>
        <v>8242.1907200000005</v>
      </c>
      <c r="M23" s="171">
        <f t="shared" si="8"/>
        <v>8993.7525760000008</v>
      </c>
      <c r="N23" s="171">
        <f t="shared" si="8"/>
        <v>8795.0020608000013</v>
      </c>
      <c r="O23" s="171">
        <f t="shared" si="8"/>
        <v>7836.0016486400009</v>
      </c>
      <c r="P23" s="171">
        <f t="shared" si="8"/>
        <v>6268.8013189120011</v>
      </c>
      <c r="U23" s="170"/>
    </row>
    <row r="24" spans="5:21" ht="16.2" thickTop="1">
      <c r="I24" s="169"/>
    </row>
    <row r="25" spans="5:21">
      <c r="E25" s="166" t="s">
        <v>159</v>
      </c>
      <c r="G25" s="168"/>
      <c r="H25" s="167">
        <v>0.12</v>
      </c>
      <c r="I25" s="69" t="s">
        <v>61</v>
      </c>
    </row>
    <row r="27" spans="5:21">
      <c r="E27" s="124" t="s">
        <v>158</v>
      </c>
      <c r="F27" s="33"/>
      <c r="G27" s="33"/>
      <c r="H27" s="32"/>
      <c r="I27" s="21"/>
      <c r="J27" s="22"/>
      <c r="K27" s="22"/>
      <c r="L27" s="22"/>
      <c r="M27" s="22"/>
      <c r="N27" s="22"/>
      <c r="O27" s="22"/>
      <c r="P27" s="22"/>
    </row>
    <row r="28" spans="5:21">
      <c r="E28" s="18"/>
      <c r="F28" s="18"/>
      <c r="G28" s="18"/>
      <c r="H28" s="34"/>
      <c r="I28" s="35"/>
      <c r="J28" s="36"/>
      <c r="K28" s="36"/>
      <c r="L28" s="36"/>
      <c r="M28" s="36"/>
      <c r="N28" s="36"/>
      <c r="O28" s="36"/>
      <c r="P28" s="36"/>
    </row>
    <row r="29" spans="5:21">
      <c r="E29" s="166" t="s">
        <v>157</v>
      </c>
      <c r="F29" s="164"/>
      <c r="G29" s="163"/>
      <c r="I29" s="51"/>
      <c r="J29" s="162"/>
      <c r="K29" s="162">
        <f t="shared" ref="K29:P29" si="9">-K9</f>
        <v>0</v>
      </c>
      <c r="L29" s="162">
        <f t="shared" si="9"/>
        <v>0</v>
      </c>
      <c r="M29" s="162">
        <f t="shared" si="9"/>
        <v>0</v>
      </c>
      <c r="N29" s="162">
        <f t="shared" si="9"/>
        <v>0</v>
      </c>
      <c r="O29" s="162">
        <f t="shared" si="9"/>
        <v>0</v>
      </c>
      <c r="P29" s="162">
        <f t="shared" si="9"/>
        <v>0</v>
      </c>
    </row>
    <row r="30" spans="5:21">
      <c r="E30" s="166" t="s">
        <v>156</v>
      </c>
      <c r="F30" s="164"/>
      <c r="G30" s="163"/>
      <c r="I30" s="51"/>
      <c r="J30" s="162"/>
      <c r="K30" s="162">
        <f t="shared" ref="K30:P30" si="10">K8</f>
        <v>20000</v>
      </c>
      <c r="L30" s="162">
        <f t="shared" si="10"/>
        <v>20000</v>
      </c>
      <c r="M30" s="162">
        <f t="shared" si="10"/>
        <v>20000</v>
      </c>
      <c r="N30" s="162">
        <f t="shared" si="10"/>
        <v>20000</v>
      </c>
      <c r="O30" s="162">
        <f t="shared" si="10"/>
        <v>20000</v>
      </c>
      <c r="P30" s="162">
        <f t="shared" si="10"/>
        <v>20000</v>
      </c>
    </row>
    <row r="31" spans="5:21">
      <c r="E31" s="166" t="s">
        <v>155</v>
      </c>
      <c r="F31" s="164"/>
      <c r="G31" s="163"/>
      <c r="I31" s="51"/>
      <c r="J31" s="162"/>
      <c r="K31" s="162">
        <f t="shared" ref="K31:P31" si="11">-K21</f>
        <v>-575.68460000000005</v>
      </c>
      <c r="L31" s="162">
        <f t="shared" si="11"/>
        <v>-1260.5476800000001</v>
      </c>
      <c r="M31" s="162">
        <f t="shared" si="11"/>
        <v>-1648.4381440000002</v>
      </c>
      <c r="N31" s="162">
        <f t="shared" si="11"/>
        <v>-1798.7505152000001</v>
      </c>
      <c r="O31" s="162">
        <f t="shared" si="11"/>
        <v>-1759.0004121600002</v>
      </c>
      <c r="P31" s="162">
        <f t="shared" si="11"/>
        <v>-1567.2003297280003</v>
      </c>
    </row>
    <row r="32" spans="5:21">
      <c r="E32" s="165" t="s">
        <v>154</v>
      </c>
      <c r="F32" s="164"/>
      <c r="G32" s="163"/>
      <c r="I32" s="51"/>
      <c r="J32" s="162"/>
      <c r="K32" s="162">
        <f t="shared" ref="K32:P32" si="12">K20</f>
        <v>5000</v>
      </c>
      <c r="L32" s="162">
        <f t="shared" si="12"/>
        <v>4000</v>
      </c>
      <c r="M32" s="162">
        <f t="shared" si="12"/>
        <v>3000</v>
      </c>
      <c r="N32" s="162">
        <f t="shared" si="12"/>
        <v>2000</v>
      </c>
      <c r="O32" s="162">
        <f t="shared" si="12"/>
        <v>1000</v>
      </c>
      <c r="P32" s="162">
        <f t="shared" si="12"/>
        <v>0</v>
      </c>
    </row>
    <row r="33" spans="5:16">
      <c r="E33" s="161" t="s">
        <v>153</v>
      </c>
      <c r="F33" s="160"/>
      <c r="G33" s="159"/>
      <c r="H33" s="53"/>
      <c r="I33" s="61"/>
      <c r="J33" s="158"/>
      <c r="K33" s="158">
        <f t="shared" ref="K33:P33" si="13">-(K13+K19)</f>
        <v>-7260.4302950000001</v>
      </c>
      <c r="L33" s="158">
        <f t="shared" si="13"/>
        <v>-9371.3481430000011</v>
      </c>
      <c r="M33" s="158">
        <f t="shared" si="13"/>
        <v>-11304.082421400002</v>
      </c>
      <c r="N33" s="158">
        <f t="shared" si="13"/>
        <v>-13094.269844120001</v>
      </c>
      <c r="O33" s="158">
        <f t="shared" si="13"/>
        <v>-14770.419782296001</v>
      </c>
      <c r="P33" s="158">
        <f t="shared" si="13"/>
        <v>-16355.339732836801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BK10"/>
  <sheetViews>
    <sheetView showGridLines="0" zoomScale="70" zoomScaleNormal="70" workbookViewId="0">
      <selection activeCell="J10" sqref="J10"/>
    </sheetView>
  </sheetViews>
  <sheetFormatPr defaultColWidth="10" defaultRowHeight="15.6"/>
  <cols>
    <col min="1" max="4" width="0.77734375" style="37" customWidth="1"/>
    <col min="5" max="5" width="3.44140625" style="37" customWidth="1"/>
    <col min="6" max="6" width="37.44140625" style="38" bestFit="1" customWidth="1"/>
    <col min="7" max="7" width="2.33203125" style="38" customWidth="1"/>
    <col min="8" max="8" width="8" style="38" bestFit="1" customWidth="1"/>
    <col min="9" max="9" width="9.5546875" style="38" bestFit="1" customWidth="1"/>
    <col min="10" max="10" width="14.44140625" style="38" bestFit="1" customWidth="1"/>
    <col min="11" max="15" width="13" style="38" bestFit="1" customWidth="1"/>
    <col min="16" max="16" width="12.77734375" style="38" bestFit="1" customWidth="1"/>
    <col min="17" max="16384" width="10" style="38"/>
  </cols>
  <sheetData>
    <row r="1" spans="1:63" ht="22.5" customHeight="1">
      <c r="E1" s="66"/>
    </row>
    <row r="2" spans="1:63" s="115" customFormat="1">
      <c r="A2" s="65"/>
      <c r="B2" s="65"/>
      <c r="C2" s="65"/>
      <c r="D2" s="65"/>
      <c r="E2" s="65"/>
      <c r="F2" s="64" t="s">
        <v>176</v>
      </c>
      <c r="G2" s="64"/>
      <c r="H2" s="64"/>
      <c r="I2" s="63" t="s">
        <v>53</v>
      </c>
      <c r="J2" s="62">
        <v>2019</v>
      </c>
      <c r="K2" s="62">
        <f t="shared" ref="K2:P2" si="0">+J2+1</f>
        <v>2020</v>
      </c>
      <c r="L2" s="62">
        <f t="shared" si="0"/>
        <v>2021</v>
      </c>
      <c r="M2" s="62">
        <f t="shared" si="0"/>
        <v>2022</v>
      </c>
      <c r="N2" s="62">
        <f t="shared" si="0"/>
        <v>2023</v>
      </c>
      <c r="O2" s="62">
        <f t="shared" si="0"/>
        <v>2024</v>
      </c>
      <c r="P2" s="62">
        <f t="shared" si="0"/>
        <v>2025</v>
      </c>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row>
    <row r="3" spans="1:63">
      <c r="A3" s="48"/>
      <c r="B3" s="48"/>
      <c r="C3" s="48"/>
      <c r="D3" s="48"/>
      <c r="E3" s="48"/>
      <c r="F3" s="53"/>
      <c r="G3" s="53"/>
      <c r="H3" s="53"/>
      <c r="I3" s="61"/>
      <c r="J3" s="138" t="s">
        <v>54</v>
      </c>
      <c r="K3" s="208" t="s">
        <v>55</v>
      </c>
      <c r="L3" s="208" t="s">
        <v>55</v>
      </c>
      <c r="M3" s="208" t="s">
        <v>55</v>
      </c>
      <c r="N3" s="208" t="s">
        <v>55</v>
      </c>
      <c r="O3" s="208" t="s">
        <v>55</v>
      </c>
      <c r="P3" s="208" t="s">
        <v>55</v>
      </c>
    </row>
    <row r="4" spans="1:63">
      <c r="I4" s="51"/>
      <c r="J4" s="114"/>
      <c r="K4" s="114"/>
      <c r="L4" s="114"/>
      <c r="M4" s="114"/>
      <c r="N4" s="114"/>
      <c r="O4" s="114"/>
      <c r="P4" s="114"/>
    </row>
    <row r="5" spans="1:63" s="113" customFormat="1">
      <c r="A5" s="17"/>
      <c r="B5" s="17"/>
      <c r="C5" s="17"/>
      <c r="D5" s="17"/>
      <c r="E5" s="18"/>
      <c r="F5" s="31"/>
      <c r="G5" s="31"/>
      <c r="H5" s="32"/>
      <c r="I5" s="187" t="s">
        <v>77</v>
      </c>
      <c r="J5" s="22"/>
      <c r="K5" s="22"/>
      <c r="L5" s="22"/>
      <c r="M5" s="22"/>
      <c r="N5" s="22"/>
      <c r="O5" s="22"/>
      <c r="P5" s="22"/>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121"/>
    </row>
    <row r="6" spans="1:63">
      <c r="I6" s="51"/>
    </row>
    <row r="7" spans="1:63">
      <c r="F7" s="42" t="s">
        <v>175</v>
      </c>
      <c r="G7" s="190"/>
      <c r="H7" s="189">
        <v>0.22</v>
      </c>
      <c r="I7" s="188"/>
      <c r="J7" s="42"/>
      <c r="K7" s="42"/>
      <c r="L7" s="42"/>
      <c r="M7" s="42"/>
      <c r="N7" s="42"/>
      <c r="O7" s="42"/>
      <c r="P7" s="42"/>
    </row>
    <row r="8" spans="1:63">
      <c r="I8" s="51"/>
    </row>
    <row r="9" spans="1:63">
      <c r="F9" s="93" t="s">
        <v>174</v>
      </c>
      <c r="G9" s="93"/>
      <c r="H9" s="93"/>
      <c r="I9" s="70"/>
      <c r="J9" s="217">
        <f>IS!N23</f>
        <v>205516.97499999992</v>
      </c>
      <c r="K9" s="217">
        <f>IS!O23</f>
        <v>222434.83620474444</v>
      </c>
      <c r="L9" s="217">
        <f>IS!P23</f>
        <v>269304.22979533364</v>
      </c>
      <c r="M9" s="217">
        <f>IS!Q23</f>
        <v>315732.48879897717</v>
      </c>
      <c r="N9" s="217">
        <f>IS!R23</f>
        <v>374045.6899859081</v>
      </c>
      <c r="O9" s="217">
        <f>IS!S23</f>
        <v>397169.33915299899</v>
      </c>
      <c r="P9" s="217">
        <f>IS!T23</f>
        <v>410603.50023266289</v>
      </c>
    </row>
    <row r="10" spans="1:63">
      <c r="F10" s="53" t="s">
        <v>173</v>
      </c>
      <c r="G10" s="53"/>
      <c r="H10" s="53"/>
      <c r="I10" s="61"/>
      <c r="J10" s="214">
        <f t="shared" ref="J10:P10" si="1">IF(J9&lt;0,0,J9*$H$7)</f>
        <v>45213.734499999984</v>
      </c>
      <c r="K10" s="214">
        <f t="shared" si="1"/>
        <v>48935.663965043779</v>
      </c>
      <c r="L10" s="214">
        <f t="shared" si="1"/>
        <v>59246.930554973398</v>
      </c>
      <c r="M10" s="214">
        <f t="shared" si="1"/>
        <v>69461.147535774973</v>
      </c>
      <c r="N10" s="214">
        <f t="shared" si="1"/>
        <v>82290.051796899788</v>
      </c>
      <c r="O10" s="214">
        <f t="shared" si="1"/>
        <v>87377.254613659781</v>
      </c>
      <c r="P10" s="214">
        <f t="shared" si="1"/>
        <v>90332.770051185842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BJ25"/>
  <sheetViews>
    <sheetView showGridLines="0" zoomScale="70" zoomScaleNormal="70" workbookViewId="0">
      <selection activeCell="A7" sqref="A7:XFD7"/>
    </sheetView>
  </sheetViews>
  <sheetFormatPr defaultColWidth="10" defaultRowHeight="15.6"/>
  <cols>
    <col min="1" max="4" width="0.77734375" style="37" customWidth="1"/>
    <col min="5" max="5" width="3.44140625" style="37" customWidth="1"/>
    <col min="6" max="6" width="37.44140625" style="38" bestFit="1" customWidth="1"/>
    <col min="7" max="7" width="2.33203125" style="38" customWidth="1"/>
    <col min="8" max="8" width="8" style="38" bestFit="1" customWidth="1"/>
    <col min="9" max="9" width="9.5546875" style="38" bestFit="1" customWidth="1"/>
    <col min="10" max="13" width="10.21875" style="38" bestFit="1" customWidth="1"/>
    <col min="14" max="16" width="10.109375" style="38" bestFit="1" customWidth="1"/>
    <col min="17" max="16384" width="10" style="38"/>
  </cols>
  <sheetData>
    <row r="1" spans="1:62" ht="22.5" customHeight="1">
      <c r="E1" s="66"/>
    </row>
    <row r="2" spans="1:62" s="115" customFormat="1">
      <c r="A2" s="65"/>
      <c r="B2" s="65"/>
      <c r="C2" s="65"/>
      <c r="D2" s="65"/>
      <c r="E2" s="65"/>
      <c r="F2" s="64" t="s">
        <v>196</v>
      </c>
      <c r="G2" s="64"/>
      <c r="H2" s="64"/>
      <c r="I2" s="63" t="s">
        <v>53</v>
      </c>
      <c r="J2" s="62">
        <v>2019</v>
      </c>
      <c r="K2" s="62">
        <f t="shared" ref="K2:P2" si="0">+J2+1</f>
        <v>2020</v>
      </c>
      <c r="L2" s="62">
        <f t="shared" si="0"/>
        <v>2021</v>
      </c>
      <c r="M2" s="62">
        <f t="shared" si="0"/>
        <v>2022</v>
      </c>
      <c r="N2" s="62">
        <f t="shared" si="0"/>
        <v>2023</v>
      </c>
      <c r="O2" s="62">
        <f t="shared" si="0"/>
        <v>2024</v>
      </c>
      <c r="P2" s="62">
        <f t="shared" si="0"/>
        <v>2025</v>
      </c>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row>
    <row r="3" spans="1:62">
      <c r="A3" s="48"/>
      <c r="B3" s="48"/>
      <c r="C3" s="48"/>
      <c r="D3" s="48"/>
      <c r="E3" s="48"/>
      <c r="F3" s="53"/>
      <c r="G3" s="53"/>
      <c r="H3" s="53"/>
      <c r="I3" s="61"/>
      <c r="J3" s="138" t="s">
        <v>54</v>
      </c>
      <c r="K3" s="208" t="s">
        <v>55</v>
      </c>
      <c r="L3" s="208" t="s">
        <v>55</v>
      </c>
      <c r="M3" s="208" t="s">
        <v>55</v>
      </c>
      <c r="N3" s="208" t="s">
        <v>55</v>
      </c>
      <c r="O3" s="208" t="s">
        <v>55</v>
      </c>
      <c r="P3" s="208" t="s">
        <v>55</v>
      </c>
    </row>
    <row r="4" spans="1:62">
      <c r="I4" s="51"/>
    </row>
    <row r="5" spans="1:62">
      <c r="F5" s="77" t="s">
        <v>195</v>
      </c>
      <c r="G5" s="124"/>
      <c r="H5" s="124"/>
      <c r="I5" s="192"/>
      <c r="J5" s="124"/>
      <c r="K5" s="124"/>
      <c r="L5" s="124"/>
      <c r="M5" s="124"/>
      <c r="N5" s="124"/>
      <c r="O5" s="124"/>
      <c r="P5" s="124"/>
    </row>
    <row r="6" spans="1:62">
      <c r="F6" s="191" t="s">
        <v>194</v>
      </c>
      <c r="I6" s="51"/>
      <c r="J6" s="68">
        <f>IS!N7/IS!M7-1</f>
        <v>2.9244282019858847E-2</v>
      </c>
      <c r="K6" s="68">
        <f>IS!O7/IS!N7-1</f>
        <v>0.10000000000000009</v>
      </c>
      <c r="L6" s="68">
        <f>IS!P7/IS!O7-1</f>
        <v>0.10000000000000009</v>
      </c>
      <c r="M6" s="68">
        <f>IS!Q7/IS!P7-1</f>
        <v>0.10000000000000009</v>
      </c>
      <c r="N6" s="68">
        <f>IS!R7/IS!Q7-1</f>
        <v>0.10000000000000009</v>
      </c>
      <c r="O6" s="68">
        <f>IS!S7/IS!R7-1</f>
        <v>0.10000000000000009</v>
      </c>
      <c r="P6" s="68">
        <f>IS!T7/IS!S7-1</f>
        <v>0.10000000000000009</v>
      </c>
    </row>
    <row r="7" spans="1:62">
      <c r="F7" s="191" t="s">
        <v>108</v>
      </c>
      <c r="I7" s="51"/>
      <c r="J7" s="68">
        <f>IS!N10/IS!N7</f>
        <v>0.24607417538843893</v>
      </c>
      <c r="K7" s="68">
        <f>IS!O10/IS!O7</f>
        <v>0.2229182787019528</v>
      </c>
      <c r="L7" s="68">
        <f>IS!P10/IS!P7</f>
        <v>0.21219722684217926</v>
      </c>
      <c r="M7" s="68">
        <f>IS!Q10/IS!Q7</f>
        <v>0.21710834561692022</v>
      </c>
      <c r="N7" s="68">
        <f>IS!R10/IS!R7</f>
        <v>0.2261449584068605</v>
      </c>
      <c r="O7" s="68">
        <f>IS!S10/IS!S7</f>
        <v>0.22488859699127031</v>
      </c>
      <c r="P7" s="68">
        <f>IS!T10/IS!T7</f>
        <v>0.22065148131183662</v>
      </c>
    </row>
    <row r="8" spans="1:62">
      <c r="F8" s="191" t="s">
        <v>102</v>
      </c>
      <c r="I8" s="51"/>
      <c r="J8" s="68">
        <f>IS!N14/IS!N7</f>
        <v>0.15217284830939826</v>
      </c>
      <c r="K8" s="68">
        <f>IS!O14/IS!O7</f>
        <v>0.10205484099193704</v>
      </c>
      <c r="L8" s="68">
        <f>IS!P14/IS!P7</f>
        <v>0.1110646954408475</v>
      </c>
      <c r="M8" s="68">
        <f>IS!Q14/IS!Q7</f>
        <v>0.11759245035030459</v>
      </c>
      <c r="N8" s="68">
        <f>IS!R14/IS!R7</f>
        <v>0.12541885514686085</v>
      </c>
      <c r="O8" s="68">
        <f>IS!S14/IS!S7</f>
        <v>0.12224318201548413</v>
      </c>
      <c r="P8" s="68">
        <f>IS!T14/IS!T7</f>
        <v>0.11657981751060303</v>
      </c>
    </row>
    <row r="9" spans="1:62">
      <c r="F9" s="191" t="s">
        <v>193</v>
      </c>
      <c r="I9" s="51"/>
      <c r="J9" s="68">
        <f>IS!N18/IS!N7</f>
        <v>0.13224033737470092</v>
      </c>
      <c r="K9" s="68">
        <f>IS!O18/IS!O7</f>
        <v>8.3764590163850572E-2</v>
      </c>
      <c r="L9" s="68">
        <f>IS!P18/IS!P7</f>
        <v>9.2387804741939306E-2</v>
      </c>
      <c r="M9" s="68">
        <f>IS!Q18/IS!Q7</f>
        <v>9.8564238971510648E-2</v>
      </c>
      <c r="N9" s="68">
        <f>IS!R18/IS!R7</f>
        <v>0.10607141628816527</v>
      </c>
      <c r="O9" s="68">
        <f>IS!S18/IS!S7</f>
        <v>0.10260567750803332</v>
      </c>
      <c r="P9" s="68">
        <f>IS!T18/IS!T7</f>
        <v>9.6678745534699823E-2</v>
      </c>
    </row>
    <row r="10" spans="1:62">
      <c r="F10" s="191" t="s">
        <v>192</v>
      </c>
      <c r="I10" s="51"/>
      <c r="J10" s="68">
        <f>IS!N28/IS!N7</f>
        <v>6.3751133580394262E-2</v>
      </c>
      <c r="K10" s="68">
        <f>IS!O28/IS!O7</f>
        <v>6.3271164782327E-2</v>
      </c>
      <c r="L10" s="68">
        <f>IS!P28/IS!P7</f>
        <v>6.9639158516904234E-2</v>
      </c>
      <c r="M10" s="68">
        <f>IS!Q28/IS!Q7</f>
        <v>7.422273063077009E-2</v>
      </c>
      <c r="N10" s="68">
        <f>IS!R28/IS!R7</f>
        <v>7.9937327488365531E-2</v>
      </c>
      <c r="O10" s="68">
        <f>IS!S28/IS!S7</f>
        <v>7.7162803617063944E-2</v>
      </c>
      <c r="P10" s="68">
        <f>IS!T28/IS!T7</f>
        <v>7.2520743282723718E-2</v>
      </c>
    </row>
    <row r="11" spans="1:62">
      <c r="F11" s="191" t="s">
        <v>191</v>
      </c>
      <c r="I11" s="51"/>
      <c r="J11" s="68">
        <f>(IS!N28-IS!N20-IS!N21)/BS!K14</f>
        <v>0.10394610395092625</v>
      </c>
      <c r="K11" s="68">
        <f>(IS!O28-IS!O20-IS!O21)/BS!L14</f>
        <v>6.2080647798390121E-2</v>
      </c>
      <c r="L11" s="68">
        <f>(IS!P28-IS!P20-IS!P21)/BS!M14</f>
        <v>7.0026240471956686E-2</v>
      </c>
      <c r="M11" s="68">
        <f>(IS!Q28-IS!Q20-IS!Q21)/BS!N14</f>
        <v>7.6130585033850909E-2</v>
      </c>
      <c r="N11" s="68">
        <f>(IS!R28-IS!R20-IS!R21)/BS!O14</f>
        <v>8.2855873332956784E-2</v>
      </c>
      <c r="O11" s="68">
        <f>(IS!S28-IS!S20-IS!S21)/BS!P14</f>
        <v>8.09334949210882E-2</v>
      </c>
      <c r="P11" s="68">
        <f>(IS!T28-IS!T20-IS!T21)/BS!Q14</f>
        <v>7.7146584870245116E-2</v>
      </c>
    </row>
    <row r="12" spans="1:62">
      <c r="F12" s="191" t="s">
        <v>190</v>
      </c>
      <c r="I12" s="51"/>
      <c r="J12" s="68">
        <f>IS!N28/BS!K32</f>
        <v>0.21015959360868081</v>
      </c>
      <c r="K12" s="68">
        <f>IS!O28/BS!L32</f>
        <v>0.1866182970187146</v>
      </c>
      <c r="L12" s="68">
        <f>IS!P28/BS!M32</f>
        <v>0.18429990282743405</v>
      </c>
      <c r="M12" s="68">
        <f>IS!Q28/BS!N32</f>
        <v>0.17768118157270016</v>
      </c>
      <c r="N12" s="68">
        <f>IS!R28/BS!O32</f>
        <v>0.17389333661150408</v>
      </c>
      <c r="O12" s="68">
        <f>IS!S28/BS!P32</f>
        <v>0.1558641831769364</v>
      </c>
      <c r="P12" s="68">
        <f>IS!T28/BS!Q32</f>
        <v>0.13877462933792206</v>
      </c>
    </row>
    <row r="13" spans="1:62">
      <c r="F13" s="77" t="s">
        <v>189</v>
      </c>
      <c r="G13" s="124"/>
      <c r="H13" s="124"/>
      <c r="I13" s="192"/>
      <c r="J13" s="124"/>
      <c r="K13" s="124"/>
      <c r="L13" s="124"/>
      <c r="M13" s="124"/>
      <c r="N13" s="124"/>
      <c r="O13" s="124"/>
      <c r="P13" s="124"/>
    </row>
    <row r="14" spans="1:62">
      <c r="F14" s="191" t="s">
        <v>188</v>
      </c>
      <c r="I14" s="51"/>
      <c r="J14" s="195">
        <f>BS!K9/BS!K19</f>
        <v>2.4705344980804562</v>
      </c>
      <c r="K14" s="195">
        <f>BS!L9/BS!L19</f>
        <v>2.3976210433481806</v>
      </c>
      <c r="L14" s="195">
        <f>BS!M9/BS!M19</f>
        <v>2.3883011214724719</v>
      </c>
      <c r="M14" s="195">
        <f>BS!N9/BS!N19</f>
        <v>2.4313961111186586</v>
      </c>
      <c r="N14" s="195">
        <f>BS!O9/BS!O19</f>
        <v>2.5104685237815429</v>
      </c>
      <c r="O14" s="195">
        <f>BS!P9/BS!P19</f>
        <v>2.5670663686012136</v>
      </c>
      <c r="P14" s="195">
        <f>BS!Q9/BS!Q19</f>
        <v>2.6055154883559948</v>
      </c>
    </row>
    <row r="15" spans="1:62">
      <c r="F15" s="191" t="s">
        <v>187</v>
      </c>
      <c r="I15" s="51"/>
      <c r="J15" s="195">
        <f>(BS!K5+BS!K6)/BS!K19</f>
        <v>0.74166142715862937</v>
      </c>
      <c r="K15" s="195">
        <f>(BS!L5+BS!L6)/BS!L19</f>
        <v>0.72506794328915292</v>
      </c>
      <c r="L15" s="195">
        <f>(BS!M5+BS!M6)/BS!M19</f>
        <v>0.74900021503040948</v>
      </c>
      <c r="M15" s="195">
        <f>(BS!N5+BS!N6)/BS!N19</f>
        <v>0.80371420463650356</v>
      </c>
      <c r="N15" s="195">
        <f>(BS!O5+BS!O6)/BS!O19</f>
        <v>0.88566678190500436</v>
      </c>
      <c r="O15" s="195">
        <f>(BS!P5+BS!P6)/BS!P19</f>
        <v>0.95075760468969051</v>
      </c>
      <c r="P15" s="195">
        <f>(BS!Q5+BS!Q6)/BS!Q19</f>
        <v>0.99698482163085345</v>
      </c>
    </row>
    <row r="16" spans="1:62">
      <c r="F16" s="191" t="s">
        <v>186</v>
      </c>
      <c r="I16" s="51"/>
      <c r="J16" s="195">
        <f>(BS!K15+BS!K20)/IS!N14</f>
        <v>0.19568283172932438</v>
      </c>
      <c r="K16" s="195">
        <f>(BS!L15+BS!L20)/IS!O14</f>
        <v>0.34895814592576785</v>
      </c>
      <c r="L16" s="195">
        <f>(BS!M15+BS!M20)/IS!P14</f>
        <v>0.35698835038687271</v>
      </c>
      <c r="M16" s="195">
        <f>(BS!N15+BS!N20)/IS!Q14</f>
        <v>0.35970502869706128</v>
      </c>
      <c r="N16" s="195">
        <f>(BS!O15+BS!O20)/IS!R14</f>
        <v>0.34985615883092747</v>
      </c>
      <c r="O16" s="195">
        <f>(BS!P15+BS!P20)/IS!S14</f>
        <v>0.36511090118786704</v>
      </c>
      <c r="P16" s="195">
        <f>(BS!Q15+BS!Q20)/IS!T14</f>
        <v>0.38384585474259542</v>
      </c>
    </row>
    <row r="17" spans="6:17">
      <c r="F17" s="191" t="s">
        <v>185</v>
      </c>
      <c r="I17" s="51"/>
      <c r="J17" s="195">
        <f>(BS!K15+BS!K20-BS!K5)/IS!N14</f>
        <v>0.16086449126246416</v>
      </c>
      <c r="K17" s="195">
        <f>(BS!L15+BS!L20-BS!L5)/IS!O14</f>
        <v>0.25611017055292939</v>
      </c>
      <c r="L17" s="195">
        <f>(BS!M15+BS!M20-BS!M5)/IS!P14</f>
        <v>0.17014435382977425</v>
      </c>
      <c r="M17" s="195">
        <f>(BS!N15+BS!N20-BS!N5)/IS!Q14</f>
        <v>5.0490735934856278E-2</v>
      </c>
      <c r="N17" s="195">
        <f>(BS!O15+BS!O20-BS!O5)/IS!R14</f>
        <v>-0.1100546212447594</v>
      </c>
      <c r="O17" s="195">
        <f>(BS!P15+BS!P20-BS!P5)/IS!S14</f>
        <v>-0.26151865832532473</v>
      </c>
      <c r="P17" s="195">
        <f>(BS!Q15+BS!Q20-BS!Q5)/IS!T14</f>
        <v>-0.39610009850249156</v>
      </c>
      <c r="Q17" s="38" t="s">
        <v>276</v>
      </c>
    </row>
    <row r="18" spans="6:17">
      <c r="F18" s="194" t="s">
        <v>184</v>
      </c>
      <c r="I18" s="51"/>
      <c r="J18" s="196">
        <f>BS!K32/BS!K14</f>
        <v>0.27769112582648542</v>
      </c>
      <c r="K18" s="196">
        <f>BS!L32/BS!L14</f>
        <v>0.3192993595960979</v>
      </c>
      <c r="L18" s="196">
        <f>BS!M32/BS!M14</f>
        <v>0.36373086543029642</v>
      </c>
      <c r="M18" s="196">
        <f>BS!N32/BS!N14</f>
        <v>0.40966342010039047</v>
      </c>
      <c r="N18" s="196">
        <f>BS!O32/BS!O14</f>
        <v>0.45600914035664952</v>
      </c>
      <c r="O18" s="196">
        <f>BS!P32/BS!P14</f>
        <v>0.49562583700821777</v>
      </c>
      <c r="P18" s="196">
        <f>BS!Q32/BS!Q14</f>
        <v>0.52890312446830834</v>
      </c>
    </row>
    <row r="19" spans="6:17">
      <c r="F19" s="194" t="s">
        <v>183</v>
      </c>
      <c r="I19" s="51"/>
      <c r="J19" s="195">
        <f>(BS!K15+BS!K20)/BS!K32</f>
        <v>9.8163763967561934E-2</v>
      </c>
      <c r="K19" s="195">
        <f>(BS!L15+BS!L20)/BS!L32</f>
        <v>0.10504015247325613</v>
      </c>
      <c r="L19" s="195">
        <f>(BS!M15+BS!M20)/BS!M32</f>
        <v>0.10493048146061666</v>
      </c>
      <c r="M19" s="195">
        <f>(BS!N15+BS!N20)/BS!N32</f>
        <v>0.10125825880984558</v>
      </c>
      <c r="N19" s="195">
        <f>(BS!O15+BS!O20)/BS!O32</f>
        <v>9.5452140492098575E-2</v>
      </c>
      <c r="O19" s="195">
        <f>(BS!P15+BS!P20)/BS!P32</f>
        <v>9.0154575997517791E-2</v>
      </c>
      <c r="P19" s="195">
        <f>(BS!Q15+BS!Q20)/BS!Q32</f>
        <v>8.5630416310744834E-2</v>
      </c>
    </row>
    <row r="20" spans="6:17">
      <c r="F20" s="194" t="s">
        <v>182</v>
      </c>
      <c r="I20" s="51"/>
      <c r="J20" s="193">
        <f>IS!N14/-IS!N20</f>
        <v>2.6541581717599998</v>
      </c>
      <c r="K20" s="193">
        <f>IS!O14/-IS!O20</f>
        <v>38.544536500351924</v>
      </c>
      <c r="L20" s="193">
        <f>IS!P14/-IS!P20</f>
        <v>35.748532677352813</v>
      </c>
      <c r="M20" s="193">
        <f>IS!Q14/-IS!Q20</f>
        <v>34.516048656717473</v>
      </c>
      <c r="N20" s="193">
        <f>IS!R14/-IS!R20</f>
        <v>34.958370315880146</v>
      </c>
      <c r="O20" s="193">
        <f>IS!S14/-IS!S20</f>
        <v>33.227229103087851</v>
      </c>
      <c r="P20" s="193">
        <f>IS!T14/-IS!T20</f>
        <v>31.478846130115706</v>
      </c>
    </row>
    <row r="21" spans="6:17">
      <c r="F21" s="77" t="s">
        <v>181</v>
      </c>
      <c r="G21" s="124"/>
      <c r="H21" s="124"/>
      <c r="I21" s="192"/>
      <c r="J21" s="124"/>
      <c r="K21" s="124"/>
      <c r="L21" s="124"/>
      <c r="M21" s="124"/>
      <c r="N21" s="124"/>
      <c r="O21" s="124"/>
      <c r="P21" s="124"/>
    </row>
    <row r="22" spans="6:17">
      <c r="F22" s="191" t="s">
        <v>180</v>
      </c>
      <c r="I22" s="51"/>
      <c r="J22" s="73">
        <f>WC!J10</f>
        <v>65.454477996221698</v>
      </c>
      <c r="K22" s="73">
        <f>WC!K10</f>
        <v>65.454477996221698</v>
      </c>
      <c r="L22" s="73">
        <f>WC!L10</f>
        <v>65.454477996221698</v>
      </c>
      <c r="M22" s="73">
        <f>WC!M10</f>
        <v>65.454477996221698</v>
      </c>
      <c r="N22" s="73">
        <f>WC!N10</f>
        <v>65.454477996221698</v>
      </c>
      <c r="O22" s="73">
        <f>WC!O10</f>
        <v>65.454477996221698</v>
      </c>
      <c r="P22" s="73">
        <f>WC!P10</f>
        <v>65.454477996221698</v>
      </c>
    </row>
    <row r="23" spans="6:17">
      <c r="F23" s="191" t="s">
        <v>179</v>
      </c>
      <c r="I23" s="51"/>
      <c r="J23" s="125">
        <f>WC!J18</f>
        <v>81.086760202538713</v>
      </c>
      <c r="K23" s="125">
        <f>WC!K18</f>
        <v>81.086760202538713</v>
      </c>
      <c r="L23" s="125">
        <f>WC!L18</f>
        <v>81.086760202538713</v>
      </c>
      <c r="M23" s="125">
        <f>WC!M18</f>
        <v>81.086760202538713</v>
      </c>
      <c r="N23" s="125">
        <f>WC!N18</f>
        <v>81.086760202538713</v>
      </c>
      <c r="O23" s="125">
        <f>WC!O18</f>
        <v>81.086760202538713</v>
      </c>
      <c r="P23" s="125">
        <f>WC!P18</f>
        <v>81.086760202538713</v>
      </c>
    </row>
    <row r="24" spans="6:17">
      <c r="F24" s="191" t="s">
        <v>178</v>
      </c>
      <c r="I24" s="51"/>
      <c r="J24" s="125">
        <f>WC!J14</f>
        <v>74.79547915120591</v>
      </c>
      <c r="K24" s="125">
        <f>WC!K14</f>
        <v>74.79547915120591</v>
      </c>
      <c r="L24" s="125">
        <f>WC!L14</f>
        <v>74.79547915120591</v>
      </c>
      <c r="M24" s="125">
        <f>WC!M14</f>
        <v>74.79547915120591</v>
      </c>
      <c r="N24" s="125">
        <f>WC!N14</f>
        <v>74.79547915120591</v>
      </c>
      <c r="O24" s="125">
        <f>WC!O14</f>
        <v>74.79547915120591</v>
      </c>
      <c r="P24" s="125">
        <f>WC!P14</f>
        <v>74.79547915120591</v>
      </c>
    </row>
    <row r="25" spans="6:17">
      <c r="F25" s="191" t="s">
        <v>177</v>
      </c>
      <c r="I25" s="51"/>
      <c r="J25" s="56">
        <f t="shared" ref="J25:P25" si="1">J22+J23-J24</f>
        <v>71.745759047554515</v>
      </c>
      <c r="K25" s="73">
        <f t="shared" si="1"/>
        <v>71.745759047554515</v>
      </c>
      <c r="L25" s="73">
        <f t="shared" si="1"/>
        <v>71.745759047554515</v>
      </c>
      <c r="M25" s="73">
        <f t="shared" si="1"/>
        <v>71.745759047554515</v>
      </c>
      <c r="N25" s="73">
        <f t="shared" si="1"/>
        <v>71.745759047554515</v>
      </c>
      <c r="O25" s="73">
        <f t="shared" si="1"/>
        <v>71.745759047554515</v>
      </c>
      <c r="P25" s="73">
        <f t="shared" si="1"/>
        <v>71.745759047554515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5" tint="0.39997558519241921"/>
  </sheetPr>
  <dimension ref="A1:K54"/>
  <sheetViews>
    <sheetView topLeftCell="A34" zoomScale="85" zoomScaleNormal="85" workbookViewId="0">
      <selection activeCell="K17" sqref="K17"/>
    </sheetView>
  </sheetViews>
  <sheetFormatPr defaultRowHeight="14.4"/>
  <cols>
    <col min="1" max="1" width="3" customWidth="1"/>
    <col min="7" max="11" width="11" bestFit="1" customWidth="1"/>
  </cols>
  <sheetData>
    <row r="1" spans="1:11">
      <c r="A1" s="1" t="s">
        <v>0</v>
      </c>
      <c r="B1" s="1"/>
      <c r="C1" s="1" t="s">
        <v>1</v>
      </c>
      <c r="D1" s="2"/>
      <c r="E1" s="2"/>
      <c r="F1" s="2"/>
      <c r="G1" s="2"/>
      <c r="H1" s="2"/>
      <c r="I1" s="2"/>
      <c r="J1" s="2"/>
      <c r="K1" s="2"/>
    </row>
    <row r="2" spans="1:11">
      <c r="A2" s="1" t="s">
        <v>2</v>
      </c>
      <c r="B2" s="1"/>
      <c r="C2" s="1" t="s">
        <v>3</v>
      </c>
      <c r="D2" s="2"/>
      <c r="E2" s="2"/>
      <c r="F2" s="2"/>
      <c r="G2" s="2"/>
      <c r="H2" s="2"/>
      <c r="I2" s="2"/>
      <c r="J2" s="2"/>
      <c r="K2" s="2"/>
    </row>
    <row r="3" spans="1:11">
      <c r="A3" s="3"/>
      <c r="B3" s="236" t="s">
        <v>235</v>
      </c>
      <c r="C3" s="236"/>
      <c r="D3" s="236"/>
      <c r="E3" s="237" t="s">
        <v>92</v>
      </c>
      <c r="F3" s="238" t="s">
        <v>92</v>
      </c>
      <c r="G3" s="239">
        <v>2015</v>
      </c>
      <c r="H3" s="239">
        <v>2016</v>
      </c>
      <c r="I3" s="239">
        <v>2017</v>
      </c>
      <c r="J3" s="239">
        <v>2018</v>
      </c>
      <c r="K3" s="240">
        <v>2019</v>
      </c>
    </row>
    <row r="4" spans="1:11" ht="15.6">
      <c r="A4" s="3"/>
      <c r="B4" s="60"/>
      <c r="C4" s="60"/>
      <c r="D4" s="60"/>
      <c r="E4" s="60"/>
      <c r="F4" s="60"/>
      <c r="G4" s="241" t="s">
        <v>54</v>
      </c>
      <c r="H4" s="241" t="s">
        <v>54</v>
      </c>
      <c r="I4" s="241" t="s">
        <v>54</v>
      </c>
      <c r="J4" s="241" t="s">
        <v>54</v>
      </c>
      <c r="K4" s="241" t="s">
        <v>54</v>
      </c>
    </row>
    <row r="5" spans="1:11">
      <c r="A5" s="2"/>
      <c r="B5" s="2" t="s">
        <v>4</v>
      </c>
      <c r="C5" s="2"/>
      <c r="D5" s="2"/>
      <c r="E5" s="2"/>
      <c r="F5" s="2"/>
      <c r="G5" s="11">
        <v>14451.597</v>
      </c>
      <c r="H5" s="11">
        <v>15761.144</v>
      </c>
      <c r="I5" s="11">
        <v>439356.37800000003</v>
      </c>
      <c r="J5" s="11">
        <v>19448.273000000001</v>
      </c>
      <c r="K5" s="11">
        <v>13208.215</v>
      </c>
    </row>
    <row r="6" spans="1:11">
      <c r="A6" s="2"/>
      <c r="B6" s="2" t="s">
        <v>5</v>
      </c>
      <c r="C6" s="2"/>
      <c r="D6" s="2"/>
      <c r="E6" s="2"/>
      <c r="F6" s="2"/>
      <c r="G6" s="11">
        <v>434354.80900000001</v>
      </c>
      <c r="H6" s="11">
        <v>512728.89799999999</v>
      </c>
      <c r="I6" s="11">
        <v>573697.31299999997</v>
      </c>
      <c r="J6" s="11">
        <v>509398.9</v>
      </c>
      <c r="K6" s="11">
        <v>447038.978</v>
      </c>
    </row>
    <row r="7" spans="1:11">
      <c r="A7" s="4"/>
      <c r="B7" s="242" t="s">
        <v>6</v>
      </c>
      <c r="C7" s="4"/>
      <c r="D7" s="4"/>
      <c r="E7" s="4"/>
      <c r="F7" s="4"/>
      <c r="G7" s="11">
        <v>473967.21100000001</v>
      </c>
      <c r="H7" s="11">
        <v>891429.62900000007</v>
      </c>
      <c r="I7" s="11">
        <v>438350.30200000003</v>
      </c>
      <c r="J7" s="11">
        <v>920776.37100000004</v>
      </c>
      <c r="K7" s="11">
        <v>638071.76300000004</v>
      </c>
    </row>
    <row r="8" spans="1:11">
      <c r="A8" s="4"/>
      <c r="B8" s="242" t="s">
        <v>7</v>
      </c>
      <c r="C8" s="4"/>
      <c r="D8" s="4"/>
      <c r="E8" s="4"/>
      <c r="F8" s="4"/>
      <c r="G8" s="11">
        <v>0</v>
      </c>
      <c r="H8" s="11">
        <v>5672.9549999999999</v>
      </c>
      <c r="I8" s="11">
        <v>0</v>
      </c>
      <c r="J8" s="11">
        <v>0</v>
      </c>
      <c r="K8" s="11">
        <v>0</v>
      </c>
    </row>
    <row r="9" spans="1:11">
      <c r="A9" s="4"/>
      <c r="B9" s="2" t="s">
        <v>8</v>
      </c>
      <c r="C9" s="2"/>
      <c r="D9" s="2"/>
      <c r="E9" s="2"/>
      <c r="F9" s="2"/>
      <c r="G9" s="11">
        <v>277073.45199999999</v>
      </c>
      <c r="H9" s="11">
        <v>330442.12699999998</v>
      </c>
      <c r="I9" s="11">
        <v>335427.24400000001</v>
      </c>
      <c r="J9" s="11">
        <v>363038.61599999998</v>
      </c>
      <c r="K9" s="11">
        <v>417527.03</v>
      </c>
    </row>
    <row r="10" spans="1:11">
      <c r="A10" s="2"/>
      <c r="B10" s="2" t="s">
        <v>9</v>
      </c>
      <c r="C10" s="2"/>
      <c r="D10" s="2"/>
      <c r="E10" s="2"/>
      <c r="F10" s="2"/>
      <c r="G10" s="11">
        <v>44263.408000000003</v>
      </c>
      <c r="H10" s="11">
        <v>17141.46</v>
      </c>
      <c r="I10" s="11">
        <v>18608.057000000001</v>
      </c>
      <c r="J10" s="11">
        <v>20397.419000000002</v>
      </c>
      <c r="K10" s="11">
        <v>10733.554</v>
      </c>
    </row>
    <row r="11" spans="1:11">
      <c r="A11" s="2"/>
      <c r="B11" s="12" t="s">
        <v>10</v>
      </c>
      <c r="C11" s="2"/>
      <c r="D11" s="2"/>
      <c r="E11" s="2"/>
      <c r="F11" s="2"/>
      <c r="G11" s="11">
        <v>86.433000000000007</v>
      </c>
      <c r="H11" s="11">
        <v>178.01400000000001</v>
      </c>
      <c r="I11" s="11">
        <v>6530.9270000000006</v>
      </c>
      <c r="J11" s="11">
        <v>4867.3490000000002</v>
      </c>
      <c r="K11" s="11">
        <v>15.473000000000001</v>
      </c>
    </row>
    <row r="12" spans="1:11">
      <c r="A12" s="2"/>
      <c r="B12" s="2" t="s">
        <v>11</v>
      </c>
      <c r="C12" s="2"/>
      <c r="D12" s="2"/>
      <c r="E12" s="2"/>
      <c r="F12" s="2"/>
      <c r="G12" s="11">
        <v>21767.496999999999</v>
      </c>
      <c r="H12" s="11">
        <v>26200.672000000002</v>
      </c>
      <c r="I12" s="11">
        <v>28552.720000000001</v>
      </c>
      <c r="J12" s="11">
        <v>20058.293000000001</v>
      </c>
      <c r="K12" s="11">
        <v>6525.7970000000005</v>
      </c>
    </row>
    <row r="13" spans="1:11">
      <c r="A13" s="2"/>
      <c r="B13" s="5" t="s">
        <v>12</v>
      </c>
      <c r="C13" s="5"/>
      <c r="D13" s="5"/>
      <c r="E13" s="5"/>
      <c r="F13" s="5"/>
      <c r="G13" s="6">
        <f xml:space="preserve"> SUM(G5:G12)</f>
        <v>1265964.4070000001</v>
      </c>
      <c r="H13" s="6">
        <f xml:space="preserve"> SUM(H5:H12)</f>
        <v>1799554.899</v>
      </c>
      <c r="I13" s="6">
        <f xml:space="preserve"> SUM(I5:I12)</f>
        <v>1840522.9409999999</v>
      </c>
      <c r="J13" s="6">
        <f xml:space="preserve"> SUM(J5:J12)</f>
        <v>1857985.2210000001</v>
      </c>
      <c r="K13" s="6">
        <f xml:space="preserve"> SUM(K5:K12)</f>
        <v>1533120.81</v>
      </c>
    </row>
    <row r="14" spans="1:11">
      <c r="A14" s="3"/>
      <c r="B14" s="2" t="s">
        <v>13</v>
      </c>
      <c r="C14" s="2"/>
      <c r="D14" s="2"/>
      <c r="E14" s="2"/>
      <c r="F14" s="2"/>
      <c r="G14" s="13">
        <v>4448.8440000000001</v>
      </c>
      <c r="H14" s="13">
        <v>4448.8440000000001</v>
      </c>
      <c r="I14" s="11">
        <v>4448.8440000000001</v>
      </c>
      <c r="J14" s="11">
        <v>1420.5940000000001</v>
      </c>
      <c r="K14" s="11">
        <v>1394.933</v>
      </c>
    </row>
    <row r="15" spans="1:11">
      <c r="A15" s="3"/>
      <c r="B15" s="2" t="s">
        <v>14</v>
      </c>
      <c r="C15" s="2"/>
      <c r="D15" s="2"/>
      <c r="E15" s="2"/>
      <c r="F15" s="2"/>
      <c r="G15" s="13">
        <v>96009.1</v>
      </c>
      <c r="H15" s="13">
        <v>169418.7</v>
      </c>
      <c r="I15" s="11">
        <v>254103</v>
      </c>
      <c r="J15" s="11">
        <v>212107.00100000002</v>
      </c>
      <c r="K15" s="11">
        <v>219842.00100000002</v>
      </c>
    </row>
    <row r="16" spans="1:11">
      <c r="A16" s="3"/>
      <c r="B16" s="2" t="s">
        <v>15</v>
      </c>
      <c r="C16" s="2"/>
      <c r="D16" s="2"/>
      <c r="E16" s="2"/>
      <c r="F16" s="2"/>
      <c r="G16" s="13">
        <v>214985.772</v>
      </c>
      <c r="H16" s="13">
        <v>13706.438</v>
      </c>
      <c r="I16" s="11">
        <v>414100.76799999998</v>
      </c>
      <c r="J16" s="11">
        <v>5487.5050000000001</v>
      </c>
      <c r="K16" s="11">
        <v>1466.5889999999999</v>
      </c>
    </row>
    <row r="17" spans="1:11">
      <c r="A17" s="2"/>
      <c r="B17" s="2" t="s">
        <v>16</v>
      </c>
      <c r="C17" s="2"/>
      <c r="D17" s="2"/>
      <c r="E17" s="2"/>
      <c r="F17" s="2"/>
      <c r="G17" s="13">
        <v>365042.66100000002</v>
      </c>
      <c r="H17" s="13">
        <v>432574.42800000001</v>
      </c>
      <c r="I17" s="11">
        <v>819153.04700000002</v>
      </c>
      <c r="J17" s="11">
        <v>874144.62300000002</v>
      </c>
      <c r="K17" s="11">
        <v>865150.92500000005</v>
      </c>
    </row>
    <row r="18" spans="1:11">
      <c r="A18" s="2"/>
      <c r="B18" s="2" t="s">
        <v>17</v>
      </c>
      <c r="C18" s="2"/>
      <c r="D18" s="2"/>
      <c r="E18" s="2"/>
      <c r="F18" s="2"/>
      <c r="G18" s="13">
        <v>1870.365</v>
      </c>
      <c r="H18" s="13">
        <v>3628.8050000000003</v>
      </c>
      <c r="I18" s="11">
        <v>6276.3310000000001</v>
      </c>
      <c r="J18" s="11">
        <v>11167.324000000001</v>
      </c>
      <c r="K18" s="11">
        <v>15045.787</v>
      </c>
    </row>
    <row r="19" spans="1:11">
      <c r="A19" s="2"/>
      <c r="B19" s="2" t="s">
        <v>18</v>
      </c>
      <c r="C19" s="2"/>
      <c r="D19" s="2"/>
      <c r="E19" s="2"/>
      <c r="F19" s="2"/>
      <c r="G19" s="13">
        <v>4445.5740000000005</v>
      </c>
      <c r="H19" s="13">
        <v>4551.6990000000005</v>
      </c>
      <c r="I19" s="11">
        <v>6792.8069999999998</v>
      </c>
      <c r="J19" s="11">
        <v>4177.5780000000004</v>
      </c>
      <c r="K19" s="11">
        <v>8069.5520000000006</v>
      </c>
    </row>
    <row r="20" spans="1:11">
      <c r="A20" s="2"/>
      <c r="B20" s="2" t="s">
        <v>19</v>
      </c>
      <c r="C20" s="2"/>
      <c r="D20" s="2"/>
      <c r="E20" s="2"/>
      <c r="F20" s="2"/>
      <c r="G20" s="13">
        <v>32243.331000000002</v>
      </c>
      <c r="H20" s="13">
        <v>40940.247000000003</v>
      </c>
      <c r="I20" s="11">
        <v>33279.349000000002</v>
      </c>
      <c r="J20" s="11">
        <v>59951.124000000003</v>
      </c>
      <c r="K20" s="11">
        <v>74839.146999999997</v>
      </c>
    </row>
    <row r="21" spans="1:11">
      <c r="A21" s="2"/>
      <c r="B21" s="2" t="s">
        <v>20</v>
      </c>
      <c r="C21" s="2"/>
      <c r="D21" s="2"/>
      <c r="E21" s="2"/>
      <c r="F21" s="2"/>
      <c r="G21" s="13">
        <v>14850.641</v>
      </c>
      <c r="H21" s="13">
        <v>18096.03</v>
      </c>
      <c r="I21" s="11">
        <v>17492.507000000001</v>
      </c>
      <c r="J21" s="11">
        <v>13393.111000000001</v>
      </c>
      <c r="K21" s="7">
        <v>0</v>
      </c>
    </row>
    <row r="22" spans="1:11">
      <c r="A22" s="2"/>
      <c r="B22" s="8" t="s">
        <v>21</v>
      </c>
      <c r="C22" s="2"/>
      <c r="D22" s="2"/>
      <c r="E22" s="2"/>
      <c r="F22" s="2"/>
      <c r="G22" s="11">
        <v>0</v>
      </c>
      <c r="H22" s="11">
        <v>0</v>
      </c>
      <c r="I22" s="11">
        <v>0</v>
      </c>
      <c r="J22" s="11">
        <v>0</v>
      </c>
      <c r="K22" s="11">
        <v>4245.4520000000002</v>
      </c>
    </row>
    <row r="23" spans="1:11">
      <c r="A23" s="2"/>
      <c r="B23" s="5" t="s">
        <v>22</v>
      </c>
      <c r="C23" s="5"/>
      <c r="D23" s="5"/>
      <c r="E23" s="5"/>
      <c r="F23" s="5"/>
      <c r="G23" s="9">
        <f>SUM(G14:G22)</f>
        <v>733896.28800000006</v>
      </c>
      <c r="H23" s="9">
        <f t="shared" ref="H23:K23" si="0">SUM(H14:H22)</f>
        <v>687365.19100000011</v>
      </c>
      <c r="I23" s="9">
        <f t="shared" si="0"/>
        <v>1555646.6529999999</v>
      </c>
      <c r="J23" s="9">
        <f t="shared" si="0"/>
        <v>1181848.8600000001</v>
      </c>
      <c r="K23" s="9">
        <f t="shared" si="0"/>
        <v>1190054.3859999999</v>
      </c>
    </row>
    <row r="24" spans="1:11">
      <c r="A24" s="2"/>
      <c r="B24" s="5" t="s">
        <v>23</v>
      </c>
      <c r="C24" s="5"/>
      <c r="D24" s="5"/>
      <c r="E24" s="5"/>
      <c r="F24" s="5"/>
      <c r="G24" s="9">
        <f>G23+G13</f>
        <v>1999860.6950000003</v>
      </c>
      <c r="H24" s="9">
        <f>H23+H13</f>
        <v>2486920.09</v>
      </c>
      <c r="I24" s="9">
        <f>I23+I13</f>
        <v>3396169.5939999996</v>
      </c>
      <c r="J24" s="9">
        <f>J23+J13</f>
        <v>3039834.0810000002</v>
      </c>
      <c r="K24" s="9">
        <f>K23+K13</f>
        <v>2723175.196</v>
      </c>
    </row>
    <row r="25" spans="1:11">
      <c r="A25" s="3"/>
      <c r="B25" s="2" t="s">
        <v>24</v>
      </c>
      <c r="C25" s="2"/>
      <c r="D25" s="2"/>
      <c r="E25" s="2"/>
      <c r="F25" s="2"/>
      <c r="G25" s="11">
        <v>1069618.993</v>
      </c>
      <c r="H25" s="11">
        <v>1294229.2709999999</v>
      </c>
      <c r="I25" s="11">
        <v>874584.8</v>
      </c>
      <c r="J25" s="11">
        <v>317984.87400000001</v>
      </c>
      <c r="K25" s="11">
        <v>71353.171000000002</v>
      </c>
    </row>
    <row r="26" spans="1:11">
      <c r="A26" s="3"/>
      <c r="B26" s="2" t="s">
        <v>25</v>
      </c>
      <c r="C26" s="2"/>
      <c r="D26" s="2"/>
      <c r="E26" s="2"/>
      <c r="F26" s="2"/>
      <c r="G26" s="11">
        <v>69554.294999999998</v>
      </c>
      <c r="H26" s="11">
        <v>251993.106</v>
      </c>
      <c r="I26" s="11">
        <v>119849.469</v>
      </c>
      <c r="J26" s="7">
        <v>0</v>
      </c>
      <c r="K26" s="7">
        <v>0</v>
      </c>
    </row>
    <row r="27" spans="1:11">
      <c r="A27" s="3"/>
      <c r="B27" s="2" t="s">
        <v>26</v>
      </c>
      <c r="C27" s="2"/>
      <c r="D27" s="2"/>
      <c r="E27" s="2"/>
      <c r="F27" s="2"/>
      <c r="G27" s="11">
        <v>193100.033</v>
      </c>
      <c r="H27" s="11">
        <v>267807.84100000001</v>
      </c>
      <c r="I27" s="11">
        <v>447963.68400000001</v>
      </c>
      <c r="J27" s="11">
        <v>430067.33500000002</v>
      </c>
      <c r="K27" s="11">
        <v>385132.34700000001</v>
      </c>
    </row>
    <row r="28" spans="1:11">
      <c r="A28" s="2"/>
      <c r="B28" s="4" t="s">
        <v>27</v>
      </c>
      <c r="C28" s="4"/>
      <c r="D28" s="4"/>
      <c r="E28" s="4"/>
      <c r="F28" s="4"/>
      <c r="G28" s="11">
        <v>2764.46</v>
      </c>
      <c r="H28" s="11">
        <v>2883.4580000000001</v>
      </c>
      <c r="I28" s="11">
        <v>5219.692</v>
      </c>
      <c r="J28" s="11">
        <v>7195.6120000000001</v>
      </c>
      <c r="K28" s="11">
        <v>4993.8140000000003</v>
      </c>
    </row>
    <row r="29" spans="1:11">
      <c r="A29" s="4"/>
      <c r="B29" s="2" t="s">
        <v>28</v>
      </c>
      <c r="C29" s="4"/>
      <c r="D29" s="4"/>
      <c r="E29" s="4"/>
      <c r="F29" s="4"/>
      <c r="G29" s="11">
        <v>3619.53</v>
      </c>
      <c r="H29" s="11">
        <v>3180.2159999999999</v>
      </c>
      <c r="I29" s="11">
        <v>2043.075</v>
      </c>
      <c r="J29" s="11">
        <v>2928.65</v>
      </c>
      <c r="K29" s="11">
        <v>4492.8739999999998</v>
      </c>
    </row>
    <row r="30" spans="1:11">
      <c r="A30" s="4"/>
      <c r="B30" s="2" t="s">
        <v>29</v>
      </c>
      <c r="C30" s="4"/>
      <c r="D30" s="4"/>
      <c r="E30" s="4"/>
      <c r="F30" s="4"/>
      <c r="G30" s="11">
        <v>8424.6200000000008</v>
      </c>
      <c r="H30" s="11">
        <v>9419.5679999999993</v>
      </c>
      <c r="I30" s="11">
        <v>12469.813</v>
      </c>
      <c r="J30" s="11">
        <v>11355.282000000001</v>
      </c>
      <c r="K30" s="11">
        <v>15027.956</v>
      </c>
    </row>
    <row r="31" spans="1:11">
      <c r="A31" s="2"/>
      <c r="B31" s="2" t="s">
        <v>30</v>
      </c>
      <c r="C31" s="4"/>
      <c r="D31" s="2"/>
      <c r="E31" s="2"/>
      <c r="F31" s="2"/>
      <c r="G31" s="11">
        <v>6935.3050000000003</v>
      </c>
      <c r="H31" s="11">
        <v>10035.451999999999</v>
      </c>
      <c r="I31" s="11">
        <v>11871.050000000001</v>
      </c>
      <c r="J31" s="11">
        <v>11559.769</v>
      </c>
      <c r="K31" s="11">
        <v>12020.130000000001</v>
      </c>
    </row>
    <row r="32" spans="1:11">
      <c r="A32" s="2"/>
      <c r="B32" s="2" t="s">
        <v>31</v>
      </c>
      <c r="C32" s="4"/>
      <c r="D32" s="2"/>
      <c r="E32" s="2"/>
      <c r="F32" s="2"/>
      <c r="G32" s="11">
        <v>2401.5639999999999</v>
      </c>
      <c r="H32" s="11">
        <v>4970.223</v>
      </c>
      <c r="I32" s="11">
        <v>9304.4809999999998</v>
      </c>
      <c r="J32" s="11">
        <v>14384.165000000001</v>
      </c>
      <c r="K32" s="11">
        <v>16460.797999999999</v>
      </c>
    </row>
    <row r="33" spans="1:11">
      <c r="A33" s="3"/>
      <c r="B33" s="2" t="s">
        <v>32</v>
      </c>
      <c r="C33" s="2"/>
      <c r="D33" s="2"/>
      <c r="E33" s="2"/>
      <c r="F33" s="2"/>
      <c r="G33" s="11">
        <v>8433.5640000000003</v>
      </c>
      <c r="H33" s="11">
        <v>166486.43700000001</v>
      </c>
      <c r="I33" s="11">
        <v>187255.43900000001</v>
      </c>
      <c r="J33" s="11">
        <v>2699.3209999999999</v>
      </c>
      <c r="K33" s="11">
        <v>111081.307</v>
      </c>
    </row>
    <row r="34" spans="1:11">
      <c r="A34" s="2"/>
      <c r="B34" s="5" t="s">
        <v>33</v>
      </c>
      <c r="C34" s="5"/>
      <c r="D34" s="5"/>
      <c r="E34" s="5"/>
      <c r="F34" s="5"/>
      <c r="G34" s="9">
        <f>SUM(G25:G33)</f>
        <v>1364852.3640000001</v>
      </c>
      <c r="H34" s="9">
        <f>SUM(H25:H33)</f>
        <v>2011005.5719999999</v>
      </c>
      <c r="I34" s="9">
        <f>SUM(I25:I33)</f>
        <v>1670561.5030000003</v>
      </c>
      <c r="J34" s="9">
        <f>SUM(J25:J33)</f>
        <v>798175.00800000003</v>
      </c>
      <c r="K34" s="9">
        <f>SUM(K25:K33)</f>
        <v>620562.39700000011</v>
      </c>
    </row>
    <row r="35" spans="1:11">
      <c r="A35" s="2"/>
      <c r="B35" s="2" t="s">
        <v>34</v>
      </c>
      <c r="C35" s="2"/>
      <c r="D35" s="2"/>
      <c r="E35" s="2"/>
      <c r="F35" s="2"/>
      <c r="G35" s="13">
        <v>254792.573</v>
      </c>
      <c r="H35" s="13">
        <v>38724.556000000004</v>
      </c>
      <c r="I35" s="11">
        <v>400102.16800000001</v>
      </c>
      <c r="J35" s="7">
        <v>0</v>
      </c>
      <c r="K35" s="11">
        <v>2878.4230000000002</v>
      </c>
    </row>
    <row r="36" spans="1:11">
      <c r="A36" s="2"/>
      <c r="B36" s="2" t="s">
        <v>35</v>
      </c>
      <c r="C36" s="2"/>
      <c r="D36" s="2"/>
      <c r="E36" s="2"/>
      <c r="F36" s="2"/>
      <c r="G36" s="13">
        <v>54.724000000000004</v>
      </c>
      <c r="H36" s="13">
        <v>54.724000000000004</v>
      </c>
      <c r="I36" s="11">
        <v>479385</v>
      </c>
      <c r="J36" s="11">
        <v>1364244.0050000001</v>
      </c>
      <c r="K36" s="11">
        <v>1031988.897</v>
      </c>
    </row>
    <row r="37" spans="1:11">
      <c r="A37" s="2"/>
      <c r="B37" s="2" t="s">
        <v>36</v>
      </c>
      <c r="C37" s="2"/>
      <c r="D37" s="2"/>
      <c r="E37" s="2"/>
      <c r="F37" s="2"/>
      <c r="G37" s="13">
        <v>4946.6289999999999</v>
      </c>
      <c r="H37" s="13">
        <v>13740.552</v>
      </c>
      <c r="I37" s="11">
        <v>60659.57</v>
      </c>
      <c r="J37" s="11">
        <v>65128.135999999999</v>
      </c>
      <c r="K37" s="11">
        <v>68140.536000000007</v>
      </c>
    </row>
    <row r="38" spans="1:11">
      <c r="A38" s="2"/>
      <c r="B38" s="2" t="s">
        <v>37</v>
      </c>
      <c r="C38" s="2"/>
      <c r="D38" s="2"/>
      <c r="E38" s="2"/>
      <c r="F38" s="2"/>
      <c r="G38" s="13">
        <v>11876.121000000001</v>
      </c>
      <c r="H38" s="13">
        <v>22169.536</v>
      </c>
      <c r="I38" s="11">
        <v>25473.246999999999</v>
      </c>
      <c r="J38" s="11">
        <v>30305.487000000001</v>
      </c>
      <c r="K38" s="11">
        <v>33225.074000000001</v>
      </c>
    </row>
    <row r="39" spans="1:11">
      <c r="A39" s="3"/>
      <c r="B39" s="2" t="s">
        <v>18</v>
      </c>
      <c r="C39" s="2"/>
      <c r="D39" s="2"/>
      <c r="E39" s="2"/>
      <c r="F39" s="2"/>
      <c r="G39" s="11">
        <v>0</v>
      </c>
      <c r="H39" s="7">
        <v>0</v>
      </c>
      <c r="I39" s="7"/>
      <c r="J39" s="7"/>
      <c r="K39" s="7"/>
    </row>
    <row r="40" spans="1:11">
      <c r="A40" s="3"/>
      <c r="B40" s="5" t="s">
        <v>38</v>
      </c>
      <c r="C40" s="5"/>
      <c r="D40" s="5"/>
      <c r="E40" s="5"/>
      <c r="F40" s="5"/>
      <c r="G40" s="9">
        <f>SUM(G35:G39)</f>
        <v>271670.04699999996</v>
      </c>
      <c r="H40" s="9">
        <f>SUM(H35:H39)</f>
        <v>74689.368000000017</v>
      </c>
      <c r="I40" s="9">
        <f>SUM(I35:I39)</f>
        <v>965619.98499999999</v>
      </c>
      <c r="J40" s="9">
        <f>SUM(J35:J39)</f>
        <v>1459677.628</v>
      </c>
      <c r="K40" s="9">
        <f>SUM(K35:K39)</f>
        <v>1136232.93</v>
      </c>
    </row>
    <row r="41" spans="1:11">
      <c r="A41" s="2"/>
      <c r="B41" s="5" t="s">
        <v>39</v>
      </c>
      <c r="C41" s="5"/>
      <c r="D41" s="5"/>
      <c r="E41" s="5"/>
      <c r="F41" s="5"/>
      <c r="G41" s="9">
        <f>G40+G34</f>
        <v>1636522.4110000001</v>
      </c>
      <c r="H41" s="9">
        <f>H40+H34</f>
        <v>2085694.94</v>
      </c>
      <c r="I41" s="9">
        <f>I40+I34</f>
        <v>2636181.4880000004</v>
      </c>
      <c r="J41" s="9">
        <f>J40+J34</f>
        <v>2257852.6359999999</v>
      </c>
      <c r="K41" s="9">
        <f>K40+K34</f>
        <v>1756795.327</v>
      </c>
    </row>
    <row r="42" spans="1:11">
      <c r="A42" s="2"/>
      <c r="B42" s="2" t="s">
        <v>40</v>
      </c>
      <c r="C42" s="2"/>
      <c r="D42" s="2"/>
      <c r="E42" s="2"/>
      <c r="F42" s="2"/>
      <c r="G42" s="11">
        <v>6244</v>
      </c>
      <c r="H42" s="11">
        <v>6244</v>
      </c>
      <c r="I42" s="11">
        <v>23900</v>
      </c>
      <c r="J42" s="11">
        <v>662000</v>
      </c>
      <c r="K42" s="11">
        <v>662000</v>
      </c>
    </row>
    <row r="43" spans="1:11">
      <c r="A43" s="2"/>
      <c r="B43" s="2" t="s">
        <v>41</v>
      </c>
      <c r="C43" s="2"/>
      <c r="D43" s="2"/>
      <c r="E43" s="2"/>
      <c r="F43" s="2"/>
      <c r="G43" s="11">
        <v>0</v>
      </c>
      <c r="H43" s="7">
        <v>0</v>
      </c>
      <c r="I43" s="11">
        <v>886860.88</v>
      </c>
      <c r="J43" s="11">
        <v>702.05000000000007</v>
      </c>
      <c r="K43" s="11">
        <v>702.05000000000007</v>
      </c>
    </row>
    <row r="44" spans="1:11">
      <c r="A44" s="2"/>
      <c r="B44" s="12" t="s">
        <v>42</v>
      </c>
      <c r="C44" s="2"/>
      <c r="D44" s="2"/>
      <c r="E44" s="2"/>
      <c r="F44" s="2"/>
      <c r="G44" s="11">
        <v>51212.762999999999</v>
      </c>
      <c r="H44" s="11">
        <v>88358.202000000005</v>
      </c>
      <c r="I44" s="11">
        <v>341636.859</v>
      </c>
      <c r="J44" s="11">
        <v>313720.12599999999</v>
      </c>
      <c r="K44" s="11">
        <v>313272.56099999999</v>
      </c>
    </row>
    <row r="45" spans="1:11">
      <c r="A45" s="2"/>
      <c r="B45" s="12" t="s">
        <v>43</v>
      </c>
      <c r="C45" s="12"/>
      <c r="D45" s="2"/>
      <c r="E45" s="2"/>
      <c r="F45" s="2"/>
      <c r="G45" s="11">
        <v>26026.588</v>
      </c>
      <c r="H45" s="11">
        <v>40356.385000000002</v>
      </c>
      <c r="I45" s="11">
        <v>46747.084000000003</v>
      </c>
      <c r="J45" s="11">
        <v>84400.388000000006</v>
      </c>
      <c r="K45" s="11">
        <v>102626.69900000001</v>
      </c>
    </row>
    <row r="46" spans="1:11">
      <c r="A46" s="2"/>
      <c r="B46" s="12" t="s">
        <v>44</v>
      </c>
      <c r="C46" s="14"/>
      <c r="D46" s="2"/>
      <c r="E46" s="2"/>
      <c r="F46" s="2"/>
      <c r="G46" s="11">
        <v>30344.476000000002</v>
      </c>
      <c r="H46" s="11">
        <v>31930.256000000001</v>
      </c>
      <c r="I46" s="11">
        <v>34656.534</v>
      </c>
      <c r="J46" s="11">
        <v>36192.002</v>
      </c>
      <c r="K46" s="11">
        <v>36192.002</v>
      </c>
    </row>
    <row r="47" spans="1:11">
      <c r="A47" s="2"/>
      <c r="B47" s="12" t="s">
        <v>45</v>
      </c>
      <c r="C47" s="14"/>
      <c r="D47" s="2"/>
      <c r="E47" s="2"/>
      <c r="F47" s="2"/>
      <c r="G47" s="11">
        <v>-4876.8609999999999</v>
      </c>
      <c r="H47" s="11">
        <v>-4876.8609999999999</v>
      </c>
      <c r="I47" s="11">
        <v>-909376.86100000003</v>
      </c>
      <c r="J47" s="11">
        <v>-895717.51500000001</v>
      </c>
      <c r="K47" s="11">
        <v>-895717.51500000001</v>
      </c>
    </row>
    <row r="48" spans="1:11">
      <c r="A48" s="2"/>
      <c r="B48" s="2" t="s">
        <v>46</v>
      </c>
      <c r="C48" s="14"/>
      <c r="D48" s="2"/>
      <c r="E48" s="2"/>
      <c r="F48" s="2"/>
      <c r="G48" s="11">
        <v>237645.31</v>
      </c>
      <c r="H48" s="11">
        <v>160355.97200000001</v>
      </c>
      <c r="I48" s="11">
        <v>114893.27800000001</v>
      </c>
      <c r="J48" s="11">
        <v>433864.245</v>
      </c>
      <c r="K48" s="11">
        <v>399294.136</v>
      </c>
    </row>
    <row r="49" spans="1:11">
      <c r="A49" s="2"/>
      <c r="B49" s="12" t="s">
        <v>47</v>
      </c>
      <c r="C49" s="14"/>
      <c r="D49" s="2"/>
      <c r="E49" s="2"/>
      <c r="F49" s="2"/>
      <c r="G49" s="11">
        <v>-75703.558000000005</v>
      </c>
      <c r="H49" s="11">
        <v>-33356.373</v>
      </c>
      <c r="I49" s="11">
        <v>53861.652999999998</v>
      </c>
      <c r="J49" s="11">
        <v>-34570.109000000004</v>
      </c>
      <c r="K49" s="11">
        <v>137831.65299999999</v>
      </c>
    </row>
    <row r="50" spans="1:11">
      <c r="A50" s="2"/>
      <c r="B50" s="3" t="s">
        <v>48</v>
      </c>
      <c r="C50" s="3"/>
      <c r="D50" s="3"/>
      <c r="E50" s="3"/>
      <c r="F50" s="3"/>
      <c r="G50" s="10">
        <f>+SUM(G42:G49)</f>
        <v>270892.71799999994</v>
      </c>
      <c r="H50" s="10">
        <f t="shared" ref="H50:K50" si="1">+SUM(H42:H49)</f>
        <v>289011.58100000001</v>
      </c>
      <c r="I50" s="10">
        <f t="shared" si="1"/>
        <v>593179.42700000014</v>
      </c>
      <c r="J50" s="10">
        <f t="shared" si="1"/>
        <v>600591.18700000003</v>
      </c>
      <c r="K50" s="10">
        <f t="shared" si="1"/>
        <v>756201.58600000013</v>
      </c>
    </row>
    <row r="51" spans="1:11">
      <c r="A51" s="2"/>
      <c r="B51" s="12" t="s">
        <v>49</v>
      </c>
      <c r="C51" s="2"/>
      <c r="D51" s="2"/>
      <c r="E51" s="2"/>
      <c r="F51" s="2"/>
      <c r="G51" s="11">
        <v>92445.566000000006</v>
      </c>
      <c r="H51" s="11">
        <v>112213.569</v>
      </c>
      <c r="I51" s="11">
        <v>166808.679</v>
      </c>
      <c r="J51" s="11">
        <v>181390.258</v>
      </c>
      <c r="K51" s="11">
        <v>210178.283</v>
      </c>
    </row>
    <row r="52" spans="1:11">
      <c r="A52" s="2"/>
      <c r="B52" s="15" t="s">
        <v>50</v>
      </c>
      <c r="C52" s="2"/>
      <c r="D52" s="2"/>
      <c r="E52" s="2"/>
      <c r="F52" s="2"/>
      <c r="G52" s="16">
        <f>+SUM(G50:G51)</f>
        <v>363338.28399999993</v>
      </c>
      <c r="H52" s="16">
        <f t="shared" ref="H52:K52" si="2">+SUM(H50:H51)</f>
        <v>401225.15</v>
      </c>
      <c r="I52" s="16">
        <f t="shared" si="2"/>
        <v>759988.10600000015</v>
      </c>
      <c r="J52" s="16">
        <f t="shared" si="2"/>
        <v>781981.44500000007</v>
      </c>
      <c r="K52" s="16">
        <f t="shared" si="2"/>
        <v>966379.86900000018</v>
      </c>
    </row>
    <row r="53" spans="1:11">
      <c r="A53" s="3"/>
      <c r="B53" s="5" t="s">
        <v>51</v>
      </c>
      <c r="C53" s="5"/>
      <c r="D53" s="5"/>
      <c r="E53" s="5"/>
      <c r="F53" s="5"/>
      <c r="G53" s="9">
        <f>G52+G41</f>
        <v>1999860.6950000001</v>
      </c>
      <c r="H53" s="9">
        <f>H52+H41</f>
        <v>2486920.09</v>
      </c>
      <c r="I53" s="9">
        <f>I52+I41</f>
        <v>3396169.5940000005</v>
      </c>
      <c r="J53" s="9">
        <f>J52+J41</f>
        <v>3039834.0810000002</v>
      </c>
      <c r="K53" s="9">
        <f>K52+K41</f>
        <v>2723175.1960000005</v>
      </c>
    </row>
    <row r="54" spans="1:11">
      <c r="A54" s="4"/>
      <c r="B54" s="3"/>
      <c r="C54" s="3"/>
      <c r="D54" s="3"/>
      <c r="E54" s="3"/>
      <c r="F54" s="3"/>
      <c r="G54" s="7" t="b">
        <f>ROUNDUP(G53,5)=ROUNDUP(G24,5)</f>
        <v>1</v>
      </c>
      <c r="H54" s="7" t="b">
        <f>ROUNDUP(H53,1)=ROUNDUP(H24,1)</f>
        <v>1</v>
      </c>
      <c r="I54" s="7" t="b">
        <f>ROUNDUP(I53,1)=ROUNDUP(I24,1)</f>
        <v>1</v>
      </c>
      <c r="J54" s="7" t="b">
        <f>ROUNDUP(J53,1)=ROUNDUP(J24,1)</f>
        <v>1</v>
      </c>
      <c r="K54" s="7" t="b">
        <f>ROUNDUP(K53,1)=ROUNDUP(K24,1)</f>
        <v>1</v>
      </c>
    </row>
  </sheetData>
  <conditionalFormatting sqref="K54">
    <cfRule type="cellIs" dxfId="7" priority="9" stopIfTrue="1" operator="notEqual">
      <formula>TRUE</formula>
    </cfRule>
  </conditionalFormatting>
  <conditionalFormatting sqref="I54">
    <cfRule type="cellIs" dxfId="6" priority="13" stopIfTrue="1" operator="notEqual">
      <formula>TRUE</formula>
    </cfRule>
  </conditionalFormatting>
  <conditionalFormatting sqref="I54">
    <cfRule type="cellIs" dxfId="5" priority="14" stopIfTrue="1" operator="notEqual">
      <formula>TRUE</formula>
    </cfRule>
  </conditionalFormatting>
  <conditionalFormatting sqref="G54">
    <cfRule type="cellIs" dxfId="4" priority="11" stopIfTrue="1" operator="notEqual">
      <formula>TRUE</formula>
    </cfRule>
  </conditionalFormatting>
  <conditionalFormatting sqref="G54">
    <cfRule type="cellIs" dxfId="3" priority="12" stopIfTrue="1" operator="notEqual">
      <formula>TRUE</formula>
    </cfRule>
  </conditionalFormatting>
  <conditionalFormatting sqref="H54">
    <cfRule type="cellIs" dxfId="2" priority="15" stopIfTrue="1" operator="notEqual">
      <formula>TRUE</formula>
    </cfRule>
  </conditionalFormatting>
  <conditionalFormatting sqref="H54">
    <cfRule type="cellIs" dxfId="1" priority="16" stopIfTrue="1" operator="notEqual">
      <formula>TRUE</formula>
    </cfRule>
  </conditionalFormatting>
  <conditionalFormatting sqref="J54">
    <cfRule type="cellIs" dxfId="0" priority="10" stopIfTrue="1" operator="not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5" tint="0.39997558519241921"/>
  </sheetPr>
  <dimension ref="A1:Q33"/>
  <sheetViews>
    <sheetView zoomScale="70" zoomScaleNormal="70" workbookViewId="0">
      <selection activeCell="K14" sqref="K14"/>
    </sheetView>
  </sheetViews>
  <sheetFormatPr defaultRowHeight="14.4"/>
  <cols>
    <col min="1" max="1" width="2.6640625" customWidth="1"/>
    <col min="7" max="7" width="10.5546875" bestFit="1" customWidth="1"/>
    <col min="8" max="10" width="11.88671875" bestFit="1" customWidth="1"/>
    <col min="11" max="11" width="11.33203125" bestFit="1" customWidth="1"/>
    <col min="13" max="13" width="9.44140625" bestFit="1" customWidth="1"/>
  </cols>
  <sheetData>
    <row r="1" spans="1:17">
      <c r="A1" s="4"/>
      <c r="B1" s="197"/>
      <c r="C1" s="198"/>
      <c r="D1" s="198"/>
      <c r="E1" s="198"/>
      <c r="F1" s="198"/>
      <c r="G1" s="199"/>
      <c r="H1" s="199"/>
      <c r="I1" s="199"/>
      <c r="J1" s="199"/>
      <c r="K1" s="199"/>
    </row>
    <row r="2" spans="1:17">
      <c r="A2" s="4"/>
      <c r="B2" s="336" t="s">
        <v>198</v>
      </c>
      <c r="C2" s="337"/>
      <c r="D2" s="337"/>
      <c r="E2" s="337"/>
      <c r="F2" s="337"/>
      <c r="G2" s="337">
        <v>2015</v>
      </c>
      <c r="H2" s="337">
        <f>+G2+1</f>
        <v>2016</v>
      </c>
      <c r="I2" s="337">
        <f t="shared" ref="I2:J2" si="0">+H2+1</f>
        <v>2017</v>
      </c>
      <c r="J2" s="337">
        <f t="shared" si="0"/>
        <v>2018</v>
      </c>
      <c r="K2" s="337">
        <v>2019</v>
      </c>
    </row>
    <row r="3" spans="1:17">
      <c r="A3" s="2"/>
      <c r="B3" s="323" t="s">
        <v>199</v>
      </c>
      <c r="C3" s="323"/>
      <c r="D3" s="323"/>
      <c r="E3" s="323"/>
      <c r="F3" s="323"/>
      <c r="G3" s="325">
        <f>SUM(G4:G6)</f>
        <v>382760.01300000004</v>
      </c>
      <c r="H3" s="325">
        <f t="shared" ref="H3" si="1">SUM(H4:H6)</f>
        <v>1898018.9809999999</v>
      </c>
      <c r="I3" s="325">
        <f>SUM(I4:I6)</f>
        <v>2406203.1540000001</v>
      </c>
      <c r="J3" s="325">
        <f t="shared" ref="J3:K3" si="2">SUM(J4:J6)</f>
        <v>2422035.0819999999</v>
      </c>
      <c r="K3" s="325">
        <f t="shared" si="2"/>
        <v>2492865.7590000001</v>
      </c>
    </row>
    <row r="4" spans="1:17">
      <c r="A4" s="3"/>
      <c r="B4" s="323"/>
      <c r="C4" s="350" t="s">
        <v>200</v>
      </c>
      <c r="D4" s="351"/>
      <c r="E4" s="351"/>
      <c r="F4" s="351"/>
      <c r="G4" s="352">
        <v>484222.35600000003</v>
      </c>
      <c r="H4" s="353">
        <v>2178944.7919999999</v>
      </c>
      <c r="I4" s="352">
        <v>2746504.318</v>
      </c>
      <c r="J4" s="352">
        <v>2819563.2919999999</v>
      </c>
      <c r="K4" s="354">
        <v>2934579.7510000002</v>
      </c>
      <c r="M4" s="235"/>
      <c r="N4" s="235"/>
      <c r="O4" s="235"/>
      <c r="P4" s="235"/>
      <c r="Q4" s="235"/>
    </row>
    <row r="5" spans="1:17">
      <c r="A5" s="3"/>
      <c r="B5" s="323"/>
      <c r="C5" s="355" t="s">
        <v>201</v>
      </c>
      <c r="D5" s="323"/>
      <c r="E5" s="323"/>
      <c r="F5" s="323"/>
      <c r="G5" s="326">
        <v>0</v>
      </c>
      <c r="H5" s="325">
        <v>0</v>
      </c>
      <c r="I5" s="325">
        <v>0</v>
      </c>
      <c r="J5" s="325">
        <v>0</v>
      </c>
      <c r="K5" s="342">
        <v>0</v>
      </c>
      <c r="M5" s="235"/>
      <c r="N5" s="235"/>
      <c r="O5" s="235"/>
      <c r="P5" s="235"/>
      <c r="Q5" s="235"/>
    </row>
    <row r="6" spans="1:17">
      <c r="A6" s="2"/>
      <c r="B6" s="323"/>
      <c r="C6" s="355" t="s">
        <v>202</v>
      </c>
      <c r="D6" s="323"/>
      <c r="E6" s="323"/>
      <c r="F6" s="323"/>
      <c r="G6" s="324">
        <v>-101462.34300000001</v>
      </c>
      <c r="H6" s="325">
        <v>-280925.81099999999</v>
      </c>
      <c r="I6" s="324">
        <v>-340301.16399999999</v>
      </c>
      <c r="J6" s="324">
        <v>-397528.21</v>
      </c>
      <c r="K6" s="356">
        <v>-441713.99200000003</v>
      </c>
      <c r="M6" s="235"/>
      <c r="N6" s="235"/>
      <c r="O6" s="235"/>
      <c r="P6" s="235"/>
      <c r="Q6" s="235"/>
    </row>
    <row r="7" spans="1:17">
      <c r="A7" s="3"/>
      <c r="B7" s="327"/>
      <c r="C7" s="344" t="s">
        <v>203</v>
      </c>
      <c r="D7" s="328"/>
      <c r="E7" s="328"/>
      <c r="F7" s="328"/>
      <c r="G7" s="324">
        <v>-276917.86</v>
      </c>
      <c r="H7" s="325">
        <v>-1541871.6</v>
      </c>
      <c r="I7" s="324">
        <v>-1992515.9990000001</v>
      </c>
      <c r="J7" s="324">
        <v>-1859089.3020000001</v>
      </c>
      <c r="K7" s="357">
        <v>-1879435.8730000001</v>
      </c>
      <c r="M7" s="235"/>
      <c r="N7" s="235"/>
      <c r="O7" s="235"/>
      <c r="P7" s="235"/>
      <c r="Q7" s="235"/>
    </row>
    <row r="8" spans="1:17">
      <c r="A8" s="2"/>
      <c r="B8" s="328" t="s">
        <v>106</v>
      </c>
      <c r="C8" s="345"/>
      <c r="D8" s="327"/>
      <c r="E8" s="327"/>
      <c r="F8" s="327"/>
      <c r="G8" s="333">
        <f t="shared" ref="G8:K8" si="3" xml:space="preserve"> G3 + G7</f>
        <v>105842.15300000005</v>
      </c>
      <c r="H8" s="333">
        <f xml:space="preserve"> H3 + H7</f>
        <v>356147.38099999982</v>
      </c>
      <c r="I8" s="333">
        <f t="shared" si="3"/>
        <v>413687.15500000003</v>
      </c>
      <c r="J8" s="333">
        <f t="shared" si="3"/>
        <v>562945.7799999998</v>
      </c>
      <c r="K8" s="341">
        <f t="shared" si="3"/>
        <v>613429.88599999994</v>
      </c>
    </row>
    <row r="9" spans="1:17">
      <c r="A9" s="2"/>
      <c r="B9" s="349"/>
      <c r="C9" s="358" t="s">
        <v>204</v>
      </c>
      <c r="D9" s="338"/>
      <c r="E9" s="338"/>
      <c r="F9" s="338"/>
      <c r="G9" s="339">
        <v>-68148.591</v>
      </c>
      <c r="H9" s="329">
        <v>-178247.641</v>
      </c>
      <c r="I9" s="324">
        <v>-207839.666</v>
      </c>
      <c r="J9" s="324">
        <v>-208124.49100000001</v>
      </c>
      <c r="K9" s="340">
        <v>-220546.43400000001</v>
      </c>
      <c r="M9" s="235"/>
      <c r="N9" s="235"/>
      <c r="O9" s="235"/>
      <c r="P9" s="235"/>
      <c r="Q9" s="235"/>
    </row>
    <row r="10" spans="1:17">
      <c r="A10" s="2"/>
      <c r="B10" s="345"/>
      <c r="C10" s="344" t="s">
        <v>205</v>
      </c>
      <c r="D10" s="328"/>
      <c r="E10" s="328"/>
      <c r="F10" s="328"/>
      <c r="G10" s="340">
        <v>-1520.087</v>
      </c>
      <c r="H10" s="329">
        <v>-3721.6320000000001</v>
      </c>
      <c r="I10" s="324">
        <v>-2117.3440000000001</v>
      </c>
      <c r="J10" s="324">
        <v>-3137.5419999999999</v>
      </c>
      <c r="K10" s="340">
        <v>-3930.2400000000002</v>
      </c>
      <c r="M10" s="235"/>
      <c r="N10" s="235"/>
      <c r="O10" s="235"/>
      <c r="P10" s="235"/>
      <c r="Q10" s="235"/>
    </row>
    <row r="11" spans="1:17">
      <c r="A11" s="2"/>
      <c r="B11" s="344"/>
      <c r="C11" s="344" t="s">
        <v>206</v>
      </c>
      <c r="D11" s="327"/>
      <c r="E11" s="327"/>
      <c r="F11" s="327"/>
      <c r="G11" s="340">
        <v>-20614.848000000002</v>
      </c>
      <c r="H11" s="329">
        <v>-57439.248</v>
      </c>
      <c r="I11" s="324">
        <v>-56883.531000000003</v>
      </c>
      <c r="J11" s="324">
        <v>-52804.351000000002</v>
      </c>
      <c r="K11" s="340">
        <v>-59295.803</v>
      </c>
      <c r="M11" s="235"/>
      <c r="N11" s="235"/>
      <c r="O11" s="235"/>
      <c r="P11" s="235"/>
      <c r="Q11" s="235"/>
    </row>
    <row r="12" spans="1:17">
      <c r="A12" s="2"/>
      <c r="B12" s="345" t="s">
        <v>207</v>
      </c>
      <c r="C12" s="345"/>
      <c r="D12" s="328"/>
      <c r="E12" s="328"/>
      <c r="F12" s="328"/>
      <c r="G12" s="341">
        <f xml:space="preserve"> G8 + G9 + G11+G10</f>
        <v>15558.627000000048</v>
      </c>
      <c r="H12" s="333">
        <f xml:space="preserve"> H8 + H9 + H11+H10</f>
        <v>116738.85999999983</v>
      </c>
      <c r="I12" s="333">
        <f t="shared" ref="I12:K12" si="4" xml:space="preserve"> I8 + I9 + I11+I10</f>
        <v>146846.61400000003</v>
      </c>
      <c r="J12" s="333">
        <f t="shared" si="4"/>
        <v>298879.39599999972</v>
      </c>
      <c r="K12" s="341">
        <f t="shared" si="4"/>
        <v>329657.40899999993</v>
      </c>
    </row>
    <row r="13" spans="1:17">
      <c r="A13" s="2"/>
      <c r="B13" s="344"/>
      <c r="C13" s="344" t="s">
        <v>208</v>
      </c>
      <c r="D13" s="327"/>
      <c r="E13" s="327"/>
      <c r="F13" s="327"/>
      <c r="G13" s="342">
        <v>20507.907999999999</v>
      </c>
      <c r="H13" s="334">
        <v>32254.172000000002</v>
      </c>
      <c r="I13" s="324">
        <v>38682.247000000003</v>
      </c>
      <c r="J13" s="330">
        <v>44703.93</v>
      </c>
      <c r="K13" s="359">
        <v>49689.074000000001</v>
      </c>
      <c r="M13" s="235"/>
      <c r="N13" s="235"/>
      <c r="O13" s="235"/>
      <c r="P13" s="235"/>
      <c r="Q13" s="235"/>
    </row>
    <row r="14" spans="1:17">
      <c r="A14" s="2"/>
      <c r="B14" s="345" t="s">
        <v>63</v>
      </c>
      <c r="C14" s="345"/>
      <c r="D14" s="328"/>
      <c r="E14" s="328"/>
      <c r="F14" s="328"/>
      <c r="G14" s="341">
        <f t="shared" ref="G14:J14" si="5">+G12+G13</f>
        <v>36066.535000000047</v>
      </c>
      <c r="H14" s="333">
        <f>H12+H13</f>
        <v>148993.03199999983</v>
      </c>
      <c r="I14" s="333">
        <f t="shared" si="5"/>
        <v>185528.86100000003</v>
      </c>
      <c r="J14" s="333">
        <f t="shared" si="5"/>
        <v>343583.32599999971</v>
      </c>
      <c r="K14" s="341">
        <f>+K12+K13</f>
        <v>379346.48299999995</v>
      </c>
    </row>
    <row r="15" spans="1:17">
      <c r="A15" s="3"/>
      <c r="B15" s="344"/>
      <c r="C15" s="344" t="s">
        <v>209</v>
      </c>
      <c r="D15" s="327"/>
      <c r="E15" s="327"/>
      <c r="F15" s="327"/>
      <c r="G15" s="342">
        <f>+SUM(G16:G17)</f>
        <v>2052.5569999999998</v>
      </c>
      <c r="H15" s="325">
        <f>+SUM(H16:H17)</f>
        <v>54401.176999999996</v>
      </c>
      <c r="I15" s="325">
        <f>+SUM(I16:I17)</f>
        <v>66817.651000000013</v>
      </c>
      <c r="J15" s="325">
        <f>+SUM(J16:J17)</f>
        <v>79533.081999999995</v>
      </c>
      <c r="K15" s="342">
        <f>+SUM(K17:K17)</f>
        <v>110104.833</v>
      </c>
    </row>
    <row r="16" spans="1:17">
      <c r="A16" s="2"/>
      <c r="B16" s="345"/>
      <c r="C16" s="344"/>
      <c r="D16" s="331" t="s">
        <v>210</v>
      </c>
      <c r="E16" s="327"/>
      <c r="F16" s="327"/>
      <c r="G16" s="343">
        <v>1423.569</v>
      </c>
      <c r="H16" s="332">
        <v>40791.67</v>
      </c>
      <c r="I16" s="332">
        <v>31889.523000000001</v>
      </c>
      <c r="J16" s="332">
        <v>0</v>
      </c>
      <c r="K16" s="360">
        <v>0</v>
      </c>
      <c r="M16" s="235"/>
      <c r="N16" s="235"/>
      <c r="O16" s="235"/>
      <c r="P16" s="235"/>
      <c r="Q16" s="235"/>
    </row>
    <row r="17" spans="1:17">
      <c r="A17" s="2"/>
      <c r="B17" s="345"/>
      <c r="C17" s="344"/>
      <c r="D17" s="331" t="s">
        <v>211</v>
      </c>
      <c r="E17" s="327"/>
      <c r="F17" s="327"/>
      <c r="G17" s="343">
        <v>628.98800000000006</v>
      </c>
      <c r="H17" s="332">
        <v>13609.507</v>
      </c>
      <c r="I17" s="332">
        <v>34928.128000000004</v>
      </c>
      <c r="J17" s="332">
        <v>79533.081999999995</v>
      </c>
      <c r="K17" s="343">
        <v>110104.833</v>
      </c>
      <c r="M17" s="235"/>
      <c r="N17" s="235"/>
      <c r="O17" s="235"/>
      <c r="P17" s="235"/>
      <c r="Q17" s="235"/>
    </row>
    <row r="18" spans="1:17">
      <c r="A18" s="2"/>
      <c r="B18" s="345"/>
      <c r="C18" s="344" t="s">
        <v>212</v>
      </c>
      <c r="D18" s="327"/>
      <c r="E18" s="327"/>
      <c r="F18" s="327"/>
      <c r="G18" s="342">
        <f>+SUM(G19:G21)</f>
        <v>-109124.341</v>
      </c>
      <c r="H18" s="325">
        <f t="shared" ref="H18" si="6">+SUM(H19:H21)</f>
        <v>-170052.78900000002</v>
      </c>
      <c r="I18" s="325">
        <f t="shared" ref="I18:K18" si="7">+SUM(I19:I21)</f>
        <v>-196457.71299999999</v>
      </c>
      <c r="J18" s="325">
        <f t="shared" si="7"/>
        <v>-314212.26</v>
      </c>
      <c r="K18" s="342">
        <f t="shared" si="7"/>
        <v>-174197.19600000003</v>
      </c>
    </row>
    <row r="19" spans="1:17">
      <c r="A19" s="3"/>
      <c r="B19" s="345"/>
      <c r="C19" s="344"/>
      <c r="D19" s="331" t="s">
        <v>213</v>
      </c>
      <c r="E19" s="327"/>
      <c r="F19" s="327"/>
      <c r="G19" s="342">
        <v>-28374.473000000002</v>
      </c>
      <c r="H19" s="325">
        <v>-62267.094000000005</v>
      </c>
      <c r="I19" s="325">
        <v>-108359.83</v>
      </c>
      <c r="J19" s="325">
        <v>-141876.391</v>
      </c>
      <c r="K19" s="343">
        <v>-142925.34900000002</v>
      </c>
      <c r="M19" s="235"/>
      <c r="N19" s="235"/>
      <c r="O19" s="235"/>
      <c r="P19" s="235"/>
      <c r="Q19" s="235"/>
    </row>
    <row r="20" spans="1:17">
      <c r="A20" s="3"/>
      <c r="B20" s="344"/>
      <c r="C20" s="344"/>
      <c r="D20" s="331" t="s">
        <v>214</v>
      </c>
      <c r="E20" s="327"/>
      <c r="F20" s="327"/>
      <c r="G20" s="342">
        <v>-80749.868000000002</v>
      </c>
      <c r="H20" s="325">
        <v>-107785.69500000001</v>
      </c>
      <c r="I20" s="325">
        <v>-88097.883000000002</v>
      </c>
      <c r="J20" s="325">
        <v>-172335.86900000001</v>
      </c>
      <c r="K20" s="342">
        <v>-31271.847000000002</v>
      </c>
      <c r="M20" s="235"/>
      <c r="N20" s="235"/>
      <c r="O20" s="235"/>
      <c r="P20" s="235"/>
      <c r="Q20" s="235"/>
    </row>
    <row r="21" spans="1:17">
      <c r="A21" s="3"/>
      <c r="B21" s="344"/>
      <c r="C21" s="344"/>
      <c r="D21" s="331" t="s">
        <v>215</v>
      </c>
      <c r="E21" s="327"/>
      <c r="F21" s="327"/>
      <c r="G21" s="343">
        <v>0</v>
      </c>
      <c r="H21" s="332">
        <v>0</v>
      </c>
      <c r="I21" s="332">
        <v>0</v>
      </c>
      <c r="J21" s="332">
        <v>0</v>
      </c>
      <c r="K21" s="343">
        <v>0</v>
      </c>
      <c r="M21" s="235"/>
      <c r="N21" s="235"/>
      <c r="O21" s="235"/>
      <c r="P21" s="235"/>
      <c r="Q21" s="235"/>
    </row>
    <row r="22" spans="1:17">
      <c r="A22" s="3"/>
      <c r="B22" s="344" t="s">
        <v>216</v>
      </c>
      <c r="C22" s="344"/>
      <c r="D22" s="331"/>
      <c r="E22" s="327"/>
      <c r="F22" s="327"/>
      <c r="G22" s="342">
        <v>-9007.4789999999994</v>
      </c>
      <c r="H22" s="325">
        <v>-11323.951000000001</v>
      </c>
      <c r="I22" s="325">
        <v>79062.745999999999</v>
      </c>
      <c r="J22" s="325">
        <v>-106212.17</v>
      </c>
      <c r="K22" s="342">
        <v>-60048.071000000004</v>
      </c>
      <c r="M22" s="235"/>
      <c r="N22" s="235"/>
      <c r="O22" s="235"/>
      <c r="P22" s="235"/>
      <c r="Q22" s="235"/>
    </row>
    <row r="23" spans="1:17">
      <c r="A23" s="3"/>
      <c r="B23" s="345" t="s">
        <v>174</v>
      </c>
      <c r="C23" s="345"/>
      <c r="D23" s="328"/>
      <c r="E23" s="328"/>
      <c r="F23" s="328"/>
      <c r="G23" s="341">
        <f>+G12+G15+G18 +G22</f>
        <v>-100520.63599999994</v>
      </c>
      <c r="H23" s="333">
        <f t="shared" ref="H23:K23" si="8">+H12+H15+H18 +H22</f>
        <v>-10236.703000000183</v>
      </c>
      <c r="I23" s="333">
        <f t="shared" si="8"/>
        <v>96269.298000000053</v>
      </c>
      <c r="J23" s="333">
        <f t="shared" si="8"/>
        <v>-42011.952000000296</v>
      </c>
      <c r="K23" s="341">
        <f t="shared" si="8"/>
        <v>205516.97499999986</v>
      </c>
    </row>
    <row r="24" spans="1:17">
      <c r="A24" s="2"/>
      <c r="B24" s="344"/>
      <c r="C24" s="344" t="s">
        <v>217</v>
      </c>
      <c r="D24" s="327"/>
      <c r="E24" s="327"/>
      <c r="F24" s="327"/>
      <c r="G24" s="342">
        <v>-184.06900000000002</v>
      </c>
      <c r="H24" s="325">
        <v>-12298.491</v>
      </c>
      <c r="I24" s="325">
        <v>-13511.327000000001</v>
      </c>
      <c r="J24" s="325">
        <v>-14384.165000000001</v>
      </c>
      <c r="K24" s="342">
        <v>-57388.020000000004</v>
      </c>
      <c r="M24" s="235"/>
      <c r="N24" s="235"/>
      <c r="O24" s="235"/>
      <c r="P24" s="235"/>
      <c r="Q24" s="235"/>
    </row>
    <row r="25" spans="1:17">
      <c r="A25" s="2"/>
      <c r="B25" s="344"/>
      <c r="C25" s="344" t="s">
        <v>218</v>
      </c>
      <c r="D25" s="328"/>
      <c r="E25" s="328"/>
      <c r="F25" s="328"/>
      <c r="G25" s="342">
        <v>15547.210000000001</v>
      </c>
      <c r="H25" s="325">
        <v>5634.8559999999998</v>
      </c>
      <c r="I25" s="325">
        <v>-16079.046</v>
      </c>
      <c r="J25" s="325">
        <v>22904.959999999999</v>
      </c>
      <c r="K25" s="342">
        <v>10794.063</v>
      </c>
      <c r="M25" s="235"/>
      <c r="N25" s="235"/>
      <c r="O25" s="235"/>
      <c r="P25" s="235"/>
      <c r="Q25" s="235"/>
    </row>
    <row r="26" spans="1:17">
      <c r="A26" s="3"/>
      <c r="B26" s="345" t="s">
        <v>219</v>
      </c>
      <c r="C26" s="345"/>
      <c r="D26" s="328"/>
      <c r="E26" s="328"/>
      <c r="F26" s="328"/>
      <c r="G26" s="341">
        <f t="shared" ref="G26:J26" si="9">SUM(G23:G25)</f>
        <v>-85157.494999999937</v>
      </c>
      <c r="H26" s="333">
        <f t="shared" si="9"/>
        <v>-16900.338000000185</v>
      </c>
      <c r="I26" s="333">
        <f t="shared" si="9"/>
        <v>66678.925000000047</v>
      </c>
      <c r="J26" s="333">
        <f t="shared" si="9"/>
        <v>-33491.157000000298</v>
      </c>
      <c r="K26" s="341">
        <f t="shared" ref="K26" si="10">SUM(K23:K25)</f>
        <v>158923.01799999984</v>
      </c>
    </row>
    <row r="27" spans="1:17">
      <c r="A27" s="2"/>
      <c r="B27" s="345"/>
      <c r="C27" s="345"/>
      <c r="D27" s="328"/>
      <c r="E27" s="328"/>
      <c r="F27" s="328"/>
      <c r="G27" s="342"/>
      <c r="H27" s="325"/>
      <c r="I27" s="325"/>
      <c r="J27" s="325"/>
      <c r="K27" s="342"/>
    </row>
    <row r="28" spans="1:17">
      <c r="A28" s="3"/>
      <c r="B28" s="344" t="s">
        <v>220</v>
      </c>
      <c r="C28" s="344"/>
      <c r="D28" s="327"/>
      <c r="E28" s="327"/>
      <c r="F28" s="327"/>
      <c r="G28" s="342">
        <v>-20507.907999999999</v>
      </c>
      <c r="H28" s="334">
        <v>-32254.172000000002</v>
      </c>
      <c r="I28" s="325">
        <v>-38682.247000000003</v>
      </c>
      <c r="J28" s="364">
        <v>-44703.93</v>
      </c>
      <c r="K28" s="364">
        <v>-49689.074000000001</v>
      </c>
      <c r="M28" s="235"/>
      <c r="N28" s="235"/>
      <c r="O28" s="235"/>
      <c r="P28" s="235"/>
      <c r="Q28" s="235"/>
    </row>
    <row r="29" spans="1:17">
      <c r="A29" s="3"/>
      <c r="B29" s="345" t="s">
        <v>63</v>
      </c>
      <c r="C29" s="345"/>
      <c r="D29" s="328"/>
      <c r="E29" s="328"/>
      <c r="F29" s="328"/>
      <c r="G29" s="341">
        <f xml:space="preserve"> G14</f>
        <v>36066.535000000047</v>
      </c>
      <c r="H29" s="333">
        <f t="shared" ref="H29:K29" si="11" xml:space="preserve"> H14</f>
        <v>148993.03199999983</v>
      </c>
      <c r="I29" s="333">
        <f t="shared" si="11"/>
        <v>185528.86100000003</v>
      </c>
      <c r="J29" s="365">
        <f t="shared" si="11"/>
        <v>343583.32599999971</v>
      </c>
      <c r="K29" s="365">
        <f t="shared" si="11"/>
        <v>379346.48299999995</v>
      </c>
    </row>
    <row r="30" spans="1:17">
      <c r="A30" s="3"/>
      <c r="B30" s="345"/>
      <c r="C30" s="344" t="s">
        <v>221</v>
      </c>
      <c r="D30" s="327"/>
      <c r="E30" s="327"/>
      <c r="F30" s="327"/>
      <c r="G30" s="340">
        <v>-13888.443000000001</v>
      </c>
      <c r="H30" s="335">
        <v>-24835.113000000001</v>
      </c>
      <c r="I30" s="324">
        <v>-28544.074000000001</v>
      </c>
      <c r="J30" s="367">
        <v>-34412.784</v>
      </c>
      <c r="K30" s="366">
        <v>-37063.586000000003</v>
      </c>
      <c r="M30" s="235"/>
      <c r="N30" s="235"/>
      <c r="O30" s="235"/>
      <c r="P30" s="235"/>
      <c r="Q30" s="235"/>
    </row>
    <row r="31" spans="1:17">
      <c r="A31" s="3"/>
      <c r="B31" s="345"/>
      <c r="C31" s="344" t="s">
        <v>222</v>
      </c>
      <c r="D31" s="327"/>
      <c r="E31" s="327"/>
      <c r="F31" s="327"/>
      <c r="G31" s="340">
        <v>-6024.5370000000003</v>
      </c>
      <c r="H31" s="335">
        <v>-5834.4110000000001</v>
      </c>
      <c r="I31" s="324">
        <v>-7794.7750000000005</v>
      </c>
      <c r="J31" s="368">
        <v>-6700.0789999999997</v>
      </c>
      <c r="K31" s="369">
        <v>-8583.1710000000003</v>
      </c>
      <c r="M31" s="235"/>
      <c r="N31" s="235"/>
      <c r="O31" s="235"/>
      <c r="P31" s="235"/>
      <c r="Q31" s="235"/>
    </row>
    <row r="32" spans="1:17">
      <c r="A32" s="3"/>
      <c r="B32" s="346"/>
      <c r="C32" s="346" t="s">
        <v>223</v>
      </c>
      <c r="D32" s="347"/>
      <c r="E32" s="347"/>
      <c r="F32" s="347"/>
      <c r="G32" s="348">
        <v>-594.928</v>
      </c>
      <c r="H32" s="335">
        <v>-1488.5250000000001</v>
      </c>
      <c r="I32" s="324">
        <v>-2054.1530000000002</v>
      </c>
      <c r="J32" s="324">
        <v>-1901.43</v>
      </c>
      <c r="K32" s="366">
        <v>-2029.277</v>
      </c>
      <c r="M32" s="235"/>
      <c r="N32" s="235"/>
      <c r="O32" s="235"/>
      <c r="P32" s="235"/>
      <c r="Q32" s="235"/>
    </row>
    <row r="33" spans="1:17">
      <c r="A33" s="3"/>
      <c r="B33" s="328"/>
      <c r="C33" s="346" t="s">
        <v>224</v>
      </c>
      <c r="D33" s="347"/>
      <c r="E33" s="347"/>
      <c r="F33" s="347"/>
      <c r="G33" s="361">
        <v>0</v>
      </c>
      <c r="H33" s="362">
        <v>-96.123000000000005</v>
      </c>
      <c r="I33" s="362">
        <v>-289.245</v>
      </c>
      <c r="J33" s="362">
        <v>-1689.6369999999999</v>
      </c>
      <c r="K33" s="363">
        <v>-2013.04</v>
      </c>
      <c r="M33" s="235"/>
      <c r="N33" s="235"/>
      <c r="O33" s="235"/>
      <c r="P33" s="235"/>
      <c r="Q33" s="23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4297D-F949-4516-9915-9C8D05271044}">
  <sheetPr>
    <tabColor rgb="FFFF0000"/>
  </sheetPr>
  <dimension ref="B1:K32"/>
  <sheetViews>
    <sheetView zoomScale="85" zoomScaleNormal="85" workbookViewId="0">
      <selection activeCell="G24" sqref="G24"/>
    </sheetView>
  </sheetViews>
  <sheetFormatPr defaultRowHeight="14.4"/>
  <cols>
    <col min="1" max="1" width="2.33203125" style="379" customWidth="1"/>
    <col min="2" max="2" width="31.88671875" style="379" customWidth="1"/>
    <col min="3" max="3" width="4.109375" style="379" customWidth="1"/>
    <col min="4" max="4" width="12.21875" style="379" hidden="1" customWidth="1"/>
    <col min="5" max="5" width="15.109375" style="379" customWidth="1"/>
    <col min="6" max="6" width="4.6640625" style="379" customWidth="1"/>
    <col min="7" max="7" width="25.6640625" style="379" bestFit="1" customWidth="1"/>
    <col min="8" max="11" width="10.109375" style="379" bestFit="1" customWidth="1"/>
    <col min="12" max="13" width="8.88671875" style="379"/>
    <col min="14" max="14" width="24.21875" style="379" bestFit="1" customWidth="1"/>
    <col min="15" max="15" width="8.88671875" style="379"/>
    <col min="16" max="16" width="11.44140625" style="379" customWidth="1"/>
    <col min="17" max="17" width="8.88671875" style="379"/>
    <col min="18" max="18" width="9" style="379" customWidth="1"/>
    <col min="19" max="16384" width="8.88671875" style="379"/>
  </cols>
  <sheetData>
    <row r="1" spans="2:11" ht="15" thickBot="1"/>
    <row r="2" spans="2:11">
      <c r="B2" s="391"/>
      <c r="C2" s="385"/>
      <c r="D2" s="385"/>
      <c r="E2" s="386"/>
      <c r="G2" s="400"/>
      <c r="H2" s="380"/>
      <c r="I2" s="380"/>
      <c r="J2" s="380"/>
      <c r="K2" s="381"/>
    </row>
    <row r="3" spans="2:11">
      <c r="B3" s="388" t="s">
        <v>292</v>
      </c>
      <c r="C3" s="382"/>
      <c r="D3" s="382"/>
      <c r="E3" s="395">
        <f>IS!N14</f>
        <v>379346.48299999995</v>
      </c>
      <c r="G3" s="406" t="s">
        <v>307</v>
      </c>
      <c r="H3" s="411" t="s">
        <v>295</v>
      </c>
      <c r="I3" s="411" t="s">
        <v>296</v>
      </c>
      <c r="J3" s="411" t="s">
        <v>297</v>
      </c>
      <c r="K3" s="408" t="s">
        <v>298</v>
      </c>
    </row>
    <row r="4" spans="2:11">
      <c r="B4" s="392" t="s">
        <v>293</v>
      </c>
      <c r="C4" s="384"/>
      <c r="D4" s="384"/>
      <c r="E4" s="403">
        <f>I16</f>
        <v>11.026249999999999</v>
      </c>
      <c r="G4" s="407" t="s">
        <v>308</v>
      </c>
      <c r="H4" s="412" t="s">
        <v>299</v>
      </c>
      <c r="I4" s="412">
        <v>10.6</v>
      </c>
      <c r="J4" s="412">
        <v>14</v>
      </c>
      <c r="K4" s="409">
        <v>1.7</v>
      </c>
    </row>
    <row r="5" spans="2:11">
      <c r="B5" s="393" t="s">
        <v>294</v>
      </c>
      <c r="C5" s="387"/>
      <c r="D5" s="387"/>
      <c r="E5" s="401">
        <f>E3*E4</f>
        <v>4182769.158178749</v>
      </c>
      <c r="G5" s="407" t="s">
        <v>309</v>
      </c>
      <c r="H5" s="412" t="s">
        <v>300</v>
      </c>
      <c r="I5" s="412">
        <v>8.19</v>
      </c>
      <c r="J5" s="412">
        <v>13.2</v>
      </c>
      <c r="K5" s="409">
        <v>1.0900000000000001</v>
      </c>
    </row>
    <row r="6" spans="2:11">
      <c r="B6" s="389" t="s">
        <v>261</v>
      </c>
      <c r="C6" s="382"/>
      <c r="D6" s="382"/>
      <c r="E6" s="395">
        <f>BS!K15+BS!K16+BS!K20</f>
        <v>74231.593999999997</v>
      </c>
      <c r="G6" s="407" t="s">
        <v>310</v>
      </c>
      <c r="H6" s="412" t="s">
        <v>301</v>
      </c>
      <c r="I6" s="412">
        <v>13.3</v>
      </c>
      <c r="J6" s="412">
        <v>31.9</v>
      </c>
      <c r="K6" s="409">
        <v>2.34</v>
      </c>
    </row>
    <row r="7" spans="2:11">
      <c r="B7" s="394" t="s">
        <v>260</v>
      </c>
      <c r="C7" s="384"/>
      <c r="D7" s="384"/>
      <c r="E7" s="396">
        <f>BS!K5</f>
        <v>13208.215</v>
      </c>
      <c r="G7" s="407" t="s">
        <v>311</v>
      </c>
      <c r="H7" s="412" t="s">
        <v>302</v>
      </c>
      <c r="I7" s="412">
        <v>11.9</v>
      </c>
      <c r="J7" s="412">
        <v>17.899999999999999</v>
      </c>
      <c r="K7" s="409">
        <v>2.06</v>
      </c>
    </row>
    <row r="8" spans="2:11" ht="15" thickBot="1">
      <c r="B8" s="390" t="s">
        <v>259</v>
      </c>
      <c r="C8" s="383"/>
      <c r="D8" s="383"/>
      <c r="E8" s="398">
        <f>E5-E6+E7</f>
        <v>4121745.7791787488</v>
      </c>
      <c r="G8" s="407" t="s">
        <v>312</v>
      </c>
      <c r="H8" s="412" t="s">
        <v>303</v>
      </c>
      <c r="I8" s="412">
        <v>12</v>
      </c>
      <c r="J8" s="412">
        <v>12.6</v>
      </c>
      <c r="K8" s="409">
        <v>0.97</v>
      </c>
    </row>
    <row r="9" spans="2:11">
      <c r="B9" s="419" t="s">
        <v>273</v>
      </c>
      <c r="C9" s="382"/>
      <c r="D9" s="382"/>
      <c r="E9" s="395">
        <f>662000000</f>
        <v>662000000</v>
      </c>
      <c r="G9" s="407" t="s">
        <v>313</v>
      </c>
      <c r="H9" s="412" t="s">
        <v>299</v>
      </c>
      <c r="I9" s="412">
        <v>12.9</v>
      </c>
      <c r="J9" s="412">
        <v>17</v>
      </c>
      <c r="K9" s="409">
        <v>3.21</v>
      </c>
    </row>
    <row r="10" spans="2:11">
      <c r="B10" s="420" t="s">
        <v>274</v>
      </c>
      <c r="C10" s="382"/>
      <c r="D10" s="382"/>
      <c r="E10" s="429">
        <f>E8*1000/E9</f>
        <v>6.2262020833515841</v>
      </c>
      <c r="G10" s="416" t="s">
        <v>314</v>
      </c>
      <c r="H10" s="417" t="s">
        <v>305</v>
      </c>
      <c r="I10" s="417">
        <v>21.2</v>
      </c>
      <c r="J10" s="417">
        <v>27.2</v>
      </c>
      <c r="K10" s="418">
        <v>4.49</v>
      </c>
    </row>
    <row r="11" spans="2:11" ht="15" thickBot="1">
      <c r="B11" s="421" t="s">
        <v>275</v>
      </c>
      <c r="C11" s="383"/>
      <c r="D11" s="383"/>
      <c r="E11" s="430">
        <f>4.15</f>
        <v>4.1500000000000004</v>
      </c>
      <c r="G11" s="407" t="s">
        <v>315</v>
      </c>
      <c r="H11" s="412" t="s">
        <v>306</v>
      </c>
      <c r="I11" s="412">
        <v>6.69</v>
      </c>
      <c r="J11" s="412">
        <v>37.9</v>
      </c>
      <c r="K11" s="409">
        <v>-0.73</v>
      </c>
    </row>
    <row r="12" spans="2:11">
      <c r="G12" s="407" t="s">
        <v>316</v>
      </c>
      <c r="H12" s="412" t="s">
        <v>306</v>
      </c>
      <c r="I12" s="412">
        <v>12.63</v>
      </c>
      <c r="J12" s="412">
        <v>17.18</v>
      </c>
      <c r="K12" s="410">
        <v>3.73</v>
      </c>
    </row>
    <row r="13" spans="2:11">
      <c r="G13" s="407"/>
      <c r="H13" s="382"/>
      <c r="I13" s="382"/>
      <c r="J13" s="382"/>
      <c r="K13" s="404"/>
    </row>
    <row r="14" spans="2:11" ht="15" thickBot="1">
      <c r="B14" s="397"/>
      <c r="G14" s="413" t="s">
        <v>317</v>
      </c>
      <c r="H14" s="414" t="s">
        <v>306</v>
      </c>
      <c r="I14" s="414">
        <v>7.4</v>
      </c>
      <c r="J14" s="414">
        <v>17.29</v>
      </c>
      <c r="K14" s="415">
        <v>1.92</v>
      </c>
    </row>
    <row r="16" spans="2:11">
      <c r="G16" s="379" t="s">
        <v>304</v>
      </c>
      <c r="I16" s="402">
        <f>AVERAGE(I4:I9,I11:I12)</f>
        <v>11.026249999999999</v>
      </c>
      <c r="J16" s="402">
        <f>AVERAGE(J4:J12)</f>
        <v>20.986666666666665</v>
      </c>
    </row>
    <row r="17" spans="4:10">
      <c r="J17" s="399"/>
    </row>
    <row r="32" spans="4:10">
      <c r="D32" s="405"/>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0000"/>
  </sheetPr>
  <dimension ref="A1:DH48"/>
  <sheetViews>
    <sheetView showGridLines="0" tabSelected="1" topLeftCell="A19" zoomScale="70" zoomScaleNormal="70" workbookViewId="0">
      <selection activeCell="L44" sqref="L44"/>
    </sheetView>
  </sheetViews>
  <sheetFormatPr defaultColWidth="10" defaultRowHeight="15.6"/>
  <cols>
    <col min="1" max="4" width="0.77734375" style="38" customWidth="1"/>
    <col min="5" max="5" width="3.44140625" style="38" customWidth="1"/>
    <col min="6" max="6" width="37.44140625" style="38" bestFit="1" customWidth="1"/>
    <col min="7" max="7" width="2.33203125" style="38" customWidth="1"/>
    <col min="8" max="8" width="15.88671875" style="38" customWidth="1"/>
    <col min="9" max="9" width="9.5546875" style="38" customWidth="1"/>
    <col min="10" max="10" width="2.44140625" style="38" customWidth="1"/>
    <col min="11" max="16" width="11.6640625" style="38" bestFit="1" customWidth="1"/>
    <col min="17" max="16384" width="10" style="38"/>
  </cols>
  <sheetData>
    <row r="1" spans="1:112" ht="18" customHeight="1">
      <c r="E1" s="40"/>
      <c r="K1" s="38">
        <v>0</v>
      </c>
      <c r="L1" s="38">
        <v>1</v>
      </c>
      <c r="M1" s="38">
        <v>2</v>
      </c>
      <c r="N1" s="38">
        <v>3</v>
      </c>
      <c r="O1" s="38">
        <v>4</v>
      </c>
      <c r="P1" s="38">
        <v>5</v>
      </c>
    </row>
    <row r="2" spans="1:112" s="115" customFormat="1">
      <c r="A2" s="93"/>
      <c r="B2" s="93"/>
      <c r="C2" s="93"/>
      <c r="D2" s="93"/>
      <c r="E2" s="117"/>
      <c r="F2" s="64" t="s">
        <v>272</v>
      </c>
      <c r="G2" s="64"/>
      <c r="H2" s="64"/>
      <c r="I2" s="63" t="s">
        <v>53</v>
      </c>
      <c r="J2" s="116"/>
      <c r="K2" s="81">
        <v>2020</v>
      </c>
      <c r="L2" s="81">
        <f>+K2+1</f>
        <v>2021</v>
      </c>
      <c r="M2" s="81">
        <f>+L2+1</f>
        <v>2022</v>
      </c>
      <c r="N2" s="81">
        <f>+M2+1</f>
        <v>2023</v>
      </c>
      <c r="O2" s="81">
        <f>+N2+1</f>
        <v>2024</v>
      </c>
      <c r="P2" s="81">
        <f>+O2+1</f>
        <v>2025</v>
      </c>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row>
    <row r="3" spans="1:112">
      <c r="A3" s="53"/>
      <c r="B3" s="53"/>
      <c r="C3" s="53"/>
      <c r="D3" s="53"/>
      <c r="E3" s="53"/>
      <c r="F3" s="53"/>
      <c r="G3" s="53"/>
      <c r="H3" s="53"/>
      <c r="I3" s="61"/>
      <c r="J3" s="80"/>
      <c r="K3" s="60" t="str">
        <f>[4]BS!L3</f>
        <v xml:space="preserve">Projected </v>
      </c>
      <c r="L3" s="60" t="str">
        <f>[4]BS!M3</f>
        <v xml:space="preserve">Projected </v>
      </c>
      <c r="M3" s="60" t="str">
        <f>[4]BS!N3</f>
        <v xml:space="preserve">Projected </v>
      </c>
      <c r="N3" s="60" t="str">
        <f>[4]BS!O3</f>
        <v xml:space="preserve">Projected </v>
      </c>
      <c r="O3" s="60" t="str">
        <f>[4]BS!P3</f>
        <v xml:space="preserve">Projected </v>
      </c>
      <c r="P3" s="60" t="str">
        <f>O3</f>
        <v xml:space="preserve">Projected </v>
      </c>
    </row>
    <row r="4" spans="1:112">
      <c r="I4" s="51"/>
      <c r="J4" s="114"/>
      <c r="K4" s="114"/>
      <c r="L4" s="114"/>
      <c r="M4" s="114"/>
      <c r="N4" s="114"/>
      <c r="O4" s="114"/>
      <c r="P4" s="114"/>
    </row>
    <row r="5" spans="1:112" s="113" customFormat="1">
      <c r="A5" s="30"/>
      <c r="B5" s="30"/>
      <c r="C5" s="30"/>
      <c r="D5" s="30"/>
      <c r="E5" s="31"/>
      <c r="F5" s="31"/>
      <c r="G5" s="31"/>
      <c r="H5" s="32"/>
      <c r="I5" s="21"/>
      <c r="J5" s="22"/>
      <c r="K5" s="33"/>
      <c r="L5" s="33"/>
      <c r="M5" s="33"/>
      <c r="N5" s="33"/>
      <c r="O5" s="33"/>
      <c r="P5" s="33"/>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row>
    <row r="6" spans="1:112" s="113" customFormat="1">
      <c r="A6" s="30"/>
      <c r="B6" s="30"/>
      <c r="C6" s="30"/>
      <c r="D6" s="30"/>
      <c r="E6" s="18"/>
      <c r="F6" s="18"/>
      <c r="G6" s="18"/>
      <c r="H6" s="34"/>
      <c r="I6" s="35"/>
      <c r="J6" s="36"/>
      <c r="K6" s="17"/>
      <c r="L6" s="17"/>
      <c r="M6" s="17"/>
      <c r="N6" s="17"/>
      <c r="O6" s="17"/>
      <c r="P6" s="17"/>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row>
    <row r="7" spans="1:112">
      <c r="F7" s="112" t="s">
        <v>56</v>
      </c>
      <c r="G7" s="93"/>
      <c r="H7" s="93"/>
      <c r="I7" s="422" t="s">
        <v>77</v>
      </c>
      <c r="J7" s="93"/>
      <c r="K7" s="111">
        <f>IS!O7</f>
        <v>2742152.3349000001</v>
      </c>
      <c r="L7" s="111">
        <f>IS!P7</f>
        <v>3016367.5683900006</v>
      </c>
      <c r="M7" s="111">
        <f>IS!Q7</f>
        <v>3318004.3252290008</v>
      </c>
      <c r="N7" s="111">
        <f>IS!R7</f>
        <v>3649804.7577519012</v>
      </c>
      <c r="O7" s="111">
        <f>IS!S7</f>
        <v>4014785.2335270918</v>
      </c>
      <c r="P7" s="111">
        <f>IS!T7</f>
        <v>4416263.7568798009</v>
      </c>
    </row>
    <row r="8" spans="1:112">
      <c r="F8" s="39" t="s">
        <v>78</v>
      </c>
      <c r="I8" s="423"/>
      <c r="K8" s="55">
        <f>IS!O8+IS!O13</f>
        <v>-2512457.0684002554</v>
      </c>
      <c r="L8" s="55">
        <f>IS!P8+IS!P13</f>
        <v>-2737691.990451667</v>
      </c>
      <c r="M8" s="55">
        <f>IS!Q8+IS!Q13</f>
        <v>-2990967.7540086238</v>
      </c>
      <c r="N8" s="55">
        <f>IS!R8+IS!R13</f>
        <v>-3262664.7979218732</v>
      </c>
      <c r="O8" s="55">
        <f>IS!S8+IS!S13</f>
        <v>-3602845.4745917968</v>
      </c>
      <c r="P8" s="55">
        <f>IS!T8+IS!T13</f>
        <v>-3989304.916914301</v>
      </c>
    </row>
    <row r="9" spans="1:112">
      <c r="F9" s="40" t="s">
        <v>63</v>
      </c>
      <c r="I9" s="423"/>
      <c r="K9" s="110">
        <f>IS!O14</f>
        <v>279849.92051388841</v>
      </c>
      <c r="L9" s="110">
        <f>IS!P14</f>
        <v>335011.94532088516</v>
      </c>
      <c r="M9" s="110">
        <f>IS!Q14</f>
        <v>390172.25887658715</v>
      </c>
      <c r="N9" s="110">
        <f>IS!R14</f>
        <v>457754.33422680921</v>
      </c>
      <c r="O9" s="110">
        <f>IS!S14</f>
        <v>490780.12205513025</v>
      </c>
      <c r="P9" s="110">
        <f>IS!T14</f>
        <v>514847.22285573737</v>
      </c>
    </row>
    <row r="10" spans="1:112">
      <c r="F10" s="39" t="s">
        <v>79</v>
      </c>
      <c r="I10" s="423"/>
      <c r="K10" s="109">
        <f t="shared" ref="K10:P10" si="0">K9/K7</f>
        <v>0.10205484099193704</v>
      </c>
      <c r="L10" s="109">
        <f t="shared" si="0"/>
        <v>0.1110646954408475</v>
      </c>
      <c r="M10" s="109">
        <f t="shared" si="0"/>
        <v>0.11759245035030459</v>
      </c>
      <c r="N10" s="109">
        <f t="shared" si="0"/>
        <v>0.12541885514686085</v>
      </c>
      <c r="O10" s="109">
        <f t="shared" si="0"/>
        <v>0.12224318201548413</v>
      </c>
      <c r="P10" s="109">
        <f t="shared" si="0"/>
        <v>0.11657981751060303</v>
      </c>
    </row>
    <row r="11" spans="1:112">
      <c r="F11" s="108" t="s">
        <v>80</v>
      </c>
      <c r="G11" s="53"/>
      <c r="H11" s="53"/>
      <c r="I11" s="423"/>
      <c r="J11" s="53"/>
      <c r="K11" s="52">
        <f>IS!O26</f>
        <v>-48935.663965043779</v>
      </c>
      <c r="L11" s="52">
        <f>IS!P26</f>
        <v>-59246.930554973398</v>
      </c>
      <c r="M11" s="52">
        <f>IS!Q26</f>
        <v>-69461.147535774973</v>
      </c>
      <c r="N11" s="52">
        <f>IS!R26</f>
        <v>-82290.051796899788</v>
      </c>
      <c r="O11" s="52">
        <f>IS!S26</f>
        <v>-87377.254613659781</v>
      </c>
      <c r="P11" s="52">
        <f>IS!T26</f>
        <v>-90332.770051185842</v>
      </c>
    </row>
    <row r="12" spans="1:112">
      <c r="F12" s="107" t="s">
        <v>81</v>
      </c>
      <c r="I12" s="423"/>
      <c r="K12" s="106">
        <f t="shared" ref="K12:P12" si="1">SUM(K13:K16)</f>
        <v>-92621.436027880292</v>
      </c>
      <c r="L12" s="106">
        <f t="shared" si="1"/>
        <v>-104066.6824049537</v>
      </c>
      <c r="M12" s="106">
        <f t="shared" si="1"/>
        <v>-117880.86171099864</v>
      </c>
      <c r="N12" s="106">
        <f t="shared" si="1"/>
        <v>-130838.10140482878</v>
      </c>
      <c r="O12" s="106">
        <f t="shared" si="1"/>
        <v>-141257.63698937435</v>
      </c>
      <c r="P12" s="106">
        <f t="shared" si="1"/>
        <v>-154425.74179436965</v>
      </c>
    </row>
    <row r="13" spans="1:112">
      <c r="F13" s="39" t="s">
        <v>82</v>
      </c>
      <c r="I13" s="423"/>
      <c r="K13" s="105">
        <f>CFS!K13</f>
        <v>-44703.897800000093</v>
      </c>
      <c r="L13" s="105">
        <f>CFS!L13</f>
        <v>-49174.287580000062</v>
      </c>
      <c r="M13" s="105">
        <f>CFS!M13</f>
        <v>-54091.716337999911</v>
      </c>
      <c r="N13" s="105">
        <f>CFS!N13</f>
        <v>-59500.887971800053</v>
      </c>
      <c r="O13" s="105">
        <f>CFS!O13</f>
        <v>-65450.976768980152</v>
      </c>
      <c r="P13" s="105">
        <f>CFS!P13</f>
        <v>-71996.074445878156</v>
      </c>
    </row>
    <row r="14" spans="1:112">
      <c r="F14" s="39" t="s">
        <v>83</v>
      </c>
      <c r="I14" s="423"/>
      <c r="K14" s="105">
        <f>CFS!K14</f>
        <v>-55858.910401801579</v>
      </c>
      <c r="L14" s="105">
        <f>CFS!L14</f>
        <v>-54522.799491678248</v>
      </c>
      <c r="M14" s="105">
        <f>CFS!M14</f>
        <v>-49170.824817912304</v>
      </c>
      <c r="N14" s="105">
        <f>CFS!N14</f>
        <v>-50380.851883042953</v>
      </c>
      <c r="O14" s="105">
        <f>CFS!O14</f>
        <v>-63866.598761657602</v>
      </c>
      <c r="P14" s="105">
        <f>CFS!P14</f>
        <v>-73289.724355183542</v>
      </c>
    </row>
    <row r="15" spans="1:112" ht="13.5" customHeight="1">
      <c r="F15" s="39" t="s">
        <v>84</v>
      </c>
      <c r="I15" s="423"/>
      <c r="K15" s="105">
        <f>CFS!K15</f>
        <v>51524.98333798541</v>
      </c>
      <c r="L15" s="105">
        <f>CFS!L15</f>
        <v>50292.537307681516</v>
      </c>
      <c r="M15" s="105">
        <f>CFS!M15</f>
        <v>45355.806463711779</v>
      </c>
      <c r="N15" s="105">
        <f>CFS!N15</f>
        <v>46471.951120327925</v>
      </c>
      <c r="O15" s="105">
        <f>CFS!O15</f>
        <v>58911.37892553804</v>
      </c>
      <c r="P15" s="105">
        <f>CFS!P15</f>
        <v>67603.392172944848</v>
      </c>
    </row>
    <row r="16" spans="1:112">
      <c r="F16" s="39" t="s">
        <v>85</v>
      </c>
      <c r="I16" s="423"/>
      <c r="K16" s="105">
        <f>CFS!K16</f>
        <v>-43583.61116406403</v>
      </c>
      <c r="L16" s="105">
        <f>CFS!L16</f>
        <v>-50662.132640956901</v>
      </c>
      <c r="M16" s="105">
        <f>CFS!M16</f>
        <v>-59974.127018798201</v>
      </c>
      <c r="N16" s="105">
        <f>CFS!N16</f>
        <v>-67428.312670313695</v>
      </c>
      <c r="O16" s="105">
        <f>CFS!O16</f>
        <v>-70851.44038427464</v>
      </c>
      <c r="P16" s="105">
        <f>CFS!P16</f>
        <v>-76743.3351662528</v>
      </c>
    </row>
    <row r="17" spans="6:17">
      <c r="F17" s="71" t="s">
        <v>86</v>
      </c>
      <c r="G17" s="42"/>
      <c r="H17" s="42"/>
      <c r="I17" s="423"/>
      <c r="J17" s="42"/>
      <c r="K17" s="104">
        <f t="shared" ref="K17:P17" si="2">K9+K11+K12</f>
        <v>138292.82052096433</v>
      </c>
      <c r="L17" s="104">
        <f t="shared" si="2"/>
        <v>171698.33236095804</v>
      </c>
      <c r="M17" s="104">
        <f t="shared" si="2"/>
        <v>202830.24962981354</v>
      </c>
      <c r="N17" s="104">
        <f t="shared" si="2"/>
        <v>244626.18102508067</v>
      </c>
      <c r="O17" s="104">
        <f t="shared" si="2"/>
        <v>262145.23045209615</v>
      </c>
      <c r="P17" s="104">
        <f t="shared" si="2"/>
        <v>270088.71101018187</v>
      </c>
    </row>
    <row r="18" spans="6:17">
      <c r="F18" s="40"/>
      <c r="I18" s="423"/>
      <c r="K18" s="103"/>
      <c r="L18" s="311"/>
      <c r="M18" s="311"/>
      <c r="N18" s="311"/>
      <c r="O18" s="311"/>
      <c r="P18" s="311"/>
    </row>
    <row r="19" spans="6:17">
      <c r="F19" s="93" t="s">
        <v>87</v>
      </c>
      <c r="G19" s="102"/>
      <c r="H19" s="102"/>
      <c r="I19" s="423"/>
      <c r="J19" s="102"/>
      <c r="K19" s="92">
        <f>CFS!K19</f>
        <v>-54843.046698000006</v>
      </c>
      <c r="L19" s="92">
        <f>CFS!L19</f>
        <v>-60327.351367800016</v>
      </c>
      <c r="M19" s="92">
        <f>CFS!M19</f>
        <v>-66360.086504580016</v>
      </c>
      <c r="N19" s="92">
        <f>CFS!N19</f>
        <v>-72996.095155038027</v>
      </c>
      <c r="O19" s="92">
        <f>CFS!O19</f>
        <v>-80295.704670541832</v>
      </c>
      <c r="P19" s="92">
        <f>CFS!P19</f>
        <v>-88325.275137596022</v>
      </c>
    </row>
    <row r="20" spans="6:17">
      <c r="F20" s="38" t="s">
        <v>88</v>
      </c>
      <c r="G20" s="39"/>
      <c r="H20" s="39"/>
      <c r="I20" s="423"/>
      <c r="J20" s="39"/>
      <c r="K20" s="55">
        <f>CFS!K20</f>
        <v>-4892.3753999999999</v>
      </c>
      <c r="L20" s="55">
        <f>CFS!L20</f>
        <v>-5381.6129400000009</v>
      </c>
      <c r="M20" s="55">
        <f>CFS!M20</f>
        <v>-5919.7742340000004</v>
      </c>
      <c r="N20" s="55">
        <f>CFS!N20</f>
        <v>-6511.751657400001</v>
      </c>
      <c r="O20" s="55">
        <f>CFS!O20</f>
        <v>-7162.9268231400029</v>
      </c>
      <c r="P20" s="55">
        <f>CFS!P20</f>
        <v>-7879.2195054540025</v>
      </c>
    </row>
    <row r="21" spans="6:17">
      <c r="F21" s="38" t="s">
        <v>89</v>
      </c>
      <c r="G21" s="39"/>
      <c r="H21" s="39"/>
      <c r="I21" s="423"/>
      <c r="J21" s="39"/>
      <c r="K21" s="55">
        <f>CFS!K21</f>
        <v>0</v>
      </c>
      <c r="L21" s="55">
        <f>CFS!L21</f>
        <v>0</v>
      </c>
      <c r="M21" s="55">
        <f>CFS!M21</f>
        <v>0</v>
      </c>
      <c r="N21" s="55">
        <f>CFS!N21</f>
        <v>0</v>
      </c>
      <c r="O21" s="55">
        <f>CFS!O21</f>
        <v>0</v>
      </c>
      <c r="P21" s="55">
        <f>CFS!P21</f>
        <v>0</v>
      </c>
    </row>
    <row r="22" spans="6:17">
      <c r="F22" s="38" t="s">
        <v>20</v>
      </c>
      <c r="G22" s="39"/>
      <c r="H22" s="39"/>
      <c r="I22" s="423"/>
      <c r="J22" s="39"/>
      <c r="K22" s="55">
        <f>CFS!K22</f>
        <v>0</v>
      </c>
      <c r="L22" s="55">
        <f>CFS!L22</f>
        <v>0</v>
      </c>
      <c r="M22" s="55">
        <f>CFS!M22</f>
        <v>0</v>
      </c>
      <c r="N22" s="55">
        <f>CFS!N22</f>
        <v>0</v>
      </c>
      <c r="O22" s="55">
        <f>CFS!O22</f>
        <v>0</v>
      </c>
      <c r="P22" s="55">
        <f>CFS!P22</f>
        <v>0</v>
      </c>
    </row>
    <row r="23" spans="6:17">
      <c r="F23" s="101" t="s">
        <v>98</v>
      </c>
      <c r="G23" s="100"/>
      <c r="H23" s="100"/>
      <c r="I23" s="423"/>
      <c r="J23" s="100"/>
      <c r="K23" s="91">
        <f t="shared" ref="K23:P23" si="3">SUM(K19:K22)</f>
        <v>-59735.422098000003</v>
      </c>
      <c r="L23" s="91">
        <f t="shared" si="3"/>
        <v>-65708.964307800023</v>
      </c>
      <c r="M23" s="91">
        <f t="shared" si="3"/>
        <v>-72279.860738580013</v>
      </c>
      <c r="N23" s="91">
        <f t="shared" si="3"/>
        <v>-79507.846812438031</v>
      </c>
      <c r="O23" s="91">
        <f t="shared" si="3"/>
        <v>-87458.631493681838</v>
      </c>
      <c r="P23" s="91">
        <f t="shared" si="3"/>
        <v>-96204.494643050028</v>
      </c>
    </row>
    <row r="24" spans="6:17">
      <c r="F24" s="39"/>
      <c r="G24" s="39"/>
      <c r="H24" s="39"/>
      <c r="I24" s="423"/>
      <c r="J24" s="39"/>
      <c r="K24" s="99"/>
      <c r="L24" s="98"/>
      <c r="M24" s="98"/>
      <c r="N24" s="98"/>
      <c r="O24" s="98"/>
      <c r="P24" s="98"/>
    </row>
    <row r="25" spans="6:17">
      <c r="F25" s="71" t="s">
        <v>91</v>
      </c>
      <c r="G25" s="97"/>
      <c r="H25" s="97"/>
      <c r="I25" s="423"/>
      <c r="J25" s="97"/>
      <c r="K25" s="96">
        <f t="shared" ref="K25:P25" si="4">K17+K23</f>
        <v>78557.398422964325</v>
      </c>
      <c r="L25" s="96">
        <f t="shared" si="4"/>
        <v>105989.36805315802</v>
      </c>
      <c r="M25" s="96">
        <f t="shared" si="4"/>
        <v>130550.38889123352</v>
      </c>
      <c r="N25" s="96">
        <f t="shared" si="4"/>
        <v>165118.33421264263</v>
      </c>
      <c r="O25" s="96">
        <f t="shared" si="4"/>
        <v>174686.59895841431</v>
      </c>
      <c r="P25" s="96">
        <f t="shared" si="4"/>
        <v>173884.21636713186</v>
      </c>
    </row>
    <row r="26" spans="6:17">
      <c r="F26" s="40"/>
      <c r="I26" s="423"/>
      <c r="K26" s="89"/>
      <c r="L26" s="86"/>
      <c r="M26" s="86"/>
      <c r="N26" s="86"/>
      <c r="O26" s="86"/>
      <c r="P26" s="86"/>
    </row>
    <row r="27" spans="6:17">
      <c r="F27" s="71" t="s">
        <v>258</v>
      </c>
      <c r="G27" s="97"/>
      <c r="H27" s="97"/>
      <c r="I27" s="188"/>
      <c r="J27" s="97"/>
      <c r="K27" s="310">
        <f>WACC!F21</f>
        <v>0.14101724697912479</v>
      </c>
      <c r="L27" s="310">
        <f>K27</f>
        <v>0.14101724697912479</v>
      </c>
      <c r="M27" s="310">
        <f>L27</f>
        <v>0.14101724697912479</v>
      </c>
      <c r="N27" s="310">
        <f>M27</f>
        <v>0.14101724697912479</v>
      </c>
      <c r="O27" s="310">
        <f>N27</f>
        <v>0.14101724697912479</v>
      </c>
      <c r="P27" s="310">
        <f>O27</f>
        <v>0.14101724697912479</v>
      </c>
    </row>
    <row r="28" spans="6:17">
      <c r="I28" s="51"/>
    </row>
    <row r="29" spans="6:17">
      <c r="F29" s="38" t="s">
        <v>271</v>
      </c>
      <c r="I29" s="51"/>
      <c r="K29" s="309">
        <f t="shared" ref="K29:P29" si="5">1/((1+K27)^K1)</f>
        <v>1</v>
      </c>
      <c r="L29" s="309">
        <f t="shared" si="5"/>
        <v>0.87641094176930978</v>
      </c>
      <c r="M29" s="309">
        <f t="shared" si="5"/>
        <v>0.76809613885296857</v>
      </c>
      <c r="N29" s="309">
        <f t="shared" si="5"/>
        <v>0.67316786042150067</v>
      </c>
      <c r="O29" s="309">
        <f t="shared" si="5"/>
        <v>0.58997167852083876</v>
      </c>
      <c r="P29" s="309">
        <f t="shared" si="5"/>
        <v>0.51705763438966879</v>
      </c>
      <c r="Q29" s="308"/>
    </row>
    <row r="30" spans="6:17">
      <c r="I30" s="51"/>
    </row>
    <row r="31" spans="6:17">
      <c r="F31" s="71" t="s">
        <v>270</v>
      </c>
      <c r="G31" s="97"/>
      <c r="H31" s="97"/>
      <c r="I31" s="188"/>
      <c r="J31" s="97"/>
      <c r="K31" s="96">
        <f t="shared" ref="K31:P31" si="6">K29*K25</f>
        <v>78557.398422964325</v>
      </c>
      <c r="L31" s="96">
        <f t="shared" si="6"/>
        <v>92890.241873002218</v>
      </c>
      <c r="M31" s="96">
        <f t="shared" si="6"/>
        <v>100275.24963310995</v>
      </c>
      <c r="N31" s="96">
        <f t="shared" si="6"/>
        <v>111152.35575828691</v>
      </c>
      <c r="O31" s="96">
        <f t="shared" si="6"/>
        <v>103060.1460025923</v>
      </c>
      <c r="P31" s="96">
        <f t="shared" si="6"/>
        <v>89908.161572490528</v>
      </c>
    </row>
    <row r="32" spans="6:17" ht="16.2" thickBot="1"/>
    <row r="33" spans="6:8" ht="16.2" thickBot="1">
      <c r="F33" s="307" t="s">
        <v>269</v>
      </c>
    </row>
    <row r="34" spans="6:8" ht="16.2" thickBot="1"/>
    <row r="35" spans="6:8">
      <c r="F35" s="306"/>
      <c r="G35" s="305"/>
      <c r="H35" s="304"/>
    </row>
    <row r="36" spans="6:8">
      <c r="F36" s="303" t="s">
        <v>268</v>
      </c>
      <c r="G36" s="302"/>
      <c r="H36" s="301">
        <f>P25</f>
        <v>173884.21636713186</v>
      </c>
    </row>
    <row r="37" spans="6:8">
      <c r="F37" s="297" t="s">
        <v>267</v>
      </c>
      <c r="G37" s="255"/>
      <c r="H37" s="300">
        <v>0.04</v>
      </c>
    </row>
    <row r="38" spans="6:8">
      <c r="F38" s="297" t="s">
        <v>266</v>
      </c>
      <c r="G38" s="255"/>
      <c r="H38" s="299">
        <f>P27</f>
        <v>0.14101724697912479</v>
      </c>
    </row>
    <row r="39" spans="6:8" ht="16.2">
      <c r="F39" s="295" t="s">
        <v>265</v>
      </c>
      <c r="G39" s="294"/>
      <c r="H39" s="298">
        <f>H36*(1+H37)/(H38-H37)</f>
        <v>1790185.2448937518</v>
      </c>
    </row>
    <row r="40" spans="6:8">
      <c r="F40" s="297" t="s">
        <v>264</v>
      </c>
      <c r="G40" s="255"/>
      <c r="H40" s="296">
        <f>H39*P29</f>
        <v>925628.94784405315</v>
      </c>
    </row>
    <row r="41" spans="6:8">
      <c r="F41" s="297" t="s">
        <v>263</v>
      </c>
      <c r="G41" s="255"/>
      <c r="H41" s="296">
        <f>SUM(K31:P31)</f>
        <v>575843.55326244619</v>
      </c>
    </row>
    <row r="42" spans="6:8" ht="16.2">
      <c r="F42" s="295" t="s">
        <v>262</v>
      </c>
      <c r="G42" s="294"/>
      <c r="H42" s="293">
        <f>SUM(H40:H41)</f>
        <v>1501472.5011064992</v>
      </c>
    </row>
    <row r="43" spans="6:8">
      <c r="F43" s="292" t="s">
        <v>261</v>
      </c>
      <c r="G43" s="291"/>
      <c r="H43" s="290">
        <f>WACC!C28+WACC!C29</f>
        <v>74231.593999999997</v>
      </c>
    </row>
    <row r="44" spans="6:8">
      <c r="F44" s="292" t="s">
        <v>260</v>
      </c>
      <c r="G44" s="291"/>
      <c r="H44" s="290">
        <f>BS!K5</f>
        <v>13208.215</v>
      </c>
    </row>
    <row r="45" spans="6:8" ht="16.8" thickBot="1">
      <c r="F45" s="289" t="s">
        <v>259</v>
      </c>
      <c r="G45" s="288"/>
      <c r="H45" s="287">
        <f>+H42-H43+H44</f>
        <v>1440449.1221064993</v>
      </c>
    </row>
    <row r="46" spans="6:8">
      <c r="F46" s="313" t="s">
        <v>273</v>
      </c>
      <c r="G46" s="314"/>
      <c r="H46" s="319">
        <f>662000000</f>
        <v>662000000</v>
      </c>
    </row>
    <row r="47" spans="6:8">
      <c r="F47" s="315" t="s">
        <v>274</v>
      </c>
      <c r="G47" s="316"/>
      <c r="H47" s="320">
        <f>H45*1000/H46</f>
        <v>2.1759050182877631</v>
      </c>
    </row>
    <row r="48" spans="6:8" ht="16.2" thickBot="1">
      <c r="F48" s="317" t="s">
        <v>275</v>
      </c>
      <c r="G48" s="318"/>
      <c r="H48" s="321">
        <f>3.96</f>
        <v>3.96</v>
      </c>
    </row>
  </sheetData>
  <mergeCells count="1">
    <mergeCell ref="I7:I2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92D050"/>
  </sheetPr>
  <dimension ref="B2:F41"/>
  <sheetViews>
    <sheetView showGridLines="0" topLeftCell="A10" zoomScale="70" zoomScaleNormal="70" workbookViewId="0">
      <selection activeCell="D38" sqref="D38"/>
    </sheetView>
  </sheetViews>
  <sheetFormatPr defaultColWidth="9.6640625" defaultRowHeight="15.6"/>
  <cols>
    <col min="1" max="1" width="9.6640625" style="37"/>
    <col min="2" max="2" width="34" style="37" bestFit="1" customWidth="1"/>
    <col min="3" max="3" width="11.6640625" style="37" bestFit="1" customWidth="1"/>
    <col min="4" max="4" width="19.109375" style="37" bestFit="1" customWidth="1"/>
    <col min="5" max="5" width="27.77734375" style="37" customWidth="1"/>
    <col min="6" max="16384" width="9.6640625" style="37"/>
  </cols>
  <sheetData>
    <row r="2" spans="2:6">
      <c r="C2" s="275"/>
      <c r="D2" s="275"/>
      <c r="E2" s="276"/>
      <c r="F2" s="276"/>
    </row>
    <row r="3" spans="2:6">
      <c r="B3" s="286"/>
      <c r="C3" s="275"/>
      <c r="D3" s="275"/>
      <c r="E3" s="276"/>
      <c r="F3" s="276"/>
    </row>
    <row r="4" spans="2:6">
      <c r="B4" s="286"/>
      <c r="C4" s="275"/>
      <c r="D4" s="275"/>
      <c r="E4" s="276"/>
      <c r="F4" s="276"/>
    </row>
    <row r="5" spans="2:6">
      <c r="B5" s="286"/>
      <c r="C5" s="275"/>
      <c r="D5" s="275"/>
      <c r="E5" s="276"/>
      <c r="F5" s="276"/>
    </row>
    <row r="6" spans="2:6">
      <c r="B6" s="286"/>
      <c r="C6" s="275"/>
      <c r="D6" s="275"/>
      <c r="E6" s="276"/>
      <c r="F6" s="276"/>
    </row>
    <row r="7" spans="2:6">
      <c r="B7" s="286"/>
      <c r="C7" s="275"/>
      <c r="D7" s="275"/>
      <c r="E7" s="276"/>
      <c r="F7" s="276"/>
    </row>
    <row r="8" spans="2:6">
      <c r="B8" s="286"/>
      <c r="C8" s="275"/>
      <c r="D8" s="275"/>
      <c r="E8" s="276"/>
      <c r="F8" s="276"/>
    </row>
    <row r="9" spans="2:6">
      <c r="B9" s="286"/>
      <c r="C9" s="275"/>
      <c r="D9" s="275"/>
      <c r="E9" s="276"/>
      <c r="F9" s="276"/>
    </row>
    <row r="10" spans="2:6">
      <c r="B10" s="286"/>
      <c r="C10" s="275"/>
      <c r="D10" s="275"/>
      <c r="E10" s="276"/>
      <c r="F10" s="276"/>
    </row>
    <row r="11" spans="2:6">
      <c r="B11" s="286"/>
      <c r="C11" s="275"/>
      <c r="D11" s="275"/>
      <c r="E11" s="276"/>
      <c r="F11" s="276"/>
    </row>
    <row r="12" spans="2:6">
      <c r="B12" s="286"/>
      <c r="C12" s="275"/>
      <c r="D12" s="275"/>
      <c r="E12" s="276"/>
      <c r="F12" s="276"/>
    </row>
    <row r="13" spans="2:6">
      <c r="B13" s="286"/>
      <c r="C13" s="275"/>
      <c r="D13" s="275"/>
      <c r="E13" s="276"/>
      <c r="F13" s="276"/>
    </row>
    <row r="14" spans="2:6">
      <c r="B14" s="286"/>
      <c r="C14" s="275"/>
      <c r="D14" s="275"/>
      <c r="E14" s="276"/>
      <c r="F14" s="276"/>
    </row>
    <row r="15" spans="2:6">
      <c r="B15" s="286"/>
      <c r="C15" s="275"/>
      <c r="D15" s="275"/>
      <c r="E15" s="276"/>
      <c r="F15" s="276"/>
    </row>
    <row r="16" spans="2:6">
      <c r="B16" s="286"/>
      <c r="C16" s="275"/>
      <c r="D16" s="275"/>
      <c r="E16" s="276"/>
      <c r="F16" s="276"/>
    </row>
    <row r="17" spans="2:6">
      <c r="B17" s="285" t="s">
        <v>258</v>
      </c>
      <c r="C17" s="275"/>
      <c r="D17" s="275"/>
      <c r="E17" s="276"/>
      <c r="F17" s="276"/>
    </row>
    <row r="18" spans="2:6">
      <c r="B18" s="284"/>
      <c r="C18" s="283"/>
      <c r="D18" s="282" t="s">
        <v>257</v>
      </c>
      <c r="E18" s="281" t="s">
        <v>256</v>
      </c>
      <c r="F18" s="281" t="s">
        <v>255</v>
      </c>
    </row>
    <row r="19" spans="2:6">
      <c r="B19" s="280" t="s">
        <v>254</v>
      </c>
      <c r="C19" s="279"/>
      <c r="D19" s="278">
        <f>BS!K32</f>
        <v>756201.58600000013</v>
      </c>
      <c r="E19" s="277">
        <f>BS!K15+BS!K20</f>
        <v>74231.593999999997</v>
      </c>
      <c r="F19" s="277">
        <f>SUM(D19:E19)</f>
        <v>830433.18000000017</v>
      </c>
    </row>
    <row r="20" spans="2:6">
      <c r="B20" s="276" t="s">
        <v>253</v>
      </c>
      <c r="C20" s="275"/>
      <c r="D20" s="274">
        <f>D19/F19</f>
        <v>0.91061099702206016</v>
      </c>
      <c r="E20" s="273">
        <f>E19/F19</f>
        <v>8.9389002977939752E-2</v>
      </c>
      <c r="F20" s="272">
        <f>SUM(D20:E20)</f>
        <v>0.99999999999999989</v>
      </c>
    </row>
    <row r="21" spans="2:6">
      <c r="B21" s="271" t="s">
        <v>252</v>
      </c>
      <c r="C21" s="270"/>
      <c r="D21" s="269">
        <f>D41</f>
        <v>0.14824785783194588</v>
      </c>
      <c r="E21" s="268">
        <f>C32</f>
        <v>6.7358591681326421E-2</v>
      </c>
      <c r="F21" s="267">
        <f>D20*D21+E20*E21</f>
        <v>0.14101724697912479</v>
      </c>
    </row>
    <row r="23" spans="2:6">
      <c r="B23" s="259" t="s">
        <v>251</v>
      </c>
    </row>
    <row r="24" spans="2:6">
      <c r="B24" s="259"/>
    </row>
    <row r="25" spans="2:6">
      <c r="B25" s="266" t="s">
        <v>250</v>
      </c>
      <c r="C25" s="266"/>
      <c r="D25" s="265">
        <v>0.22</v>
      </c>
    </row>
    <row r="26" spans="2:6">
      <c r="B26" s="259"/>
    </row>
    <row r="27" spans="2:6" ht="28.05" customHeight="1">
      <c r="B27" s="264"/>
      <c r="C27" s="65"/>
      <c r="D27" s="263" t="s">
        <v>249</v>
      </c>
    </row>
    <row r="28" spans="2:6">
      <c r="B28" s="37" t="s">
        <v>248</v>
      </c>
      <c r="C28" s="220">
        <f>BS!K15</f>
        <v>71353.171000000002</v>
      </c>
      <c r="D28" s="262">
        <f>Debt!H12</f>
        <v>8.5000000000000006E-2</v>
      </c>
    </row>
    <row r="29" spans="2:6">
      <c r="B29" s="48" t="s">
        <v>247</v>
      </c>
      <c r="C29" s="312">
        <f>BS!K20</f>
        <v>2878.4230000000002</v>
      </c>
      <c r="D29" s="261">
        <f>Debt!H25</f>
        <v>0.12</v>
      </c>
    </row>
    <row r="31" spans="2:6">
      <c r="B31" s="66" t="s">
        <v>246</v>
      </c>
      <c r="C31" s="260">
        <f>SUMPRODUCT(C28:C29,D28:D29)/SUM(C28:C29)</f>
        <v>8.6357168822213365E-2</v>
      </c>
    </row>
    <row r="32" spans="2:6">
      <c r="B32" s="66" t="s">
        <v>245</v>
      </c>
      <c r="C32" s="260">
        <f>C31 * ( 1-D25)</f>
        <v>6.7358591681326421E-2</v>
      </c>
    </row>
    <row r="34" spans="2:6">
      <c r="B34" s="259" t="s">
        <v>244</v>
      </c>
    </row>
    <row r="36" spans="2:6">
      <c r="B36" s="258"/>
      <c r="C36" s="65"/>
      <c r="D36" s="65"/>
    </row>
    <row r="37" spans="2:6">
      <c r="B37" s="255" t="s">
        <v>243</v>
      </c>
      <c r="C37" s="254"/>
      <c r="D37" s="257">
        <f>0.0068+0.1</f>
        <v>0.10680000000000001</v>
      </c>
      <c r="E37" s="37" t="s">
        <v>289</v>
      </c>
      <c r="F37" s="378" t="s">
        <v>285</v>
      </c>
    </row>
    <row r="38" spans="2:6">
      <c r="B38" s="255" t="s">
        <v>242</v>
      </c>
      <c r="C38" s="254"/>
      <c r="D38" s="257">
        <f>D37+0.055</f>
        <v>0.1618</v>
      </c>
      <c r="E38" s="37" t="s">
        <v>288</v>
      </c>
      <c r="F38" s="37" t="s">
        <v>286</v>
      </c>
    </row>
    <row r="39" spans="2:6">
      <c r="B39" s="255" t="s">
        <v>241</v>
      </c>
      <c r="C39" s="256"/>
      <c r="D39" s="253">
        <v>0.7</v>
      </c>
      <c r="E39" s="37" t="s">
        <v>290</v>
      </c>
      <c r="F39" s="37" t="s">
        <v>287</v>
      </c>
    </row>
    <row r="40" spans="2:6">
      <c r="B40" s="255" t="s">
        <v>240</v>
      </c>
      <c r="C40" s="254"/>
      <c r="D40" s="253">
        <f>D39*(1+((1-D25)*(E19/D19)))</f>
        <v>0.75359741512628875</v>
      </c>
    </row>
    <row r="41" spans="2:6">
      <c r="B41" s="252" t="s">
        <v>239</v>
      </c>
      <c r="C41" s="251"/>
      <c r="D41" s="250">
        <f>D37+D40*(D38-D37)</f>
        <v>0.14824785783194588</v>
      </c>
    </row>
  </sheetData>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V37"/>
  <sheetViews>
    <sheetView zoomScaleNormal="100" workbookViewId="0">
      <pane xSplit="5" topLeftCell="H1" activePane="topRight" state="frozen"/>
      <selection pane="topRight" activeCell="J15" sqref="J15"/>
    </sheetView>
  </sheetViews>
  <sheetFormatPr defaultRowHeight="14.4"/>
  <cols>
    <col min="1" max="1" width="2.5546875" customWidth="1"/>
    <col min="2" max="2" width="8.77734375" customWidth="1"/>
    <col min="11" max="11" width="9.5546875" bestFit="1" customWidth="1"/>
    <col min="12" max="12" width="11.6640625" bestFit="1" customWidth="1"/>
    <col min="18" max="18" width="11.44140625" bestFit="1" customWidth="1"/>
    <col min="20" max="21" width="10.33203125" bestFit="1" customWidth="1"/>
  </cols>
  <sheetData>
    <row r="1" spans="1:22">
      <c r="A1" s="1" t="s">
        <v>0</v>
      </c>
      <c r="B1" s="1"/>
      <c r="C1" s="1" t="s">
        <v>1</v>
      </c>
      <c r="D1" s="2"/>
      <c r="E1" s="2"/>
      <c r="F1" s="2"/>
      <c r="G1" s="2"/>
      <c r="H1" s="2"/>
      <c r="I1" s="2"/>
      <c r="J1" s="2"/>
      <c r="K1" s="2"/>
    </row>
    <row r="2" spans="1:22">
      <c r="A2" s="1" t="s">
        <v>2</v>
      </c>
      <c r="B2" s="1"/>
      <c r="C2" s="1" t="s">
        <v>3</v>
      </c>
      <c r="D2" s="2"/>
      <c r="E2" s="2"/>
      <c r="F2" s="2"/>
      <c r="G2" s="2"/>
      <c r="H2" s="2"/>
      <c r="I2" s="2"/>
      <c r="J2" s="2"/>
      <c r="K2" s="2"/>
    </row>
    <row r="3" spans="1:22">
      <c r="A3" s="3"/>
      <c r="B3" s="236" t="s">
        <v>235</v>
      </c>
      <c r="C3" s="236"/>
      <c r="D3" s="236"/>
      <c r="E3" s="237" t="s">
        <v>92</v>
      </c>
      <c r="F3" s="238" t="s">
        <v>92</v>
      </c>
      <c r="G3" s="239">
        <v>2015</v>
      </c>
      <c r="H3" s="239">
        <v>2016</v>
      </c>
      <c r="I3" s="239">
        <v>2017</v>
      </c>
      <c r="J3" s="239">
        <v>2018</v>
      </c>
      <c r="K3" s="240">
        <v>2019</v>
      </c>
      <c r="L3" s="240">
        <f t="shared" ref="L3:Q3" si="0">+K3+1</f>
        <v>2020</v>
      </c>
      <c r="M3" s="240">
        <f t="shared" si="0"/>
        <v>2021</v>
      </c>
      <c r="N3" s="240">
        <f t="shared" si="0"/>
        <v>2022</v>
      </c>
      <c r="O3" s="240">
        <f t="shared" si="0"/>
        <v>2023</v>
      </c>
      <c r="P3" s="240">
        <f t="shared" si="0"/>
        <v>2024</v>
      </c>
      <c r="Q3" s="240">
        <f t="shared" si="0"/>
        <v>2025</v>
      </c>
    </row>
    <row r="4" spans="1:22" ht="15.6">
      <c r="A4" s="3"/>
      <c r="B4" s="60"/>
      <c r="C4" s="60"/>
      <c r="D4" s="60"/>
      <c r="E4" s="60"/>
      <c r="F4" s="60"/>
      <c r="G4" s="246" t="s">
        <v>54</v>
      </c>
      <c r="H4" s="246" t="s">
        <v>54</v>
      </c>
      <c r="I4" s="246" t="s">
        <v>54</v>
      </c>
      <c r="J4" s="246" t="s">
        <v>54</v>
      </c>
      <c r="K4" s="246" t="s">
        <v>54</v>
      </c>
      <c r="L4" s="247" t="s">
        <v>55</v>
      </c>
      <c r="M4" s="247" t="s">
        <v>55</v>
      </c>
      <c r="N4" s="247" t="s">
        <v>55</v>
      </c>
      <c r="O4" s="247" t="s">
        <v>55</v>
      </c>
      <c r="P4" s="247" t="s">
        <v>55</v>
      </c>
      <c r="Q4" s="247" t="s">
        <v>55</v>
      </c>
    </row>
    <row r="5" spans="1:22">
      <c r="A5" s="2"/>
      <c r="B5" s="2" t="s">
        <v>4</v>
      </c>
      <c r="C5" s="2"/>
      <c r="D5" s="2"/>
      <c r="E5" s="2"/>
      <c r="F5" s="2"/>
      <c r="G5" s="11">
        <v>14451.597</v>
      </c>
      <c r="H5" s="11">
        <v>15761.144</v>
      </c>
      <c r="I5" s="11">
        <v>439356.37800000003</v>
      </c>
      <c r="J5" s="11">
        <v>19448.273000000001</v>
      </c>
      <c r="K5" s="11">
        <v>13208.215</v>
      </c>
      <c r="L5" s="11">
        <f>CFS!K41</f>
        <v>25983.498527964319</v>
      </c>
      <c r="M5" s="11">
        <f>CFS!L41</f>
        <v>62594.970758122334</v>
      </c>
      <c r="N5" s="11">
        <f>CFS!M41</f>
        <v>120646.83908395586</v>
      </c>
      <c r="O5" s="11">
        <f>CFS!N41</f>
        <v>210526.1529372785</v>
      </c>
      <c r="P5" s="11">
        <f>CFS!O41</f>
        <v>307537.33170123678</v>
      </c>
      <c r="Q5" s="11">
        <f>CFS!P41</f>
        <v>401553.0080058038</v>
      </c>
    </row>
    <row r="6" spans="1:22">
      <c r="A6" s="2"/>
      <c r="B6" s="2" t="s">
        <v>5</v>
      </c>
      <c r="C6" s="2"/>
      <c r="D6" s="2"/>
      <c r="E6" s="2"/>
      <c r="F6" s="2"/>
      <c r="G6" s="11">
        <v>434354.80900000001</v>
      </c>
      <c r="H6" s="11">
        <v>512728.89799999999</v>
      </c>
      <c r="I6" s="11">
        <v>573697.31299999997</v>
      </c>
      <c r="J6" s="11">
        <v>509398.9</v>
      </c>
      <c r="K6" s="11">
        <v>447038.978</v>
      </c>
      <c r="L6" s="11">
        <f>WC!K8</f>
        <v>491742.8758000001</v>
      </c>
      <c r="M6" s="11">
        <f>WC!L8</f>
        <v>540917.16338000016</v>
      </c>
      <c r="N6" s="11">
        <f>WC!M8</f>
        <v>595008.87971800007</v>
      </c>
      <c r="O6" s="11">
        <f>WC!N8</f>
        <v>654509.76768980012</v>
      </c>
      <c r="P6" s="11">
        <f>WC!O8</f>
        <v>719960.74445878027</v>
      </c>
      <c r="Q6" s="11">
        <f>WC!P8</f>
        <v>791956.81890465843</v>
      </c>
    </row>
    <row r="7" spans="1:22">
      <c r="A7" s="4"/>
      <c r="B7" s="2" t="s">
        <v>8</v>
      </c>
      <c r="C7" s="2"/>
      <c r="D7" s="2"/>
      <c r="E7" s="2"/>
      <c r="F7" s="2"/>
      <c r="G7" s="11">
        <v>277073.45199999999</v>
      </c>
      <c r="H7" s="11">
        <v>330442.12699999998</v>
      </c>
      <c r="I7" s="11">
        <v>335427.24400000001</v>
      </c>
      <c r="J7" s="11">
        <v>363038.61599999998</v>
      </c>
      <c r="K7" s="11">
        <v>417527.03</v>
      </c>
      <c r="L7" s="11">
        <f>WC!K16</f>
        <v>473385.94040180161</v>
      </c>
      <c r="M7" s="11">
        <f>WC!L16</f>
        <v>527908.73989347985</v>
      </c>
      <c r="N7" s="11">
        <f>WC!M16</f>
        <v>577079.56471139216</v>
      </c>
      <c r="O7" s="11">
        <f>WC!N16</f>
        <v>627460.41659443511</v>
      </c>
      <c r="P7" s="11">
        <f>WC!O16</f>
        <v>691327.01535609271</v>
      </c>
      <c r="Q7" s="11">
        <f>WC!P16</f>
        <v>764616.73971127626</v>
      </c>
    </row>
    <row r="8" spans="1:22">
      <c r="A8" s="2"/>
      <c r="B8" s="2" t="s">
        <v>11</v>
      </c>
      <c r="C8" s="2"/>
      <c r="D8" s="2"/>
      <c r="E8" s="2"/>
      <c r="F8" s="2"/>
      <c r="G8" s="11">
        <f>BS_hist!G7+BS_hist!G8+BS_hist!G10+BS_hist!G11+BS_hist!G12</f>
        <v>540084.549</v>
      </c>
      <c r="H8" s="11">
        <f>BS_hist!H7+BS_hist!H8+BS_hist!H10+BS_hist!H11+BS_hist!H12</f>
        <v>940622.73</v>
      </c>
      <c r="I8" s="11">
        <f>BS_hist!I7+BS_hist!I8+BS_hist!I10+BS_hist!I11+BS_hist!I12</f>
        <v>492042.00600000005</v>
      </c>
      <c r="J8" s="11">
        <f>BS_hist!J7+BS_hist!J8+BS_hist!J10+BS_hist!J11+BS_hist!J12</f>
        <v>966099.43200000003</v>
      </c>
      <c r="K8" s="11">
        <f>BS_hist!K7+BS_hist!K8+BS_hist!K10+BS_hist!K11+BS_hist!K12</f>
        <v>655346.58700000006</v>
      </c>
      <c r="L8" s="11">
        <f>WC!K20</f>
        <v>720881.2457000002</v>
      </c>
      <c r="M8" s="11">
        <f>WC!L20</f>
        <v>792969.37027000031</v>
      </c>
      <c r="N8" s="11">
        <f>WC!M20</f>
        <v>872266.30729700031</v>
      </c>
      <c r="O8" s="11">
        <f>WC!N20</f>
        <v>959492.9380267004</v>
      </c>
      <c r="P8" s="11">
        <f>WC!O20</f>
        <v>1055442.2318293706</v>
      </c>
      <c r="Q8" s="11">
        <f>WC!P20</f>
        <v>1160986.4550123077</v>
      </c>
    </row>
    <row r="9" spans="1:22">
      <c r="A9" s="2"/>
      <c r="B9" s="5" t="s">
        <v>12</v>
      </c>
      <c r="C9" s="5"/>
      <c r="D9" s="5"/>
      <c r="E9" s="5"/>
      <c r="F9" s="5"/>
      <c r="G9" s="6">
        <f xml:space="preserve"> SUM(G5:G8)</f>
        <v>1265964.4070000001</v>
      </c>
      <c r="H9" s="6">
        <f xml:space="preserve"> SUM(H5:H8)</f>
        <v>1799554.899</v>
      </c>
      <c r="I9" s="6">
        <f xml:space="preserve"> SUM(I5:I8)</f>
        <v>1840522.9410000001</v>
      </c>
      <c r="J9" s="6">
        <f xml:space="preserve"> SUM(J5:J8)</f>
        <v>1857985.2210000001</v>
      </c>
      <c r="K9" s="6">
        <f xml:space="preserve"> SUM(K5:K8)</f>
        <v>1533120.81</v>
      </c>
      <c r="L9" s="244">
        <f t="shared" ref="L9:Q9" si="1" xml:space="preserve"> SUM(L5:L8)</f>
        <v>1711993.5604297663</v>
      </c>
      <c r="M9" s="244">
        <f t="shared" si="1"/>
        <v>1924390.2443016027</v>
      </c>
      <c r="N9" s="244">
        <f t="shared" si="1"/>
        <v>2165001.5908103483</v>
      </c>
      <c r="O9" s="244">
        <f t="shared" si="1"/>
        <v>2451989.2752482141</v>
      </c>
      <c r="P9" s="244">
        <f t="shared" si="1"/>
        <v>2774267.3233454805</v>
      </c>
      <c r="Q9" s="244">
        <f t="shared" si="1"/>
        <v>3119113.021634046</v>
      </c>
    </row>
    <row r="10" spans="1:22">
      <c r="A10" s="2"/>
      <c r="B10" s="2" t="s">
        <v>16</v>
      </c>
      <c r="C10" s="2"/>
      <c r="D10" s="2"/>
      <c r="E10" s="2"/>
      <c r="F10" s="2"/>
      <c r="G10" s="13">
        <v>365042.66100000002</v>
      </c>
      <c r="H10" s="13">
        <v>432574.42800000001</v>
      </c>
      <c r="I10" s="11">
        <v>819153.04700000002</v>
      </c>
      <c r="J10" s="11">
        <v>874144.62300000002</v>
      </c>
      <c r="K10" s="11">
        <v>865150.92500000005</v>
      </c>
      <c r="L10" s="371">
        <f>'Fixed&amp;Intangible Assets'!P38</f>
        <v>877611.85209385608</v>
      </c>
      <c r="M10" s="371">
        <f>'Fixed&amp;Intangible Assets'!Q38</f>
        <v>889869.96153512422</v>
      </c>
      <c r="N10" s="371">
        <f>'Fixed&amp;Intangible Assets'!R38</f>
        <v>901905.41815854656</v>
      </c>
      <c r="O10" s="371">
        <f>'Fixed&amp;Intangible Assets'!S38</f>
        <v>913695.95668233733</v>
      </c>
      <c r="P10" s="371">
        <f>'Fixed&amp;Intangible Assets'!T38</f>
        <v>925217.08529653447</v>
      </c>
      <c r="Q10" s="371">
        <f>'Fixed&amp;Intangible Assets'!U38</f>
        <v>936441.86301017762</v>
      </c>
      <c r="R10" s="374"/>
      <c r="S10" s="374"/>
      <c r="T10" s="374"/>
      <c r="U10" s="374"/>
      <c r="V10" s="374"/>
    </row>
    <row r="11" spans="1:22">
      <c r="A11" s="2"/>
      <c r="B11" s="2" t="s">
        <v>17</v>
      </c>
      <c r="C11" s="2"/>
      <c r="D11" s="2"/>
      <c r="E11" s="2"/>
      <c r="F11" s="2"/>
      <c r="G11" s="13">
        <v>1870.365</v>
      </c>
      <c r="H11" s="13">
        <v>3628.8050000000003</v>
      </c>
      <c r="I11" s="11">
        <v>6276.3310000000001</v>
      </c>
      <c r="J11" s="11">
        <v>11167.324000000001</v>
      </c>
      <c r="K11" s="11">
        <v>15045.787</v>
      </c>
      <c r="L11" s="13">
        <f>'Fixed&amp;Intangible Assets'!P65</f>
        <v>12226.931946000001</v>
      </c>
      <c r="M11" s="13">
        <f>'Fixed&amp;Intangible Assets'!Q65</f>
        <v>9402.4391818920012</v>
      </c>
      <c r="N11" s="13">
        <f>'Fixed&amp;Intangible Assets'!R65</f>
        <v>6572.2974322557893</v>
      </c>
      <c r="O11" s="13">
        <f>'Fixed&amp;Intangible Assets'!S65</f>
        <v>3736.4953991202929</v>
      </c>
      <c r="P11" s="13">
        <f>'Fixed&amp;Intangible Assets'!T65</f>
        <v>895.02176191853505</v>
      </c>
      <c r="Q11" s="13">
        <f>'Fixed&amp;Intangible Assets'!U65</f>
        <v>-1952.1348225576294</v>
      </c>
    </row>
    <row r="12" spans="1:22">
      <c r="A12" s="2"/>
      <c r="B12" s="2" t="s">
        <v>20</v>
      </c>
      <c r="C12" s="2"/>
      <c r="D12" s="2"/>
      <c r="E12" s="2"/>
      <c r="F12" s="2"/>
      <c r="G12" s="13">
        <f>SUM(BS_hist!G14:G16)+SUM(BS_hist!G19:G21)+BS_hist!G22</f>
        <v>366983.26199999999</v>
      </c>
      <c r="H12" s="13">
        <f>SUM(BS_hist!H14:H16)+SUM(BS_hist!H19:H21)+BS_hist!H22</f>
        <v>251161.95800000001</v>
      </c>
      <c r="I12" s="13">
        <f>SUM(BS_hist!I14:I16)+SUM(BS_hist!I19:I21)+BS_hist!I22</f>
        <v>730217.27499999991</v>
      </c>
      <c r="J12" s="13">
        <f>SUM(BS_hist!J14:J16)+SUM(BS_hist!J19:J21)+BS_hist!J22</f>
        <v>296536.91300000006</v>
      </c>
      <c r="K12" s="13">
        <f>SUM(BS_hist!K14:K16)+SUM(BS_hist!K19:K21)+BS_hist!K22</f>
        <v>309857.674</v>
      </c>
      <c r="L12" s="13">
        <f>K12</f>
        <v>309857.674</v>
      </c>
      <c r="M12" s="13">
        <f t="shared" ref="M12:Q12" si="2">L12</f>
        <v>309857.674</v>
      </c>
      <c r="N12" s="13">
        <f t="shared" si="2"/>
        <v>309857.674</v>
      </c>
      <c r="O12" s="13">
        <f t="shared" si="2"/>
        <v>309857.674</v>
      </c>
      <c r="P12" s="13">
        <f t="shared" si="2"/>
        <v>309857.674</v>
      </c>
      <c r="Q12" s="13">
        <f t="shared" si="2"/>
        <v>309857.674</v>
      </c>
      <c r="T12" s="370"/>
    </row>
    <row r="13" spans="1:22">
      <c r="A13" s="2"/>
      <c r="B13" s="5" t="s">
        <v>22</v>
      </c>
      <c r="C13" s="5"/>
      <c r="D13" s="5"/>
      <c r="E13" s="5"/>
      <c r="F13" s="5"/>
      <c r="G13" s="9">
        <f>SUM(G10:G12)</f>
        <v>733896.28799999994</v>
      </c>
      <c r="H13" s="9">
        <f>SUM(H10:H12)</f>
        <v>687365.19099999999</v>
      </c>
      <c r="I13" s="9">
        <f>SUM(I10:I12)</f>
        <v>1555646.6529999999</v>
      </c>
      <c r="J13" s="9">
        <f>SUM(J10:J12)</f>
        <v>1181848.8600000001</v>
      </c>
      <c r="K13" s="9">
        <f>SUM(K10:K12)</f>
        <v>1190054.3859999999</v>
      </c>
      <c r="L13" s="245">
        <f t="shared" ref="L13:Q13" si="3">SUM(L10:L12)</f>
        <v>1199696.4580398561</v>
      </c>
      <c r="M13" s="245">
        <f t="shared" si="3"/>
        <v>1209130.0747170162</v>
      </c>
      <c r="N13" s="245">
        <f t="shared" si="3"/>
        <v>1218335.3895908024</v>
      </c>
      <c r="O13" s="245">
        <f t="shared" si="3"/>
        <v>1227290.1260814576</v>
      </c>
      <c r="P13" s="245">
        <f t="shared" si="3"/>
        <v>1235969.781058453</v>
      </c>
      <c r="Q13" s="245">
        <f t="shared" si="3"/>
        <v>1244347.4021876198</v>
      </c>
    </row>
    <row r="14" spans="1:22">
      <c r="A14" s="2"/>
      <c r="B14" s="5" t="s">
        <v>23</v>
      </c>
      <c r="C14" s="5"/>
      <c r="D14" s="5"/>
      <c r="E14" s="5"/>
      <c r="F14" s="5"/>
      <c r="G14" s="9">
        <f t="shared" ref="G14:L14" si="4">G13+G9</f>
        <v>1999860.6950000001</v>
      </c>
      <c r="H14" s="9">
        <f t="shared" si="4"/>
        <v>2486920.09</v>
      </c>
      <c r="I14" s="9">
        <f t="shared" si="4"/>
        <v>3396169.594</v>
      </c>
      <c r="J14" s="9">
        <f t="shared" si="4"/>
        <v>3039834.0810000002</v>
      </c>
      <c r="K14" s="9">
        <f t="shared" si="4"/>
        <v>2723175.196</v>
      </c>
      <c r="L14" s="248">
        <f t="shared" si="4"/>
        <v>2911690.0184696224</v>
      </c>
      <c r="M14" s="248">
        <f t="shared" ref="M14:Q14" si="5">M13+M9</f>
        <v>3133520.3190186191</v>
      </c>
      <c r="N14" s="248">
        <f t="shared" si="5"/>
        <v>3383336.9804011509</v>
      </c>
      <c r="O14" s="248">
        <f t="shared" si="5"/>
        <v>3679279.401329672</v>
      </c>
      <c r="P14" s="248">
        <f t="shared" si="5"/>
        <v>4010237.1044039335</v>
      </c>
      <c r="Q14" s="248">
        <f t="shared" si="5"/>
        <v>4363460.4238216653</v>
      </c>
      <c r="R14" s="249"/>
      <c r="S14" s="249"/>
      <c r="T14" s="249"/>
      <c r="U14" s="249"/>
      <c r="V14" s="249"/>
    </row>
    <row r="15" spans="1:22">
      <c r="A15" s="3"/>
      <c r="B15" s="2" t="s">
        <v>24</v>
      </c>
      <c r="C15" s="2"/>
      <c r="D15" s="2"/>
      <c r="E15" s="2"/>
      <c r="F15" s="2"/>
      <c r="G15" s="11">
        <v>1069618.993</v>
      </c>
      <c r="H15" s="11">
        <v>1294229.2709999999</v>
      </c>
      <c r="I15" s="11">
        <v>874584.8</v>
      </c>
      <c r="J15" s="11">
        <v>317984.87400000001</v>
      </c>
      <c r="K15" s="11">
        <v>71353.171000000002</v>
      </c>
      <c r="L15" s="11">
        <f>Debt!K10</f>
        <v>91353.171000000002</v>
      </c>
      <c r="M15" s="11">
        <f>Debt!L10</f>
        <v>111353.171</v>
      </c>
      <c r="N15" s="11">
        <f>Debt!M10</f>
        <v>131353.171</v>
      </c>
      <c r="O15" s="11">
        <f>Debt!N10</f>
        <v>151353.171</v>
      </c>
      <c r="P15" s="11">
        <f>Debt!O10</f>
        <v>171353.171</v>
      </c>
      <c r="Q15" s="11">
        <f>Debt!P10</f>
        <v>191353.171</v>
      </c>
    </row>
    <row r="16" spans="1:22">
      <c r="A16" s="3"/>
      <c r="B16" s="2" t="s">
        <v>25</v>
      </c>
      <c r="C16" s="2"/>
      <c r="D16" s="2"/>
      <c r="E16" s="2"/>
      <c r="F16" s="2"/>
      <c r="G16" s="11">
        <v>69554.294999999998</v>
      </c>
      <c r="H16" s="11">
        <v>251993.106</v>
      </c>
      <c r="I16" s="11">
        <v>119849.469</v>
      </c>
      <c r="J16" s="7">
        <v>0</v>
      </c>
      <c r="K16" s="7">
        <v>0</v>
      </c>
      <c r="L16" s="11">
        <f>K16</f>
        <v>0</v>
      </c>
      <c r="M16" s="11">
        <f t="shared" ref="M16:Q16" si="6">L16</f>
        <v>0</v>
      </c>
      <c r="N16" s="11">
        <f t="shared" si="6"/>
        <v>0</v>
      </c>
      <c r="O16" s="11">
        <f t="shared" si="6"/>
        <v>0</v>
      </c>
      <c r="P16" s="11">
        <f t="shared" si="6"/>
        <v>0</v>
      </c>
      <c r="Q16" s="11">
        <f t="shared" si="6"/>
        <v>0</v>
      </c>
    </row>
    <row r="17" spans="1:17">
      <c r="A17" s="3"/>
      <c r="B17" s="2" t="s">
        <v>26</v>
      </c>
      <c r="C17" s="2"/>
      <c r="D17" s="2"/>
      <c r="E17" s="2"/>
      <c r="F17" s="2"/>
      <c r="G17" s="11">
        <v>193100.033</v>
      </c>
      <c r="H17" s="11">
        <v>267807.84100000001</v>
      </c>
      <c r="I17" s="11">
        <v>447963.68400000001</v>
      </c>
      <c r="J17" s="11">
        <v>430067.33500000002</v>
      </c>
      <c r="K17" s="11">
        <v>385132.34700000001</v>
      </c>
      <c r="L17" s="11">
        <f>WC!K12</f>
        <v>436657.33033798542</v>
      </c>
      <c r="M17" s="11">
        <f>WC!L12</f>
        <v>486949.86764566693</v>
      </c>
      <c r="N17" s="11">
        <f>WC!M12</f>
        <v>532305.67410937871</v>
      </c>
      <c r="O17" s="11">
        <f>WC!N12</f>
        <v>578777.62522970664</v>
      </c>
      <c r="P17" s="11">
        <f>WC!O12</f>
        <v>637689.00415524468</v>
      </c>
      <c r="Q17" s="11">
        <f>WC!P12</f>
        <v>705292.39632818953</v>
      </c>
    </row>
    <row r="18" spans="1:17">
      <c r="A18" s="3"/>
      <c r="B18" s="2" t="s">
        <v>236</v>
      </c>
      <c r="C18" s="2"/>
      <c r="D18" s="2"/>
      <c r="E18" s="2"/>
      <c r="F18" s="2"/>
      <c r="G18" s="11">
        <f>SUM(BS_hist!G28:G33)</f>
        <v>32579.042999999998</v>
      </c>
      <c r="H18" s="11">
        <f>SUM(BS_hist!H28:H33)</f>
        <v>196975.35399999999</v>
      </c>
      <c r="I18" s="11">
        <f>SUM(BS_hist!I28:I33)</f>
        <v>228163.55000000002</v>
      </c>
      <c r="J18" s="11">
        <f>SUM(BS_hist!J28:J33)</f>
        <v>50122.798999999999</v>
      </c>
      <c r="K18" s="11">
        <f>SUM(BS_hist!K28:K33)</f>
        <v>164076.87900000002</v>
      </c>
      <c r="L18" s="11">
        <f>WC!K24</f>
        <v>186027.92653593613</v>
      </c>
      <c r="M18" s="11">
        <f>WC!L24</f>
        <v>207453.91846497933</v>
      </c>
      <c r="N18" s="11">
        <f>WC!M24</f>
        <v>226776.72847318114</v>
      </c>
      <c r="O18" s="11">
        <f>WC!N24</f>
        <v>246575.04653256753</v>
      </c>
      <c r="P18" s="11">
        <f>WC!O24</f>
        <v>271672.8999509631</v>
      </c>
      <c r="Q18" s="11">
        <f>WC!P24</f>
        <v>300473.78796764743</v>
      </c>
    </row>
    <row r="19" spans="1:17">
      <c r="A19" s="2"/>
      <c r="B19" s="5" t="s">
        <v>33</v>
      </c>
      <c r="C19" s="5"/>
      <c r="D19" s="5"/>
      <c r="E19" s="5"/>
      <c r="F19" s="5"/>
      <c r="G19" s="9">
        <f>SUM(G15:G18)</f>
        <v>1364852.3640000001</v>
      </c>
      <c r="H19" s="9">
        <f>SUM(H15:H18)</f>
        <v>2011005.5719999999</v>
      </c>
      <c r="I19" s="9">
        <f>SUM(I15:I18)</f>
        <v>1670561.5030000003</v>
      </c>
      <c r="J19" s="9">
        <f>SUM(J15:J18)</f>
        <v>798175.00800000003</v>
      </c>
      <c r="K19" s="9">
        <f>SUM(K15:K18)</f>
        <v>620562.39700000011</v>
      </c>
      <c r="L19" s="244">
        <f t="shared" ref="L19:Q19" si="7">SUM(L15:L18)</f>
        <v>714038.42787392158</v>
      </c>
      <c r="M19" s="244">
        <f t="shared" si="7"/>
        <v>805756.95711064618</v>
      </c>
      <c r="N19" s="244">
        <f t="shared" si="7"/>
        <v>890435.57358255982</v>
      </c>
      <c r="O19" s="244">
        <f t="shared" si="7"/>
        <v>976705.8427622742</v>
      </c>
      <c r="P19" s="244">
        <f t="shared" si="7"/>
        <v>1080715.0751062077</v>
      </c>
      <c r="Q19" s="244">
        <f t="shared" si="7"/>
        <v>1197119.3552958369</v>
      </c>
    </row>
    <row r="20" spans="1:17">
      <c r="A20" s="2"/>
      <c r="B20" s="2" t="s">
        <v>34</v>
      </c>
      <c r="C20" s="2"/>
      <c r="D20" s="2"/>
      <c r="E20" s="2"/>
      <c r="F20" s="2"/>
      <c r="G20" s="13">
        <v>254792.573</v>
      </c>
      <c r="H20" s="13">
        <v>38724.556000000004</v>
      </c>
      <c r="I20" s="11">
        <v>400102.16800000001</v>
      </c>
      <c r="J20" s="7">
        <v>0</v>
      </c>
      <c r="K20" s="11">
        <v>2878.4230000000002</v>
      </c>
      <c r="L20" s="13">
        <f>Debt!K23</f>
        <v>6302.7384000000002</v>
      </c>
      <c r="M20" s="13">
        <f>Debt!L23</f>
        <v>8242.1907200000005</v>
      </c>
      <c r="N20" s="13">
        <f>Debt!M23</f>
        <v>8993.7525760000008</v>
      </c>
      <c r="O20" s="13">
        <f>Debt!N23</f>
        <v>8795.0020608000013</v>
      </c>
      <c r="P20" s="13">
        <f>Debt!O23</f>
        <v>7836.0016486400009</v>
      </c>
      <c r="Q20" s="13">
        <f>Debt!P23</f>
        <v>6268.8013189120011</v>
      </c>
    </row>
    <row r="21" spans="1:17">
      <c r="A21" s="2"/>
      <c r="B21" s="2" t="s">
        <v>35</v>
      </c>
      <c r="C21" s="2"/>
      <c r="D21" s="2"/>
      <c r="E21" s="2"/>
      <c r="F21" s="2"/>
      <c r="G21" s="13">
        <f>SUM(BS_hist!G36:G39)</f>
        <v>16877.474000000002</v>
      </c>
      <c r="H21" s="13">
        <f>SUM(BS_hist!H36:H39)</f>
        <v>35964.811999999998</v>
      </c>
      <c r="I21" s="13">
        <f>SUM(BS_hist!I36:I39)</f>
        <v>565517.81699999992</v>
      </c>
      <c r="J21" s="13">
        <f>SUM(BS_hist!J36:J39)</f>
        <v>1459677.628</v>
      </c>
      <c r="K21" s="13">
        <f>SUM(BS_hist!K36:K39)</f>
        <v>1133354.507</v>
      </c>
      <c r="L21" s="13">
        <f>K21-81946</f>
        <v>1051408.507</v>
      </c>
      <c r="M21" s="13">
        <f t="shared" ref="M21:Q21" si="8">L21-81946</f>
        <v>969462.50699999998</v>
      </c>
      <c r="N21" s="13">
        <f t="shared" si="8"/>
        <v>887516.50699999998</v>
      </c>
      <c r="O21" s="13">
        <f t="shared" si="8"/>
        <v>805570.50699999998</v>
      </c>
      <c r="P21" s="13">
        <f t="shared" si="8"/>
        <v>723624.50699999998</v>
      </c>
      <c r="Q21" s="13">
        <f t="shared" si="8"/>
        <v>641678.50699999998</v>
      </c>
    </row>
    <row r="22" spans="1:17">
      <c r="A22" s="3"/>
      <c r="B22" s="5" t="s">
        <v>38</v>
      </c>
      <c r="C22" s="5"/>
      <c r="D22" s="5"/>
      <c r="E22" s="5"/>
      <c r="F22" s="5"/>
      <c r="G22" s="9">
        <f>SUM(G20:G21)</f>
        <v>271670.04700000002</v>
      </c>
      <c r="H22" s="9">
        <f>SUM(H20:H21)</f>
        <v>74689.368000000002</v>
      </c>
      <c r="I22" s="9">
        <f>SUM(I20:I21)</f>
        <v>965619.98499999987</v>
      </c>
      <c r="J22" s="9">
        <f>SUM(J20:J21)</f>
        <v>1459677.628</v>
      </c>
      <c r="K22" s="9">
        <f>SUM(K20:K21)</f>
        <v>1136232.93</v>
      </c>
      <c r="L22" s="245">
        <f t="shared" ref="L22:Q22" si="9">SUM(L20:L21)</f>
        <v>1057711.2453999999</v>
      </c>
      <c r="M22" s="245">
        <f t="shared" si="9"/>
        <v>977704.69771999994</v>
      </c>
      <c r="N22" s="245">
        <f t="shared" si="9"/>
        <v>896510.25957600004</v>
      </c>
      <c r="O22" s="245">
        <f t="shared" si="9"/>
        <v>814365.50906079996</v>
      </c>
      <c r="P22" s="245">
        <f t="shared" si="9"/>
        <v>731460.50864864001</v>
      </c>
      <c r="Q22" s="245">
        <f t="shared" si="9"/>
        <v>647947.30831891194</v>
      </c>
    </row>
    <row r="23" spans="1:17">
      <c r="A23" s="2"/>
      <c r="B23" s="5" t="s">
        <v>39</v>
      </c>
      <c r="C23" s="5"/>
      <c r="D23" s="5"/>
      <c r="E23" s="5"/>
      <c r="F23" s="5"/>
      <c r="G23" s="9">
        <f>G22+G19</f>
        <v>1636522.4110000001</v>
      </c>
      <c r="H23" s="9">
        <f>H22+H19</f>
        <v>2085694.94</v>
      </c>
      <c r="I23" s="9">
        <f>I22+I19</f>
        <v>2636181.4879999999</v>
      </c>
      <c r="J23" s="9">
        <f>J22+J19</f>
        <v>2257852.6359999999</v>
      </c>
      <c r="K23" s="9">
        <f>K22+K19</f>
        <v>1756795.327</v>
      </c>
      <c r="L23" s="248">
        <f t="shared" ref="L23:Q23" si="10">L22+L19</f>
        <v>1771749.6732739215</v>
      </c>
      <c r="M23" s="248">
        <f t="shared" si="10"/>
        <v>1783461.6548306462</v>
      </c>
      <c r="N23" s="248">
        <f t="shared" si="10"/>
        <v>1786945.8331585599</v>
      </c>
      <c r="O23" s="248">
        <f t="shared" si="10"/>
        <v>1791071.3518230743</v>
      </c>
      <c r="P23" s="248">
        <f t="shared" si="10"/>
        <v>1812175.5837548478</v>
      </c>
      <c r="Q23" s="248">
        <f t="shared" si="10"/>
        <v>1845066.663614749</v>
      </c>
    </row>
    <row r="24" spans="1:17">
      <c r="A24" s="2"/>
      <c r="B24" s="2" t="s">
        <v>40</v>
      </c>
      <c r="C24" s="2"/>
      <c r="D24" s="2"/>
      <c r="E24" s="2"/>
      <c r="F24" s="2"/>
      <c r="G24" s="11">
        <v>6244</v>
      </c>
      <c r="H24" s="11">
        <v>6244</v>
      </c>
      <c r="I24" s="11">
        <v>23900</v>
      </c>
      <c r="J24" s="11">
        <v>662000</v>
      </c>
      <c r="K24" s="11">
        <v>662000</v>
      </c>
      <c r="L24" s="11">
        <f>K24+CFS!K29</f>
        <v>662000</v>
      </c>
      <c r="M24" s="11">
        <f>L24+CFS!L29</f>
        <v>662000</v>
      </c>
      <c r="N24" s="11">
        <f>M24+CFS!M29</f>
        <v>662000</v>
      </c>
      <c r="O24" s="11">
        <f>N24+CFS!N29</f>
        <v>662000</v>
      </c>
      <c r="P24" s="11">
        <f>O24+CFS!O29</f>
        <v>662000</v>
      </c>
      <c r="Q24" s="11">
        <f>P24+CFS!P29</f>
        <v>662000</v>
      </c>
    </row>
    <row r="25" spans="1:17">
      <c r="A25" s="2"/>
      <c r="B25" s="2" t="s">
        <v>41</v>
      </c>
      <c r="C25" s="2"/>
      <c r="D25" s="2"/>
      <c r="E25" s="2"/>
      <c r="F25" s="2"/>
      <c r="G25" s="11">
        <v>0</v>
      </c>
      <c r="H25" s="7">
        <v>0</v>
      </c>
      <c r="I25" s="11">
        <v>886860.88</v>
      </c>
      <c r="J25" s="11">
        <v>702.05000000000007</v>
      </c>
      <c r="K25" s="11">
        <v>702.05000000000007</v>
      </c>
      <c r="L25" s="11">
        <f>K25</f>
        <v>702.05000000000007</v>
      </c>
      <c r="M25" s="11">
        <f t="shared" ref="M25:Q25" si="11">L25</f>
        <v>702.05000000000007</v>
      </c>
      <c r="N25" s="11">
        <f t="shared" si="11"/>
        <v>702.05000000000007</v>
      </c>
      <c r="O25" s="11">
        <f t="shared" si="11"/>
        <v>702.05000000000007</v>
      </c>
      <c r="P25" s="11">
        <f t="shared" si="11"/>
        <v>702.05000000000007</v>
      </c>
      <c r="Q25" s="11">
        <f t="shared" si="11"/>
        <v>702.05000000000007</v>
      </c>
    </row>
    <row r="26" spans="1:17">
      <c r="A26" s="2"/>
      <c r="B26" s="12" t="s">
        <v>42</v>
      </c>
      <c r="C26" s="2"/>
      <c r="D26" s="2"/>
      <c r="E26" s="2"/>
      <c r="F26" s="2"/>
      <c r="G26" s="11">
        <v>51212.762999999999</v>
      </c>
      <c r="H26" s="11">
        <v>88358.202000000005</v>
      </c>
      <c r="I26" s="11">
        <v>341636.859</v>
      </c>
      <c r="J26" s="11">
        <v>313720.12599999999</v>
      </c>
      <c r="K26" s="11">
        <v>313272.56099999999</v>
      </c>
      <c r="L26" s="11">
        <f>K26</f>
        <v>313272.56099999999</v>
      </c>
      <c r="M26" s="11">
        <f t="shared" ref="M26:Q26" si="12">L26</f>
        <v>313272.56099999999</v>
      </c>
      <c r="N26" s="11">
        <f t="shared" si="12"/>
        <v>313272.56099999999</v>
      </c>
      <c r="O26" s="11">
        <f t="shared" si="12"/>
        <v>313272.56099999999</v>
      </c>
      <c r="P26" s="11">
        <f t="shared" si="12"/>
        <v>313272.56099999999</v>
      </c>
      <c r="Q26" s="11">
        <f t="shared" si="12"/>
        <v>313272.56099999999</v>
      </c>
    </row>
    <row r="27" spans="1:17">
      <c r="A27" s="2"/>
      <c r="B27" s="12" t="s">
        <v>43</v>
      </c>
      <c r="C27" s="12"/>
      <c r="D27" s="2"/>
      <c r="E27" s="2"/>
      <c r="F27" s="2"/>
      <c r="G27" s="11">
        <v>26026.588</v>
      </c>
      <c r="H27" s="11">
        <v>40356.385000000002</v>
      </c>
      <c r="I27" s="11">
        <v>46747.084000000003</v>
      </c>
      <c r="J27" s="11">
        <v>84400.388000000006</v>
      </c>
      <c r="K27" s="11">
        <v>102626.69900000001</v>
      </c>
      <c r="L27" s="11">
        <f t="shared" ref="L27:Q29" si="13">K27</f>
        <v>102626.69900000001</v>
      </c>
      <c r="M27" s="11">
        <f t="shared" si="13"/>
        <v>102626.69900000001</v>
      </c>
      <c r="N27" s="11">
        <f t="shared" si="13"/>
        <v>102626.69900000001</v>
      </c>
      <c r="O27" s="11">
        <f t="shared" si="13"/>
        <v>102626.69900000001</v>
      </c>
      <c r="P27" s="11">
        <f t="shared" si="13"/>
        <v>102626.69900000001</v>
      </c>
      <c r="Q27" s="11">
        <f t="shared" si="13"/>
        <v>102626.69900000001</v>
      </c>
    </row>
    <row r="28" spans="1:17">
      <c r="A28" s="2"/>
      <c r="B28" s="12" t="s">
        <v>44</v>
      </c>
      <c r="C28" s="14"/>
      <c r="D28" s="2"/>
      <c r="E28" s="2"/>
      <c r="F28" s="2"/>
      <c r="G28" s="11">
        <v>30344.476000000002</v>
      </c>
      <c r="H28" s="11">
        <v>31930.256000000001</v>
      </c>
      <c r="I28" s="11">
        <v>34656.534</v>
      </c>
      <c r="J28" s="11">
        <v>36192.002</v>
      </c>
      <c r="K28" s="11">
        <v>36192.002</v>
      </c>
      <c r="L28" s="11">
        <f t="shared" si="13"/>
        <v>36192.002</v>
      </c>
      <c r="M28" s="11">
        <f t="shared" si="13"/>
        <v>36192.002</v>
      </c>
      <c r="N28" s="11">
        <f t="shared" si="13"/>
        <v>36192.002</v>
      </c>
      <c r="O28" s="11">
        <f t="shared" si="13"/>
        <v>36192.002</v>
      </c>
      <c r="P28" s="11">
        <f t="shared" si="13"/>
        <v>36192.002</v>
      </c>
      <c r="Q28" s="11">
        <f t="shared" si="13"/>
        <v>36192.002</v>
      </c>
    </row>
    <row r="29" spans="1:17">
      <c r="A29" s="2"/>
      <c r="B29" s="12" t="s">
        <v>45</v>
      </c>
      <c r="C29" s="14"/>
      <c r="D29" s="2"/>
      <c r="E29" s="2"/>
      <c r="F29" s="2"/>
      <c r="G29" s="11">
        <v>-4876.8609999999999</v>
      </c>
      <c r="H29" s="11">
        <v>-4876.8609999999999</v>
      </c>
      <c r="I29" s="11">
        <v>-909376.86100000003</v>
      </c>
      <c r="J29" s="11">
        <v>-895717.51500000001</v>
      </c>
      <c r="K29" s="11">
        <v>-895717.51500000001</v>
      </c>
      <c r="L29" s="11">
        <f t="shared" si="13"/>
        <v>-895717.51500000001</v>
      </c>
      <c r="M29" s="11">
        <f t="shared" si="13"/>
        <v>-895717.51500000001</v>
      </c>
      <c r="N29" s="11">
        <f t="shared" si="13"/>
        <v>-895717.51500000001</v>
      </c>
      <c r="O29" s="11">
        <f t="shared" si="13"/>
        <v>-895717.51500000001</v>
      </c>
      <c r="P29" s="11">
        <f t="shared" si="13"/>
        <v>-895717.51500000001</v>
      </c>
      <c r="Q29" s="11">
        <f t="shared" si="13"/>
        <v>-895717.51500000001</v>
      </c>
    </row>
    <row r="30" spans="1:17">
      <c r="A30" s="2"/>
      <c r="B30" s="2" t="s">
        <v>46</v>
      </c>
      <c r="C30" s="14"/>
      <c r="D30" s="2"/>
      <c r="E30" s="2"/>
      <c r="F30" s="2"/>
      <c r="G30" s="11">
        <v>237645.31</v>
      </c>
      <c r="H30" s="11">
        <v>160355.97200000001</v>
      </c>
      <c r="I30" s="11">
        <v>114893.27800000001</v>
      </c>
      <c r="J30" s="11">
        <v>433864.245</v>
      </c>
      <c r="K30" s="11">
        <v>399294.136</v>
      </c>
      <c r="L30" s="11">
        <f>K30+K31</f>
        <v>537125.78899999999</v>
      </c>
      <c r="M30" s="11">
        <f>L30+L31</f>
        <v>710624.96123970067</v>
      </c>
      <c r="N30" s="11">
        <f t="shared" ref="N30:Q30" si="14">M30+M31</f>
        <v>920682.26048006094</v>
      </c>
      <c r="O30" s="11">
        <f t="shared" si="14"/>
        <v>1166953.6017432632</v>
      </c>
      <c r="P30" s="11">
        <f t="shared" si="14"/>
        <v>1458709.2399322717</v>
      </c>
      <c r="Q30" s="11">
        <f t="shared" si="14"/>
        <v>1768501.3244716108</v>
      </c>
    </row>
    <row r="31" spans="1:17">
      <c r="A31" s="2"/>
      <c r="B31" s="12" t="s">
        <v>47</v>
      </c>
      <c r="C31" s="14"/>
      <c r="D31" s="2"/>
      <c r="E31" s="2"/>
      <c r="F31" s="2"/>
      <c r="G31" s="11">
        <v>-75703.558000000005</v>
      </c>
      <c r="H31" s="11">
        <v>-33356.373</v>
      </c>
      <c r="I31" s="11">
        <v>53861.652999999998</v>
      </c>
      <c r="J31" s="11">
        <v>-34570.109000000004</v>
      </c>
      <c r="K31" s="11">
        <v>137831.65299999999</v>
      </c>
      <c r="L31" s="11">
        <f>IS!O28</f>
        <v>173499.17223970065</v>
      </c>
      <c r="M31" s="11">
        <f>IS!P28</f>
        <v>210057.29924036024</v>
      </c>
      <c r="N31" s="11">
        <f>IS!Q28</f>
        <v>246271.34126320219</v>
      </c>
      <c r="O31" s="11">
        <f>IS!R28</f>
        <v>291755.63818900834</v>
      </c>
      <c r="P31" s="11">
        <f>IS!S28</f>
        <v>309792.08453933918</v>
      </c>
      <c r="Q31" s="11">
        <f>IS!T28</f>
        <v>320270.73018147703</v>
      </c>
    </row>
    <row r="32" spans="1:17">
      <c r="A32" s="2"/>
      <c r="B32" s="3" t="s">
        <v>48</v>
      </c>
      <c r="C32" s="3"/>
      <c r="D32" s="3"/>
      <c r="E32" s="3"/>
      <c r="F32" s="3"/>
      <c r="G32" s="10">
        <f>+SUM(G24:G31)</f>
        <v>270892.71799999994</v>
      </c>
      <c r="H32" s="10">
        <f t="shared" ref="H32:K32" si="15">+SUM(H24:H31)</f>
        <v>289011.58100000001</v>
      </c>
      <c r="I32" s="10">
        <f t="shared" si="15"/>
        <v>593179.42700000014</v>
      </c>
      <c r="J32" s="10">
        <f t="shared" si="15"/>
        <v>600591.18700000003</v>
      </c>
      <c r="K32" s="10">
        <f t="shared" si="15"/>
        <v>756201.58600000013</v>
      </c>
      <c r="L32" s="10">
        <f t="shared" ref="L32" si="16">+SUM(L24:L31)</f>
        <v>929700.75823970081</v>
      </c>
      <c r="M32" s="10">
        <f t="shared" ref="M32" si="17">+SUM(M24:M31)</f>
        <v>1139758.057480061</v>
      </c>
      <c r="N32" s="10">
        <f t="shared" ref="N32" si="18">+SUM(N24:N31)</f>
        <v>1386029.3987432632</v>
      </c>
      <c r="O32" s="10">
        <f t="shared" ref="O32" si="19">+SUM(O24:O31)</f>
        <v>1677785.0369322719</v>
      </c>
      <c r="P32" s="10">
        <f t="shared" ref="P32" si="20">+SUM(P24:P31)</f>
        <v>1987577.1214716111</v>
      </c>
      <c r="Q32" s="10">
        <f t="shared" ref="Q32" si="21">+SUM(Q24:Q31)</f>
        <v>2307847.8516530879</v>
      </c>
    </row>
    <row r="33" spans="1:17">
      <c r="A33" s="2"/>
      <c r="B33" s="12" t="s">
        <v>49</v>
      </c>
      <c r="C33" s="2"/>
      <c r="D33" s="2"/>
      <c r="E33" s="2"/>
      <c r="F33" s="2"/>
      <c r="G33" s="11">
        <v>92445.566000000006</v>
      </c>
      <c r="H33" s="11">
        <v>112213.569</v>
      </c>
      <c r="I33" s="11">
        <v>166808.679</v>
      </c>
      <c r="J33" s="11">
        <v>181390.258</v>
      </c>
      <c r="K33" s="11">
        <v>210178.283</v>
      </c>
      <c r="L33" s="11">
        <f>K33</f>
        <v>210178.283</v>
      </c>
      <c r="M33" s="11">
        <f t="shared" ref="M33:Q33" si="22">L33</f>
        <v>210178.283</v>
      </c>
      <c r="N33" s="11">
        <f t="shared" si="22"/>
        <v>210178.283</v>
      </c>
      <c r="O33" s="11">
        <f t="shared" si="22"/>
        <v>210178.283</v>
      </c>
      <c r="P33" s="11">
        <f t="shared" si="22"/>
        <v>210178.283</v>
      </c>
      <c r="Q33" s="11">
        <f t="shared" si="22"/>
        <v>210178.283</v>
      </c>
    </row>
    <row r="34" spans="1:17">
      <c r="A34" s="2"/>
      <c r="B34" s="15" t="s">
        <v>50</v>
      </c>
      <c r="C34" s="2"/>
      <c r="D34" s="2"/>
      <c r="E34" s="2"/>
      <c r="F34" s="2"/>
      <c r="G34" s="16">
        <f>+SUM(G32:G33)</f>
        <v>363338.28399999993</v>
      </c>
      <c r="H34" s="16">
        <f t="shared" ref="H34:Q34" si="23">+SUM(H32:H33)</f>
        <v>401225.15</v>
      </c>
      <c r="I34" s="16">
        <f t="shared" si="23"/>
        <v>759988.10600000015</v>
      </c>
      <c r="J34" s="16">
        <f t="shared" si="23"/>
        <v>781981.44500000007</v>
      </c>
      <c r="K34" s="16">
        <f t="shared" si="23"/>
        <v>966379.86900000018</v>
      </c>
      <c r="L34" s="16">
        <f t="shared" si="23"/>
        <v>1139879.0412397007</v>
      </c>
      <c r="M34" s="16">
        <f t="shared" si="23"/>
        <v>1349936.340480061</v>
      </c>
      <c r="N34" s="16">
        <f t="shared" si="23"/>
        <v>1596207.6817432633</v>
      </c>
      <c r="O34" s="16">
        <f t="shared" si="23"/>
        <v>1887963.319932272</v>
      </c>
      <c r="P34" s="16">
        <f t="shared" si="23"/>
        <v>2197755.4044716111</v>
      </c>
      <c r="Q34" s="16">
        <f t="shared" si="23"/>
        <v>2518026.1346530877</v>
      </c>
    </row>
    <row r="35" spans="1:17">
      <c r="A35" s="3"/>
      <c r="B35" s="5" t="s">
        <v>51</v>
      </c>
      <c r="C35" s="5"/>
      <c r="D35" s="5"/>
      <c r="E35" s="5"/>
      <c r="F35" s="5"/>
      <c r="G35" s="9">
        <f>G34+G23</f>
        <v>1999860.6950000001</v>
      </c>
      <c r="H35" s="9">
        <f>H34+H23</f>
        <v>2486920.09</v>
      </c>
      <c r="I35" s="9">
        <f>I34+I23</f>
        <v>3396169.594</v>
      </c>
      <c r="J35" s="9">
        <f>J34+J23</f>
        <v>3039834.0810000002</v>
      </c>
      <c r="K35" s="9">
        <f>K34+K23</f>
        <v>2723175.1960000005</v>
      </c>
      <c r="L35" s="248">
        <f>L23+L34</f>
        <v>2911628.7145136222</v>
      </c>
      <c r="M35" s="248">
        <f t="shared" ref="M35:Q35" si="24">M23+M34</f>
        <v>3133397.995310707</v>
      </c>
      <c r="N35" s="248">
        <f t="shared" si="24"/>
        <v>3383153.5149018234</v>
      </c>
      <c r="O35" s="248">
        <f t="shared" si="24"/>
        <v>3679034.6717553465</v>
      </c>
      <c r="P35" s="248">
        <f t="shared" si="24"/>
        <v>4009930.9882264589</v>
      </c>
      <c r="Q35" s="248">
        <f t="shared" si="24"/>
        <v>4363092.7982678367</v>
      </c>
    </row>
    <row r="36" spans="1:17">
      <c r="L36" s="322"/>
      <c r="M36" s="322"/>
      <c r="N36" s="322"/>
      <c r="O36" s="322"/>
      <c r="P36" s="322"/>
      <c r="Q36" s="322"/>
    </row>
    <row r="37" spans="1:17">
      <c r="L37" s="235"/>
      <c r="M37" s="235"/>
      <c r="N37" s="235"/>
      <c r="O37" s="235"/>
      <c r="P37" s="235"/>
      <c r="Q37" s="23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Z38"/>
  <sheetViews>
    <sheetView showGridLines="0" topLeftCell="D1" zoomScale="55" zoomScaleNormal="55" workbookViewId="0">
      <pane xSplit="5" topLeftCell="N1" activePane="topRight" state="frozen"/>
      <selection activeCell="D1" sqref="D1"/>
      <selection pane="topRight" activeCell="AA20" sqref="AA20"/>
    </sheetView>
  </sheetViews>
  <sheetFormatPr defaultColWidth="10" defaultRowHeight="15.6"/>
  <cols>
    <col min="1" max="4" width="0.77734375" style="37" customWidth="1"/>
    <col min="5" max="5" width="3.44140625" style="37" customWidth="1"/>
    <col min="6" max="6" width="42.21875" style="38" customWidth="1"/>
    <col min="7" max="7" width="2.33203125" style="38" customWidth="1"/>
    <col min="8" max="8" width="12.77734375" style="38" customWidth="1"/>
    <col min="9" max="9" width="9.5546875" style="38" customWidth="1"/>
    <col min="10" max="10" width="17.109375" style="38" bestFit="1" customWidth="1"/>
    <col min="11" max="12" width="18.44140625" style="38" bestFit="1" customWidth="1"/>
    <col min="13" max="14" width="20.33203125" style="38" bestFit="1" customWidth="1"/>
    <col min="15" max="15" width="14" style="38" customWidth="1"/>
    <col min="16" max="16" width="14.21875" style="38" customWidth="1"/>
    <col min="17" max="17" width="13.6640625" style="37" customWidth="1"/>
    <col min="18" max="18" width="12.6640625" style="37" customWidth="1"/>
    <col min="19" max="19" width="13.21875" style="37" customWidth="1"/>
    <col min="20" max="20" width="15" style="37" customWidth="1"/>
    <col min="21" max="16384" width="10" style="37"/>
  </cols>
  <sheetData>
    <row r="1" spans="1:78" ht="21" customHeight="1">
      <c r="E1" s="66"/>
    </row>
    <row r="2" spans="1:78">
      <c r="A2" s="65"/>
      <c r="B2" s="65"/>
      <c r="C2" s="65"/>
      <c r="D2" s="65"/>
      <c r="E2" s="65"/>
      <c r="F2" s="64" t="s">
        <v>52</v>
      </c>
      <c r="G2" s="64"/>
      <c r="H2" s="64"/>
      <c r="I2" s="63" t="s">
        <v>53</v>
      </c>
      <c r="J2" s="62">
        <f>2015</f>
        <v>2015</v>
      </c>
      <c r="K2" s="62">
        <f>2016</f>
        <v>2016</v>
      </c>
      <c r="L2" s="62">
        <f>2017</f>
        <v>2017</v>
      </c>
      <c r="M2" s="62">
        <f>2018</f>
        <v>2018</v>
      </c>
      <c r="N2" s="62">
        <f>+[5]BS!J2</f>
        <v>2019</v>
      </c>
      <c r="O2" s="62">
        <f>+[5]BS!K2</f>
        <v>2020</v>
      </c>
      <c r="P2" s="62">
        <f>+[5]BS!L2</f>
        <v>2021</v>
      </c>
      <c r="Q2" s="62">
        <f>+[5]BS!M2</f>
        <v>2022</v>
      </c>
      <c r="R2" s="62">
        <f>+[5]BS!N2</f>
        <v>2023</v>
      </c>
      <c r="S2" s="62">
        <f>+[5]BS!O2</f>
        <v>2024</v>
      </c>
      <c r="T2" s="62">
        <f>+[5]BS!P2</f>
        <v>2025</v>
      </c>
    </row>
    <row r="3" spans="1:78">
      <c r="A3" s="48"/>
      <c r="B3" s="48"/>
      <c r="C3" s="48"/>
      <c r="D3" s="48"/>
      <c r="E3" s="48"/>
      <c r="F3" s="53"/>
      <c r="G3" s="53"/>
      <c r="H3" s="53"/>
      <c r="I3" s="61"/>
      <c r="J3" s="60" t="s">
        <v>54</v>
      </c>
      <c r="K3" s="60" t="s">
        <v>54</v>
      </c>
      <c r="L3" s="60" t="s">
        <v>54</v>
      </c>
      <c r="M3" s="60" t="s">
        <v>54</v>
      </c>
      <c r="N3" s="60" t="s">
        <v>54</v>
      </c>
      <c r="O3" s="208" t="s">
        <v>55</v>
      </c>
      <c r="P3" s="208" t="str">
        <f>[5]BS!K3</f>
        <v xml:space="preserve">Projected </v>
      </c>
      <c r="Q3" s="208" t="str">
        <f>[5]BS!L3</f>
        <v xml:space="preserve">Projected </v>
      </c>
      <c r="R3" s="208" t="str">
        <f>[5]BS!M3</f>
        <v xml:space="preserve">Projected </v>
      </c>
      <c r="S3" s="208" t="str">
        <f>[5]BS!N3</f>
        <v xml:space="preserve">Projected </v>
      </c>
      <c r="T3" s="208" t="str">
        <f>[5]BS!O3</f>
        <v xml:space="preserve">Projected </v>
      </c>
    </row>
    <row r="4" spans="1:78">
      <c r="I4" s="51"/>
      <c r="J4" s="59"/>
      <c r="K4" s="59"/>
      <c r="L4" s="59"/>
      <c r="M4" s="59"/>
      <c r="N4" s="59"/>
      <c r="O4" s="59"/>
      <c r="P4" s="59"/>
      <c r="Q4" s="59"/>
      <c r="R4" s="59"/>
      <c r="S4" s="59"/>
      <c r="T4" s="59"/>
    </row>
    <row r="5" spans="1:78" s="17" customFormat="1">
      <c r="E5" s="18"/>
      <c r="F5" s="19"/>
      <c r="G5" s="19"/>
      <c r="H5" s="20"/>
      <c r="I5" s="21"/>
      <c r="J5" s="22"/>
      <c r="K5" s="22"/>
      <c r="L5" s="22"/>
      <c r="M5" s="22"/>
      <c r="N5" s="22"/>
      <c r="O5" s="22"/>
      <c r="P5" s="22"/>
      <c r="Q5" s="22"/>
      <c r="R5" s="22"/>
      <c r="S5" s="22"/>
      <c r="T5" s="22"/>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row>
    <row r="6" spans="1:78">
      <c r="I6" s="51"/>
      <c r="J6" s="37"/>
      <c r="K6" s="37"/>
      <c r="L6" s="37"/>
      <c r="M6" s="37"/>
      <c r="N6" s="37"/>
      <c r="P6" s="37"/>
      <c r="S6" s="38"/>
    </row>
    <row r="7" spans="1:78">
      <c r="F7" s="38" t="s">
        <v>56</v>
      </c>
      <c r="I7" s="23" t="s">
        <v>57</v>
      </c>
      <c r="J7" s="57">
        <f>'S&amp;P input'!J12</f>
        <v>382760.01300000004</v>
      </c>
      <c r="K7" s="57">
        <f>'S&amp;P input'!K12</f>
        <v>1898018.9809999999</v>
      </c>
      <c r="L7" s="57">
        <f>'S&amp;P input'!L12</f>
        <v>2406203.1540000001</v>
      </c>
      <c r="M7" s="57">
        <f>'S&amp;P input'!M12</f>
        <v>2422035.0819999999</v>
      </c>
      <c r="N7" s="57">
        <f>'S&amp;P input'!N12</f>
        <v>2492865.7590000001</v>
      </c>
      <c r="O7" s="57">
        <f>'S&amp;P input'!O12</f>
        <v>2742152.3349000001</v>
      </c>
      <c r="P7" s="57">
        <f>'S&amp;P input'!P12</f>
        <v>3016367.5683900006</v>
      </c>
      <c r="Q7" s="57">
        <f>'S&amp;P input'!Q12</f>
        <v>3318004.3252290008</v>
      </c>
      <c r="R7" s="57">
        <f>'S&amp;P input'!R12</f>
        <v>3649804.7577519012</v>
      </c>
      <c r="S7" s="57">
        <f>'S&amp;P input'!S12</f>
        <v>4014785.2335270918</v>
      </c>
      <c r="T7" s="57">
        <f>'S&amp;P input'!T12</f>
        <v>4416263.7568798009</v>
      </c>
    </row>
    <row r="8" spans="1:78">
      <c r="F8" s="38" t="s">
        <v>58</v>
      </c>
      <c r="I8" s="23" t="s">
        <v>57</v>
      </c>
      <c r="J8" s="55">
        <f t="shared" ref="J8:T8" si="0">J10-J7</f>
        <v>-276917.86</v>
      </c>
      <c r="K8" s="55">
        <f t="shared" si="0"/>
        <v>-1541871.6</v>
      </c>
      <c r="L8" s="55">
        <f t="shared" si="0"/>
        <v>-1992515.9990000001</v>
      </c>
      <c r="M8" s="55">
        <f t="shared" si="0"/>
        <v>-1859089.3020000001</v>
      </c>
      <c r="N8" s="55">
        <f t="shared" si="0"/>
        <v>-1879435.8730000001</v>
      </c>
      <c r="O8" s="55">
        <f t="shared" si="0"/>
        <v>-2130876.4564655512</v>
      </c>
      <c r="P8" s="55">
        <f t="shared" si="0"/>
        <v>-2376302.7352409549</v>
      </c>
      <c r="Q8" s="55">
        <f t="shared" si="0"/>
        <v>-2597637.8954287469</v>
      </c>
      <c r="R8" s="55">
        <f t="shared" si="0"/>
        <v>-2824419.8126169359</v>
      </c>
      <c r="S8" s="55">
        <f t="shared" si="0"/>
        <v>-3111905.8151379144</v>
      </c>
      <c r="T8" s="55">
        <f t="shared" si="0"/>
        <v>-3441808.617060496</v>
      </c>
    </row>
    <row r="9" spans="1:78">
      <c r="F9" s="53"/>
      <c r="G9" s="53"/>
      <c r="H9" s="53"/>
      <c r="I9" s="24"/>
      <c r="J9" s="52"/>
      <c r="K9" s="52"/>
      <c r="L9" s="52"/>
      <c r="M9" s="52"/>
      <c r="N9" s="52"/>
      <c r="O9" s="52"/>
      <c r="P9" s="52"/>
      <c r="Q9" s="52"/>
      <c r="R9" s="52"/>
      <c r="S9" s="52"/>
      <c r="T9" s="52"/>
    </row>
    <row r="10" spans="1:78">
      <c r="F10" s="38" t="s">
        <v>59</v>
      </c>
      <c r="I10" s="23" t="s">
        <v>57</v>
      </c>
      <c r="J10" s="57">
        <f>'S&amp;P input'!J16</f>
        <v>105842.15300000005</v>
      </c>
      <c r="K10" s="57">
        <f>'S&amp;P input'!K16</f>
        <v>356147.38099999982</v>
      </c>
      <c r="L10" s="57">
        <f>'S&amp;P input'!L16</f>
        <v>413687.15500000003</v>
      </c>
      <c r="M10" s="57">
        <f>'S&amp;P input'!M16</f>
        <v>562945.7799999998</v>
      </c>
      <c r="N10" s="57">
        <f>'S&amp;P input'!N16</f>
        <v>613429.88599999994</v>
      </c>
      <c r="O10" s="209">
        <f>'S&amp;P input'!O16</f>
        <v>611275.87843444885</v>
      </c>
      <c r="P10" s="209">
        <f>'S&amp;P input'!P16</f>
        <v>640064.83314904559</v>
      </c>
      <c r="Q10" s="209">
        <f>'S&amp;P input'!Q16</f>
        <v>720366.42980025406</v>
      </c>
      <c r="R10" s="209">
        <f>'S&amp;P input'!R16</f>
        <v>825384.94513496524</v>
      </c>
      <c r="S10" s="209">
        <f>'S&amp;P input'!S16</f>
        <v>902879.41838917718</v>
      </c>
      <c r="T10" s="209">
        <f>'S&amp;P input'!T16</f>
        <v>974455.13981930481</v>
      </c>
    </row>
    <row r="11" spans="1:78">
      <c r="F11" s="39" t="s">
        <v>60</v>
      </c>
      <c r="I11" s="25" t="s">
        <v>61</v>
      </c>
      <c r="J11" s="54">
        <f t="shared" ref="J11:T11" si="1">+J10/J7</f>
        <v>0.27652353800082047</v>
      </c>
      <c r="K11" s="54">
        <f t="shared" si="1"/>
        <v>0.18764163296847441</v>
      </c>
      <c r="L11" s="54">
        <f t="shared" si="1"/>
        <v>0.17192528166721871</v>
      </c>
      <c r="M11" s="54">
        <f t="shared" si="1"/>
        <v>0.23242676548481134</v>
      </c>
      <c r="N11" s="54">
        <f t="shared" si="1"/>
        <v>0.24607417538843893</v>
      </c>
      <c r="O11" s="54">
        <f t="shared" si="1"/>
        <v>0.2229182787019528</v>
      </c>
      <c r="P11" s="44">
        <f t="shared" si="1"/>
        <v>0.21219722684217926</v>
      </c>
      <c r="Q11" s="54">
        <f t="shared" si="1"/>
        <v>0.21710834561692022</v>
      </c>
      <c r="R11" s="44">
        <f t="shared" si="1"/>
        <v>0.2261449584068605</v>
      </c>
      <c r="S11" s="54">
        <f t="shared" si="1"/>
        <v>0.22488859699127031</v>
      </c>
      <c r="T11" s="44">
        <f t="shared" si="1"/>
        <v>0.22065148131183662</v>
      </c>
    </row>
    <row r="12" spans="1:78">
      <c r="F12" s="39"/>
      <c r="I12" s="25"/>
      <c r="Q12" s="38"/>
      <c r="R12" s="38"/>
      <c r="S12" s="38"/>
      <c r="T12" s="38"/>
    </row>
    <row r="13" spans="1:78">
      <c r="F13" s="53" t="s">
        <v>62</v>
      </c>
      <c r="G13" s="53"/>
      <c r="H13" s="53"/>
      <c r="I13" s="24" t="s">
        <v>57</v>
      </c>
      <c r="J13" s="214">
        <f>'S&amp;P input'!J19</f>
        <v>-90283.525999999998</v>
      </c>
      <c r="K13" s="214">
        <f>'S&amp;P input'!K19</f>
        <v>-239408.52100000001</v>
      </c>
      <c r="L13" s="214">
        <f>'S&amp;P input'!L19</f>
        <v>-266840.54100000003</v>
      </c>
      <c r="M13" s="214">
        <f>'S&amp;P input'!M19</f>
        <v>-264066.38400000002</v>
      </c>
      <c r="N13" s="214">
        <f>'S&amp;P input'!N19</f>
        <v>-283772.47700000001</v>
      </c>
      <c r="O13" s="52">
        <f>'S&amp;P input'!O19</f>
        <v>-381580.61193470442</v>
      </c>
      <c r="P13" s="52">
        <f>'S&amp;P input'!P19</f>
        <v>-361389.25521071203</v>
      </c>
      <c r="Q13" s="52">
        <f>'S&amp;P input'!Q19</f>
        <v>-393329.85857987689</v>
      </c>
      <c r="R13" s="52">
        <f>'S&amp;P input'!R19</f>
        <v>-438244.98530493712</v>
      </c>
      <c r="S13" s="52">
        <f>'S&amp;P input'!S19</f>
        <v>-490939.6594538822</v>
      </c>
      <c r="T13" s="52">
        <f>'S&amp;P input'!T19</f>
        <v>-547496.2998538051</v>
      </c>
    </row>
    <row r="14" spans="1:78">
      <c r="F14" s="40" t="s">
        <v>63</v>
      </c>
      <c r="I14" s="26" t="s">
        <v>57</v>
      </c>
      <c r="J14" s="27">
        <f>+J10+J13-J17</f>
        <v>36066.535000000047</v>
      </c>
      <c r="K14" s="27">
        <f t="shared" ref="K14:N14" si="2">+K10+K13-K17</f>
        <v>148993.0319999998</v>
      </c>
      <c r="L14" s="27">
        <f t="shared" si="2"/>
        <v>185528.861</v>
      </c>
      <c r="M14" s="27">
        <f t="shared" si="2"/>
        <v>343583.32599999977</v>
      </c>
      <c r="N14" s="27">
        <f t="shared" si="2"/>
        <v>379346.48299999995</v>
      </c>
      <c r="O14" s="210">
        <f>+O10+O13-O17</f>
        <v>279849.92051388841</v>
      </c>
      <c r="P14" s="210">
        <f t="shared" ref="P14:T14" si="3">+P10+P13-P17</f>
        <v>335011.94532088516</v>
      </c>
      <c r="Q14" s="210">
        <f t="shared" si="3"/>
        <v>390172.25887658715</v>
      </c>
      <c r="R14" s="210">
        <f t="shared" si="3"/>
        <v>457754.33422680921</v>
      </c>
      <c r="S14" s="210">
        <f t="shared" si="3"/>
        <v>490780.12205513025</v>
      </c>
      <c r="T14" s="210">
        <f t="shared" si="3"/>
        <v>514847.22285573737</v>
      </c>
    </row>
    <row r="15" spans="1:78">
      <c r="F15" s="39" t="s">
        <v>64</v>
      </c>
      <c r="I15" s="25" t="s">
        <v>61</v>
      </c>
      <c r="J15" s="44">
        <f t="shared" ref="J15:Q15" si="4">+J14/J7</f>
        <v>9.42275414751855E-2</v>
      </c>
      <c r="K15" s="44">
        <f t="shared" si="4"/>
        <v>7.8499231826175186E-2</v>
      </c>
      <c r="L15" s="44">
        <f t="shared" si="4"/>
        <v>7.7104404377320496E-2</v>
      </c>
      <c r="M15" s="44">
        <f t="shared" si="4"/>
        <v>0.1418572871026646</v>
      </c>
      <c r="N15" s="44">
        <f t="shared" si="4"/>
        <v>0.15217284830939826</v>
      </c>
      <c r="O15" s="54">
        <f t="shared" si="4"/>
        <v>0.10205484099193704</v>
      </c>
      <c r="P15" s="44">
        <f t="shared" si="4"/>
        <v>0.1110646954408475</v>
      </c>
      <c r="Q15" s="54">
        <f t="shared" si="4"/>
        <v>0.11759245035030459</v>
      </c>
      <c r="R15" s="44">
        <f>R14/R7</f>
        <v>0.12541885514686085</v>
      </c>
      <c r="S15" s="54">
        <f>S14/S7</f>
        <v>0.12224318201548413</v>
      </c>
      <c r="T15" s="44">
        <f>+T14/T7</f>
        <v>0.11657981751060303</v>
      </c>
    </row>
    <row r="16" spans="1:78">
      <c r="I16" s="23"/>
      <c r="Q16" s="38"/>
      <c r="R16" s="38"/>
      <c r="S16" s="38"/>
      <c r="T16" s="38"/>
    </row>
    <row r="17" spans="6:20">
      <c r="F17" s="53" t="s">
        <v>65</v>
      </c>
      <c r="G17" s="53"/>
      <c r="H17" s="53"/>
      <c r="I17" s="24" t="s">
        <v>57</v>
      </c>
      <c r="J17" s="52">
        <f>-IS_hist!G13</f>
        <v>-20507.907999999999</v>
      </c>
      <c r="K17" s="52">
        <f>-IS_hist!H13</f>
        <v>-32254.172000000002</v>
      </c>
      <c r="L17" s="52">
        <f>-IS_hist!I13</f>
        <v>-38682.247000000003</v>
      </c>
      <c r="M17" s="52">
        <f>-IS_hist!J13</f>
        <v>-44703.93</v>
      </c>
      <c r="N17" s="52">
        <f>-IS_hist!K13</f>
        <v>-49689.074000000001</v>
      </c>
      <c r="O17" s="52">
        <f>-('Fixed&amp;Intangible Assets'!P24+'Fixed&amp;Intangible Assets'!P52)</f>
        <v>-50154.654014143969</v>
      </c>
      <c r="P17" s="52">
        <f>-('Fixed&amp;Intangible Assets'!Q24+'Fixed&amp;Intangible Assets'!Q52)</f>
        <v>-56336.367382551573</v>
      </c>
      <c r="Q17" s="52">
        <f>-('Fixed&amp;Intangible Assets'!R24+'Fixed&amp;Intangible Assets'!R52)</f>
        <v>-63135.687656209986</v>
      </c>
      <c r="R17" s="52">
        <f>-('Fixed&amp;Intangible Assets'!S24+'Fixed&amp;Intangible Assets'!S52)</f>
        <v>-70614.374396781088</v>
      </c>
      <c r="S17" s="52">
        <f>-('Fixed&amp;Intangible Assets'!T24+'Fixed&amp;Intangible Assets'!T52)</f>
        <v>-78840.363119835267</v>
      </c>
      <c r="T17" s="52">
        <f>-('Fixed&amp;Intangible Assets'!U24+'Fixed&amp;Intangible Assets'!U52)</f>
        <v>-87888.38289023767</v>
      </c>
    </row>
    <row r="18" spans="6:20">
      <c r="F18" s="40" t="s">
        <v>66</v>
      </c>
      <c r="I18" s="23" t="s">
        <v>57</v>
      </c>
      <c r="J18" s="56">
        <f>+J14+J17</f>
        <v>15558.627000000048</v>
      </c>
      <c r="K18" s="56">
        <f t="shared" ref="K18:N18" si="5">+K14+K17</f>
        <v>116738.8599999998</v>
      </c>
      <c r="L18" s="56">
        <f t="shared" si="5"/>
        <v>146846.614</v>
      </c>
      <c r="M18" s="56">
        <f t="shared" si="5"/>
        <v>298879.39599999978</v>
      </c>
      <c r="N18" s="56">
        <f t="shared" si="5"/>
        <v>329657.40899999993</v>
      </c>
      <c r="O18" s="211">
        <f t="shared" ref="O18:T18" si="6">+O14+O17</f>
        <v>229695.26649974444</v>
      </c>
      <c r="P18" s="211">
        <f t="shared" si="6"/>
        <v>278675.57793833362</v>
      </c>
      <c r="Q18" s="211">
        <f t="shared" si="6"/>
        <v>327036.57122037717</v>
      </c>
      <c r="R18" s="211">
        <f t="shared" si="6"/>
        <v>387139.95983002812</v>
      </c>
      <c r="S18" s="211">
        <f t="shared" si="6"/>
        <v>411939.75893529499</v>
      </c>
      <c r="T18" s="211">
        <f t="shared" si="6"/>
        <v>426958.8399654997</v>
      </c>
    </row>
    <row r="19" spans="6:20">
      <c r="F19" s="39" t="s">
        <v>67</v>
      </c>
      <c r="I19" s="25" t="s">
        <v>61</v>
      </c>
      <c r="J19" s="44">
        <f t="shared" ref="J19:T19" si="7">+J18/J7</f>
        <v>4.0648517273407153E-2</v>
      </c>
      <c r="K19" s="44">
        <f t="shared" si="7"/>
        <v>6.1505633594082482E-2</v>
      </c>
      <c r="L19" s="44">
        <f t="shared" si="7"/>
        <v>6.1028352388237291E-2</v>
      </c>
      <c r="M19" s="44">
        <f t="shared" si="7"/>
        <v>0.12340011018882499</v>
      </c>
      <c r="N19" s="44">
        <f t="shared" si="7"/>
        <v>0.13224033737470092</v>
      </c>
      <c r="O19" s="54">
        <f t="shared" si="7"/>
        <v>8.3764590163850572E-2</v>
      </c>
      <c r="P19" s="44">
        <f t="shared" si="7"/>
        <v>9.2387804741939306E-2</v>
      </c>
      <c r="Q19" s="54">
        <f t="shared" si="7"/>
        <v>9.8564238971510648E-2</v>
      </c>
      <c r="R19" s="44">
        <f t="shared" si="7"/>
        <v>0.10607141628816527</v>
      </c>
      <c r="S19" s="54">
        <f t="shared" si="7"/>
        <v>0.10260567750803332</v>
      </c>
      <c r="T19" s="44">
        <f t="shared" si="7"/>
        <v>9.6678745534699823E-2</v>
      </c>
    </row>
    <row r="20" spans="6:20">
      <c r="F20" s="38" t="s">
        <v>68</v>
      </c>
      <c r="I20" s="23" t="s">
        <v>57</v>
      </c>
      <c r="J20" s="55">
        <f>IS_hist!G19</f>
        <v>-28374.473000000002</v>
      </c>
      <c r="K20" s="55">
        <f>IS_hist!H19</f>
        <v>-62267.094000000005</v>
      </c>
      <c r="L20" s="55">
        <f>IS_hist!I19</f>
        <v>-108359.83</v>
      </c>
      <c r="M20" s="55">
        <f>IS_hist!J19</f>
        <v>-141876.391</v>
      </c>
      <c r="N20" s="55">
        <f>IS_hist!K19</f>
        <v>-142925.34900000002</v>
      </c>
      <c r="O20" s="55">
        <f>Debt!K33</f>
        <v>-7260.4302950000001</v>
      </c>
      <c r="P20" s="55">
        <f>Debt!L33</f>
        <v>-9371.3481430000011</v>
      </c>
      <c r="Q20" s="55">
        <f>Debt!M33</f>
        <v>-11304.082421400002</v>
      </c>
      <c r="R20" s="55">
        <f>Debt!N33</f>
        <v>-13094.269844120001</v>
      </c>
      <c r="S20" s="55">
        <f>Debt!O33</f>
        <v>-14770.419782296001</v>
      </c>
      <c r="T20" s="55">
        <f>Debt!P33</f>
        <v>-16355.339732836801</v>
      </c>
    </row>
    <row r="21" spans="6:20">
      <c r="F21" s="38" t="s">
        <v>238</v>
      </c>
      <c r="I21" s="23" t="s">
        <v>57</v>
      </c>
      <c r="J21" s="55">
        <f>IS_hist!G15+IS_hist!G20+IS_hist!G22</f>
        <v>-87704.790000000008</v>
      </c>
      <c r="K21" s="55">
        <f>IS_hist!H15+IS_hist!H20+IS_hist!H22</f>
        <v>-64708.469000000012</v>
      </c>
      <c r="L21" s="55">
        <f>IS_hist!I15+IS_hist!I20+IS_hist!I22</f>
        <v>57782.51400000001</v>
      </c>
      <c r="M21" s="55">
        <f>IS_hist!J15+IS_hist!J20+IS_hist!J22</f>
        <v>-199014.95699999999</v>
      </c>
      <c r="N21" s="55">
        <f>IS_hist!K15+IS_hist!K20+IS_hist!K22</f>
        <v>18784.915000000001</v>
      </c>
      <c r="O21" s="55">
        <f>Debt!K34</f>
        <v>0</v>
      </c>
      <c r="P21" s="55">
        <f>Debt!L34</f>
        <v>0</v>
      </c>
      <c r="Q21" s="55">
        <f>Debt!M34</f>
        <v>0</v>
      </c>
      <c r="R21" s="55">
        <f>Debt!N34</f>
        <v>0</v>
      </c>
      <c r="S21" s="55">
        <f>Debt!O34</f>
        <v>0</v>
      </c>
      <c r="T21" s="55">
        <f>Debt!P34</f>
        <v>0</v>
      </c>
    </row>
    <row r="22" spans="6:20">
      <c r="I22" s="23"/>
      <c r="J22" s="55"/>
      <c r="K22" s="55"/>
      <c r="L22" s="55"/>
      <c r="M22" s="55"/>
      <c r="N22" s="55"/>
      <c r="O22" s="55"/>
      <c r="P22" s="55"/>
      <c r="Q22" s="55"/>
      <c r="R22" s="55"/>
      <c r="S22" s="55"/>
      <c r="T22" s="55"/>
    </row>
    <row r="23" spans="6:20">
      <c r="F23" s="40" t="s">
        <v>69</v>
      </c>
      <c r="I23" s="23" t="s">
        <v>57</v>
      </c>
      <c r="J23" s="55">
        <f t="shared" ref="J23:M23" si="8">J18+J20+J21</f>
        <v>-100520.63599999997</v>
      </c>
      <c r="K23" s="55">
        <f t="shared" si="8"/>
        <v>-10236.70300000022</v>
      </c>
      <c r="L23" s="55">
        <f t="shared" si="8"/>
        <v>96269.29800000001</v>
      </c>
      <c r="M23" s="55">
        <f t="shared" si="8"/>
        <v>-42011.952000000223</v>
      </c>
      <c r="N23" s="55">
        <f>N18+N20+N21</f>
        <v>205516.97499999992</v>
      </c>
      <c r="O23" s="212">
        <f>O18+O20+O21</f>
        <v>222434.83620474444</v>
      </c>
      <c r="P23" s="212">
        <f t="shared" ref="P23:T23" si="9">P18+P20+P21</f>
        <v>269304.22979533364</v>
      </c>
      <c r="Q23" s="212">
        <f t="shared" si="9"/>
        <v>315732.48879897717</v>
      </c>
      <c r="R23" s="212">
        <f t="shared" si="9"/>
        <v>374045.6899859081</v>
      </c>
      <c r="S23" s="212">
        <f t="shared" si="9"/>
        <v>397169.33915299899</v>
      </c>
      <c r="T23" s="212">
        <f t="shared" si="9"/>
        <v>410603.50023266289</v>
      </c>
    </row>
    <row r="24" spans="6:20">
      <c r="F24" s="39" t="s">
        <v>70</v>
      </c>
      <c r="I24" s="25" t="s">
        <v>61</v>
      </c>
      <c r="J24" s="44">
        <f t="shared" ref="J24:T24" si="10">J23/J7</f>
        <v>-0.26262052614153286</v>
      </c>
      <c r="K24" s="44">
        <f t="shared" si="10"/>
        <v>-5.3933617642784887E-3</v>
      </c>
      <c r="L24" s="44">
        <f t="shared" si="10"/>
        <v>4.0008798858053529E-2</v>
      </c>
      <c r="M24" s="44">
        <f t="shared" si="10"/>
        <v>-1.7345723979071671E-2</v>
      </c>
      <c r="N24" s="44">
        <f t="shared" si="10"/>
        <v>8.2442054594404623E-2</v>
      </c>
      <c r="O24" s="54">
        <f t="shared" si="10"/>
        <v>8.111687792606026E-2</v>
      </c>
      <c r="P24" s="44">
        <f t="shared" si="10"/>
        <v>8.9280972457569538E-2</v>
      </c>
      <c r="Q24" s="54">
        <f t="shared" si="10"/>
        <v>9.5157346962525757E-2</v>
      </c>
      <c r="R24" s="44">
        <f t="shared" si="10"/>
        <v>0.1024837531902122</v>
      </c>
      <c r="S24" s="54">
        <f t="shared" si="10"/>
        <v>9.892667130392814E-2</v>
      </c>
      <c r="T24" s="44">
        <f t="shared" si="10"/>
        <v>9.2975311900927851E-2</v>
      </c>
    </row>
    <row r="25" spans="6:20">
      <c r="F25" s="39"/>
      <c r="I25" s="25"/>
      <c r="J25" s="44"/>
      <c r="K25" s="44"/>
      <c r="L25" s="44"/>
      <c r="M25" s="44"/>
      <c r="N25" s="44"/>
      <c r="O25" s="54"/>
      <c r="P25" s="44"/>
      <c r="Q25" s="54"/>
      <c r="R25" s="44"/>
      <c r="S25" s="54"/>
      <c r="T25" s="44"/>
    </row>
    <row r="26" spans="6:20">
      <c r="F26" s="53" t="s">
        <v>71</v>
      </c>
      <c r="G26" s="53"/>
      <c r="H26" s="53"/>
      <c r="I26" s="24" t="s">
        <v>57</v>
      </c>
      <c r="J26" s="52">
        <f>SUM(IS_hist!G24:G25)</f>
        <v>15363.141000000001</v>
      </c>
      <c r="K26" s="52">
        <f>SUM(IS_hist!H24:H25)</f>
        <v>-6663.6350000000002</v>
      </c>
      <c r="L26" s="52">
        <f>SUM(IS_hist!I24:I25)</f>
        <v>-29590.373</v>
      </c>
      <c r="M26" s="52">
        <f>SUM(IS_hist!J24:J25)</f>
        <v>8520.7949999999983</v>
      </c>
      <c r="N26" s="52">
        <f>SUM(IS_hist!K24:K25)</f>
        <v>-46593.957000000002</v>
      </c>
      <c r="O26" s="52">
        <f>-Tax!K10</f>
        <v>-48935.663965043779</v>
      </c>
      <c r="P26" s="52">
        <f>-Tax!L10</f>
        <v>-59246.930554973398</v>
      </c>
      <c r="Q26" s="52">
        <f>-Tax!M10</f>
        <v>-69461.147535774973</v>
      </c>
      <c r="R26" s="52">
        <f>-Tax!N10</f>
        <v>-82290.051796899788</v>
      </c>
      <c r="S26" s="52">
        <f>-Tax!O10</f>
        <v>-87377.254613659781</v>
      </c>
      <c r="T26" s="52">
        <f>-Tax!P10</f>
        <v>-90332.770051185842</v>
      </c>
    </row>
    <row r="27" spans="6:20">
      <c r="I27" s="51"/>
      <c r="Q27" s="38"/>
      <c r="R27" s="38"/>
      <c r="S27" s="38"/>
      <c r="T27" s="38"/>
    </row>
    <row r="28" spans="6:20">
      <c r="F28" s="40" t="s">
        <v>72</v>
      </c>
      <c r="I28" s="23" t="s">
        <v>57</v>
      </c>
      <c r="J28" s="50">
        <f t="shared" ref="J28:M28" si="11">J23+J26</f>
        <v>-85157.494999999966</v>
      </c>
      <c r="K28" s="50">
        <f t="shared" si="11"/>
        <v>-16900.338000000222</v>
      </c>
      <c r="L28" s="50">
        <f t="shared" si="11"/>
        <v>66678.925000000017</v>
      </c>
      <c r="M28" s="50">
        <f t="shared" si="11"/>
        <v>-33491.157000000225</v>
      </c>
      <c r="N28" s="50">
        <f>N23+N26</f>
        <v>158923.01799999992</v>
      </c>
      <c r="O28" s="213">
        <f t="shared" ref="O28:T28" si="12">O23+O26</f>
        <v>173499.17223970065</v>
      </c>
      <c r="P28" s="213">
        <f t="shared" si="12"/>
        <v>210057.29924036024</v>
      </c>
      <c r="Q28" s="213">
        <f t="shared" si="12"/>
        <v>246271.34126320219</v>
      </c>
      <c r="R28" s="213">
        <f t="shared" si="12"/>
        <v>291755.63818900834</v>
      </c>
      <c r="S28" s="213">
        <f t="shared" si="12"/>
        <v>309792.08453933918</v>
      </c>
      <c r="T28" s="213">
        <f t="shared" si="12"/>
        <v>320270.73018147703</v>
      </c>
    </row>
    <row r="29" spans="6:20">
      <c r="F29" s="49" t="s">
        <v>73</v>
      </c>
      <c r="G29" s="48"/>
      <c r="H29" s="48"/>
      <c r="I29" s="28"/>
      <c r="J29" s="46">
        <f t="shared" ref="J29:T29" si="13">+J28/J7</f>
        <v>-0.22248273619950984</v>
      </c>
      <c r="K29" s="46">
        <f t="shared" si="13"/>
        <v>-8.9041986245553904E-3</v>
      </c>
      <c r="L29" s="46">
        <f t="shared" si="13"/>
        <v>2.7711261573718317E-2</v>
      </c>
      <c r="M29" s="46">
        <f t="shared" si="13"/>
        <v>-1.3827692773279254E-2</v>
      </c>
      <c r="N29" s="46">
        <f t="shared" si="13"/>
        <v>6.3751133580394262E-2</v>
      </c>
      <c r="O29" s="47">
        <f t="shared" si="13"/>
        <v>6.3271164782327E-2</v>
      </c>
      <c r="P29" s="46">
        <f t="shared" si="13"/>
        <v>6.9639158516904234E-2</v>
      </c>
      <c r="Q29" s="47">
        <f t="shared" si="13"/>
        <v>7.422273063077009E-2</v>
      </c>
      <c r="R29" s="46">
        <f t="shared" si="13"/>
        <v>7.9937327488365531E-2</v>
      </c>
      <c r="S29" s="47">
        <f t="shared" si="13"/>
        <v>7.7162803617063944E-2</v>
      </c>
      <c r="T29" s="46">
        <f t="shared" si="13"/>
        <v>7.2520743282723718E-2</v>
      </c>
    </row>
    <row r="30" spans="6:20">
      <c r="F30" s="45"/>
      <c r="G30" s="37"/>
      <c r="H30" s="37"/>
      <c r="I30" s="29"/>
      <c r="J30" s="44"/>
      <c r="K30" s="44"/>
      <c r="L30" s="44"/>
      <c r="M30" s="44"/>
      <c r="N30" s="44"/>
      <c r="O30" s="44"/>
      <c r="P30" s="44"/>
      <c r="Q30" s="44"/>
      <c r="R30" s="44"/>
      <c r="S30" s="44"/>
      <c r="T30" s="44"/>
    </row>
    <row r="31" spans="6:20" ht="16.2" thickBot="1">
      <c r="Q31" s="38"/>
      <c r="R31" s="38"/>
      <c r="S31" s="38"/>
      <c r="T31" s="38"/>
    </row>
    <row r="32" spans="6:20" ht="16.2" thickBot="1">
      <c r="F32" s="38" t="s">
        <v>74</v>
      </c>
      <c r="I32" s="43"/>
      <c r="O32" s="206"/>
      <c r="P32" s="206"/>
      <c r="Q32" s="206"/>
      <c r="R32" s="206"/>
      <c r="S32" s="206"/>
      <c r="T32" s="206"/>
    </row>
    <row r="33" spans="6:20">
      <c r="F33" s="40"/>
      <c r="Q33" s="38"/>
      <c r="R33" s="38"/>
      <c r="S33" s="38"/>
      <c r="T33" s="38"/>
    </row>
    <row r="34" spans="6:20">
      <c r="F34" s="42" t="s">
        <v>75</v>
      </c>
      <c r="G34" s="42"/>
      <c r="H34" s="42"/>
      <c r="I34" s="42"/>
      <c r="J34" s="42">
        <v>0</v>
      </c>
      <c r="K34" s="42">
        <v>0</v>
      </c>
      <c r="L34" s="42">
        <v>0</v>
      </c>
      <c r="M34" s="42">
        <v>0</v>
      </c>
      <c r="N34" s="42">
        <v>0</v>
      </c>
      <c r="O34" s="41">
        <f>IF(O28&lt;0,0,O28*I32)</f>
        <v>0</v>
      </c>
      <c r="P34" s="41">
        <f>IF(P28&lt;0,0,P28*N32)</f>
        <v>0</v>
      </c>
      <c r="Q34" s="41">
        <f>IF(Q28&lt;0,0,Q28*O32)</f>
        <v>0</v>
      </c>
      <c r="R34" s="41">
        <f>IF(R28&lt;0,0,R28*P32)</f>
        <v>0</v>
      </c>
      <c r="S34" s="41">
        <f>IF(S28&lt;0,0,S28*Q32)</f>
        <v>0</v>
      </c>
      <c r="T34" s="41">
        <f>IF(T28&lt;0,0,T28*R32)</f>
        <v>0</v>
      </c>
    </row>
    <row r="37" spans="6:20">
      <c r="F37" s="40"/>
    </row>
    <row r="38" spans="6:20">
      <c r="F38" s="39"/>
    </row>
  </sheetData>
  <phoneticPr fontId="37"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DH44"/>
  <sheetViews>
    <sheetView showGridLines="0" zoomScale="70" zoomScaleNormal="70" workbookViewId="0">
      <pane ySplit="3" topLeftCell="A19" activePane="bottomLeft" state="frozen"/>
      <selection pane="bottomLeft" activeCell="M34" sqref="M34"/>
    </sheetView>
  </sheetViews>
  <sheetFormatPr defaultColWidth="10" defaultRowHeight="15.6"/>
  <cols>
    <col min="1" max="4" width="0.77734375" style="38" customWidth="1"/>
    <col min="5" max="5" width="3.44140625" style="38" customWidth="1"/>
    <col min="6" max="6" width="37.44140625" style="38" bestFit="1" customWidth="1"/>
    <col min="7" max="7" width="2.33203125" style="38" customWidth="1"/>
    <col min="8" max="8" width="8" style="38" customWidth="1"/>
    <col min="9" max="9" width="9.5546875" style="38" customWidth="1"/>
    <col min="10" max="10" width="2.44140625" style="38" customWidth="1"/>
    <col min="11" max="11" width="12.6640625" style="38" customWidth="1"/>
    <col min="12" max="16" width="12.6640625" style="38" bestFit="1" customWidth="1"/>
    <col min="17" max="16384" width="10" style="38"/>
  </cols>
  <sheetData>
    <row r="1" spans="1:112" ht="18" customHeight="1">
      <c r="E1" s="40"/>
    </row>
    <row r="2" spans="1:112" s="115" customFormat="1">
      <c r="A2" s="93"/>
      <c r="B2" s="93"/>
      <c r="C2" s="93"/>
      <c r="D2" s="93"/>
      <c r="E2" s="117"/>
      <c r="F2" s="64" t="s">
        <v>76</v>
      </c>
      <c r="G2" s="64"/>
      <c r="H2" s="64"/>
      <c r="I2" s="63" t="s">
        <v>53</v>
      </c>
      <c r="J2" s="116"/>
      <c r="K2" s="81">
        <v>2020</v>
      </c>
      <c r="L2" s="81">
        <f>+K2+1</f>
        <v>2021</v>
      </c>
      <c r="M2" s="81">
        <f>+L2+1</f>
        <v>2022</v>
      </c>
      <c r="N2" s="81">
        <f>+M2+1</f>
        <v>2023</v>
      </c>
      <c r="O2" s="81">
        <f>+N2+1</f>
        <v>2024</v>
      </c>
      <c r="P2" s="81">
        <f>+O2+1</f>
        <v>2025</v>
      </c>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row>
    <row r="3" spans="1:112">
      <c r="A3" s="53"/>
      <c r="B3" s="53"/>
      <c r="C3" s="53"/>
      <c r="D3" s="53"/>
      <c r="E3" s="53"/>
      <c r="F3" s="53"/>
      <c r="G3" s="53"/>
      <c r="H3" s="53"/>
      <c r="I3" s="61"/>
      <c r="J3" s="80"/>
      <c r="K3" s="208" t="str">
        <f>[5]BS!L3</f>
        <v xml:space="preserve">Projected </v>
      </c>
      <c r="L3" s="208" t="str">
        <f>[5]BS!M3</f>
        <v xml:space="preserve">Projected </v>
      </c>
      <c r="M3" s="208" t="str">
        <f>[5]BS!N3</f>
        <v xml:space="preserve">Projected </v>
      </c>
      <c r="N3" s="208" t="str">
        <f>[5]BS!O3</f>
        <v xml:space="preserve">Projected </v>
      </c>
      <c r="O3" s="208" t="str">
        <f>[5]BS!P3</f>
        <v xml:space="preserve">Projected </v>
      </c>
      <c r="P3" s="208" t="str">
        <f>O3</f>
        <v xml:space="preserve">Projected </v>
      </c>
    </row>
    <row r="4" spans="1:112">
      <c r="I4" s="51"/>
      <c r="J4" s="114"/>
      <c r="K4" s="114"/>
      <c r="L4" s="114"/>
      <c r="M4" s="114"/>
      <c r="N4" s="114"/>
      <c r="O4" s="114"/>
      <c r="P4" s="114"/>
    </row>
    <row r="5" spans="1:112" s="113" customFormat="1">
      <c r="A5" s="30"/>
      <c r="B5" s="30"/>
      <c r="C5" s="30"/>
      <c r="D5" s="30"/>
      <c r="E5" s="31"/>
      <c r="F5" s="31"/>
      <c r="G5" s="31"/>
      <c r="H5" s="32"/>
      <c r="I5" s="21"/>
      <c r="J5" s="22"/>
      <c r="K5" s="33"/>
      <c r="L5" s="33"/>
      <c r="M5" s="33"/>
      <c r="N5" s="33"/>
      <c r="O5" s="33"/>
      <c r="P5" s="33"/>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row>
    <row r="6" spans="1:112" s="113" customFormat="1">
      <c r="A6" s="30"/>
      <c r="B6" s="30"/>
      <c r="C6" s="30"/>
      <c r="D6" s="30"/>
      <c r="E6" s="18"/>
      <c r="F6" s="18"/>
      <c r="G6" s="18"/>
      <c r="H6" s="34"/>
      <c r="I6" s="35"/>
      <c r="J6" s="36"/>
      <c r="K6" s="17"/>
      <c r="L6" s="17"/>
      <c r="M6" s="17"/>
      <c r="N6" s="17"/>
      <c r="O6" s="17"/>
      <c r="P6" s="17"/>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row>
    <row r="7" spans="1:112">
      <c r="F7" s="112" t="s">
        <v>56</v>
      </c>
      <c r="G7" s="93"/>
      <c r="H7" s="93"/>
      <c r="I7" s="424" t="s">
        <v>77</v>
      </c>
      <c r="J7" s="93"/>
      <c r="K7" s="111">
        <f>IS!O7</f>
        <v>2742152.3349000001</v>
      </c>
      <c r="L7" s="111">
        <f>IS!P7</f>
        <v>3016367.5683900006</v>
      </c>
      <c r="M7" s="111">
        <f>IS!Q7</f>
        <v>3318004.3252290008</v>
      </c>
      <c r="N7" s="111">
        <f>IS!R7</f>
        <v>3649804.7577519012</v>
      </c>
      <c r="O7" s="111">
        <f>IS!S7</f>
        <v>4014785.2335270918</v>
      </c>
      <c r="P7" s="111">
        <f>IS!T7</f>
        <v>4416263.7568798009</v>
      </c>
    </row>
    <row r="8" spans="1:112">
      <c r="F8" s="39" t="s">
        <v>78</v>
      </c>
      <c r="I8" s="425"/>
      <c r="K8" s="55">
        <f>IS!O8+IS!O13</f>
        <v>-2512457.0684002554</v>
      </c>
      <c r="L8" s="55">
        <f>IS!P8+IS!P13</f>
        <v>-2737691.990451667</v>
      </c>
      <c r="M8" s="55">
        <f>IS!Q8+IS!Q13</f>
        <v>-2990967.7540086238</v>
      </c>
      <c r="N8" s="55">
        <f>IS!R8+IS!R13</f>
        <v>-3262664.7979218732</v>
      </c>
      <c r="O8" s="55">
        <f>IS!S8+IS!S13</f>
        <v>-3602845.4745917968</v>
      </c>
      <c r="P8" s="55">
        <f>IS!T8+IS!T13</f>
        <v>-3989304.916914301</v>
      </c>
    </row>
    <row r="9" spans="1:112">
      <c r="F9" s="40" t="s">
        <v>63</v>
      </c>
      <c r="I9" s="425"/>
      <c r="K9" s="110">
        <f>IS!O14</f>
        <v>279849.92051388841</v>
      </c>
      <c r="L9" s="110">
        <f>IS!P14</f>
        <v>335011.94532088516</v>
      </c>
      <c r="M9" s="110">
        <f>IS!Q14</f>
        <v>390172.25887658715</v>
      </c>
      <c r="N9" s="110">
        <f>IS!R14</f>
        <v>457754.33422680921</v>
      </c>
      <c r="O9" s="110">
        <f>IS!S14</f>
        <v>490780.12205513025</v>
      </c>
      <c r="P9" s="110">
        <f>IS!T14</f>
        <v>514847.22285573737</v>
      </c>
    </row>
    <row r="10" spans="1:112">
      <c r="F10" s="39" t="s">
        <v>79</v>
      </c>
      <c r="I10" s="425"/>
      <c r="K10" s="109">
        <f>K9/K7</f>
        <v>0.10205484099193704</v>
      </c>
      <c r="L10" s="109">
        <f t="shared" ref="L10:P10" si="0">L9/L7</f>
        <v>0.1110646954408475</v>
      </c>
      <c r="M10" s="109">
        <f t="shared" si="0"/>
        <v>0.11759245035030459</v>
      </c>
      <c r="N10" s="109">
        <f t="shared" si="0"/>
        <v>0.12541885514686085</v>
      </c>
      <c r="O10" s="109">
        <f t="shared" si="0"/>
        <v>0.12224318201548413</v>
      </c>
      <c r="P10" s="109">
        <f t="shared" si="0"/>
        <v>0.11657981751060303</v>
      </c>
    </row>
    <row r="11" spans="1:112">
      <c r="F11" s="108" t="s">
        <v>80</v>
      </c>
      <c r="G11" s="53"/>
      <c r="H11" s="53"/>
      <c r="I11" s="425"/>
      <c r="J11" s="53"/>
      <c r="K11" s="52">
        <f>IS!O26</f>
        <v>-48935.663965043779</v>
      </c>
      <c r="L11" s="52">
        <f>IS!P26</f>
        <v>-59246.930554973398</v>
      </c>
      <c r="M11" s="52">
        <f>IS!Q26</f>
        <v>-69461.147535774973</v>
      </c>
      <c r="N11" s="52">
        <f>IS!R26</f>
        <v>-82290.051796899788</v>
      </c>
      <c r="O11" s="52">
        <f>IS!S26</f>
        <v>-87377.254613659781</v>
      </c>
      <c r="P11" s="52">
        <f>IS!T26</f>
        <v>-90332.770051185842</v>
      </c>
    </row>
    <row r="12" spans="1:112">
      <c r="F12" s="107" t="s">
        <v>81</v>
      </c>
      <c r="I12" s="425"/>
      <c r="K12" s="106">
        <f>SUM(K13:K16)</f>
        <v>-92621.436027880292</v>
      </c>
      <c r="L12" s="106">
        <f t="shared" ref="L12:P12" si="1">SUM(L13:L16)</f>
        <v>-104066.6824049537</v>
      </c>
      <c r="M12" s="106">
        <f t="shared" si="1"/>
        <v>-117880.86171099864</v>
      </c>
      <c r="N12" s="106">
        <f t="shared" si="1"/>
        <v>-130838.10140482878</v>
      </c>
      <c r="O12" s="106">
        <f t="shared" si="1"/>
        <v>-141257.63698937435</v>
      </c>
      <c r="P12" s="106">
        <f t="shared" si="1"/>
        <v>-154425.74179436965</v>
      </c>
    </row>
    <row r="13" spans="1:112">
      <c r="F13" s="39" t="s">
        <v>82</v>
      </c>
      <c r="I13" s="425"/>
      <c r="K13" s="105">
        <f>BS!K6-BS!L6</f>
        <v>-44703.897800000093</v>
      </c>
      <c r="L13" s="105">
        <f>BS!L6-BS!M6</f>
        <v>-49174.287580000062</v>
      </c>
      <c r="M13" s="105">
        <f>BS!M6-BS!N6</f>
        <v>-54091.716337999911</v>
      </c>
      <c r="N13" s="105">
        <f>BS!N6-BS!O6</f>
        <v>-59500.887971800053</v>
      </c>
      <c r="O13" s="105">
        <f>BS!O6-BS!P6</f>
        <v>-65450.976768980152</v>
      </c>
      <c r="P13" s="105">
        <f>BS!P6-BS!Q6</f>
        <v>-71996.074445878156</v>
      </c>
    </row>
    <row r="14" spans="1:112">
      <c r="F14" s="39" t="s">
        <v>83</v>
      </c>
      <c r="I14" s="425"/>
      <c r="K14" s="105">
        <f>BS!K7-BS!L7</f>
        <v>-55858.910401801579</v>
      </c>
      <c r="L14" s="105">
        <f>BS!L7-BS!M7</f>
        <v>-54522.799491678248</v>
      </c>
      <c r="M14" s="105">
        <f>BS!M7-BS!N7</f>
        <v>-49170.824817912304</v>
      </c>
      <c r="N14" s="105">
        <f>BS!N7-BS!O7</f>
        <v>-50380.851883042953</v>
      </c>
      <c r="O14" s="105">
        <f>BS!O7-BS!P7</f>
        <v>-63866.598761657602</v>
      </c>
      <c r="P14" s="105">
        <f>BS!P7-BS!Q7</f>
        <v>-73289.724355183542</v>
      </c>
    </row>
    <row r="15" spans="1:112" ht="13.5" customHeight="1">
      <c r="F15" s="39" t="s">
        <v>84</v>
      </c>
      <c r="I15" s="425"/>
      <c r="K15" s="105">
        <f>BS!L17-BS!K17</f>
        <v>51524.98333798541</v>
      </c>
      <c r="L15" s="105">
        <f>BS!M17-BS!L17</f>
        <v>50292.537307681516</v>
      </c>
      <c r="M15" s="105">
        <f>BS!N17-BS!M17</f>
        <v>45355.806463711779</v>
      </c>
      <c r="N15" s="105">
        <f>BS!O17-BS!N17</f>
        <v>46471.951120327925</v>
      </c>
      <c r="O15" s="105">
        <f>BS!P17-BS!O17</f>
        <v>58911.37892553804</v>
      </c>
      <c r="P15" s="105">
        <f>BS!Q17-BS!P17</f>
        <v>67603.392172944848</v>
      </c>
    </row>
    <row r="16" spans="1:112">
      <c r="F16" s="39" t="s">
        <v>85</v>
      </c>
      <c r="I16" s="425"/>
      <c r="K16" s="105">
        <f>(BS!K8-BS!L8)+(BS!L18-BS!K18)</f>
        <v>-43583.61116406403</v>
      </c>
      <c r="L16" s="105">
        <f>(BS!L8-BS!M8)+(BS!M18-BS!L18)</f>
        <v>-50662.132640956901</v>
      </c>
      <c r="M16" s="105">
        <f>(BS!M8-BS!N8)+(BS!N18-BS!M18)</f>
        <v>-59974.127018798201</v>
      </c>
      <c r="N16" s="105">
        <f>(BS!N8-BS!O8)+(BS!O18-BS!N18)</f>
        <v>-67428.312670313695</v>
      </c>
      <c r="O16" s="105">
        <f>(BS!O8-BS!P8)+(BS!P18-BS!O18)</f>
        <v>-70851.44038427464</v>
      </c>
      <c r="P16" s="105">
        <f>(BS!P8-BS!Q8)+(BS!Q18-BS!P18)</f>
        <v>-76743.3351662528</v>
      </c>
    </row>
    <row r="17" spans="5:22">
      <c r="F17" s="71" t="s">
        <v>86</v>
      </c>
      <c r="G17" s="42"/>
      <c r="H17" s="42"/>
      <c r="I17" s="425"/>
      <c r="J17" s="42"/>
      <c r="K17" s="104">
        <f t="shared" ref="K17:P17" si="2">K9+K11+K12</f>
        <v>138292.82052096433</v>
      </c>
      <c r="L17" s="104">
        <f t="shared" si="2"/>
        <v>171698.33236095804</v>
      </c>
      <c r="M17" s="104">
        <f t="shared" si="2"/>
        <v>202830.24962981354</v>
      </c>
      <c r="N17" s="104">
        <f t="shared" si="2"/>
        <v>244626.18102508067</v>
      </c>
      <c r="O17" s="104">
        <f t="shared" si="2"/>
        <v>262145.23045209615</v>
      </c>
      <c r="P17" s="104">
        <f t="shared" si="2"/>
        <v>270088.71101018187</v>
      </c>
    </row>
    <row r="18" spans="5:22">
      <c r="F18" s="40"/>
      <c r="I18" s="425"/>
      <c r="K18" s="103"/>
      <c r="L18" s="103"/>
      <c r="M18" s="103"/>
      <c r="N18" s="103"/>
      <c r="O18" s="103"/>
      <c r="P18" s="103"/>
      <c r="V18" s="142"/>
    </row>
    <row r="19" spans="5:22">
      <c r="F19" s="93" t="s">
        <v>87</v>
      </c>
      <c r="G19" s="102"/>
      <c r="H19" s="102"/>
      <c r="I19" s="425"/>
      <c r="J19" s="102"/>
      <c r="K19" s="92">
        <f>-'Fixed&amp;Intangible Assets'!P13</f>
        <v>-54843.046698000006</v>
      </c>
      <c r="L19" s="92">
        <f>-'Fixed&amp;Intangible Assets'!Q13</f>
        <v>-60327.351367800016</v>
      </c>
      <c r="M19" s="92">
        <f>-'Fixed&amp;Intangible Assets'!R13</f>
        <v>-66360.086504580016</v>
      </c>
      <c r="N19" s="92">
        <f>-'Fixed&amp;Intangible Assets'!S13</f>
        <v>-72996.095155038027</v>
      </c>
      <c r="O19" s="92">
        <f>-'Fixed&amp;Intangible Assets'!T13</f>
        <v>-80295.704670541832</v>
      </c>
      <c r="P19" s="92">
        <f>-'Fixed&amp;Intangible Assets'!U13</f>
        <v>-88325.275137596022</v>
      </c>
    </row>
    <row r="20" spans="5:22">
      <c r="F20" s="38" t="s">
        <v>88</v>
      </c>
      <c r="G20" s="39"/>
      <c r="H20" s="39"/>
      <c r="I20" s="425"/>
      <c r="J20" s="39"/>
      <c r="K20" s="55">
        <f>-'Fixed&amp;Intangible Assets'!P14</f>
        <v>-4892.3753999999999</v>
      </c>
      <c r="L20" s="55">
        <f>-'Fixed&amp;Intangible Assets'!Q14</f>
        <v>-5381.6129400000009</v>
      </c>
      <c r="M20" s="55">
        <f>-'Fixed&amp;Intangible Assets'!R14</f>
        <v>-5919.7742340000004</v>
      </c>
      <c r="N20" s="55">
        <f>-'Fixed&amp;Intangible Assets'!S14</f>
        <v>-6511.751657400001</v>
      </c>
      <c r="O20" s="55">
        <f>-'Fixed&amp;Intangible Assets'!T14</f>
        <v>-7162.9268231400029</v>
      </c>
      <c r="P20" s="55">
        <f>-'Fixed&amp;Intangible Assets'!U14</f>
        <v>-7879.2195054540025</v>
      </c>
    </row>
    <row r="21" spans="5:22">
      <c r="F21" s="38" t="s">
        <v>89</v>
      </c>
      <c r="G21" s="39"/>
      <c r="H21" s="39"/>
      <c r="I21" s="425"/>
      <c r="J21" s="39"/>
      <c r="K21" s="55">
        <f>'Fixed&amp;Intangible Assets'!P15</f>
        <v>0</v>
      </c>
      <c r="L21" s="55">
        <f>'Fixed&amp;Intangible Assets'!Q15</f>
        <v>0</v>
      </c>
      <c r="M21" s="55">
        <f>'Fixed&amp;Intangible Assets'!R15</f>
        <v>0</v>
      </c>
      <c r="N21" s="55">
        <f>'Fixed&amp;Intangible Assets'!S15</f>
        <v>0</v>
      </c>
      <c r="O21" s="55">
        <f>'Fixed&amp;Intangible Assets'!T15</f>
        <v>0</v>
      </c>
      <c r="P21" s="55">
        <f>'Fixed&amp;Intangible Assets'!U15</f>
        <v>0</v>
      </c>
    </row>
    <row r="22" spans="5:22">
      <c r="F22" s="38" t="s">
        <v>20</v>
      </c>
      <c r="G22" s="39"/>
      <c r="H22" s="39"/>
      <c r="I22" s="425"/>
      <c r="J22" s="39"/>
      <c r="K22" s="55">
        <f>BS!K12-BS!L12</f>
        <v>0</v>
      </c>
      <c r="L22" s="55">
        <f>BS!L12-BS!M12</f>
        <v>0</v>
      </c>
      <c r="M22" s="55">
        <f>BS!M12-BS!N12</f>
        <v>0</v>
      </c>
      <c r="N22" s="55">
        <f>BS!N12-BS!O12</f>
        <v>0</v>
      </c>
      <c r="O22" s="55">
        <f>BS!O12-BS!P12</f>
        <v>0</v>
      </c>
      <c r="P22" s="55">
        <f>BS!P12-BS!Q12</f>
        <v>0</v>
      </c>
    </row>
    <row r="23" spans="5:22">
      <c r="F23" s="101" t="s">
        <v>90</v>
      </c>
      <c r="G23" s="100"/>
      <c r="H23" s="100"/>
      <c r="I23" s="425"/>
      <c r="J23" s="100"/>
      <c r="K23" s="91">
        <f t="shared" ref="K23:P23" si="3">SUM(K19:K22)</f>
        <v>-59735.422098000003</v>
      </c>
      <c r="L23" s="91">
        <f t="shared" si="3"/>
        <v>-65708.964307800023</v>
      </c>
      <c r="M23" s="91">
        <f t="shared" si="3"/>
        <v>-72279.860738580013</v>
      </c>
      <c r="N23" s="91">
        <f t="shared" si="3"/>
        <v>-79507.846812438031</v>
      </c>
      <c r="O23" s="91">
        <f t="shared" si="3"/>
        <v>-87458.631493681838</v>
      </c>
      <c r="P23" s="91">
        <f t="shared" si="3"/>
        <v>-96204.494643050028</v>
      </c>
    </row>
    <row r="24" spans="5:22">
      <c r="F24" s="39"/>
      <c r="G24" s="39"/>
      <c r="H24" s="39"/>
      <c r="I24" s="425"/>
      <c r="J24" s="39"/>
      <c r="K24" s="99"/>
      <c r="L24" s="98"/>
      <c r="M24" s="98"/>
      <c r="N24" s="98"/>
      <c r="O24" s="98"/>
      <c r="P24" s="98"/>
    </row>
    <row r="25" spans="5:22">
      <c r="F25" s="71" t="s">
        <v>91</v>
      </c>
      <c r="G25" s="97"/>
      <c r="H25" s="97"/>
      <c r="I25" s="425"/>
      <c r="J25" s="97"/>
      <c r="K25" s="96">
        <f t="shared" ref="K25:P25" si="4">K17+K23</f>
        <v>78557.398422964325</v>
      </c>
      <c r="L25" s="96">
        <f t="shared" si="4"/>
        <v>105989.36805315802</v>
      </c>
      <c r="M25" s="96">
        <f t="shared" si="4"/>
        <v>130550.38889123352</v>
      </c>
      <c r="N25" s="96">
        <f t="shared" si="4"/>
        <v>165118.33421264263</v>
      </c>
      <c r="O25" s="96">
        <f t="shared" si="4"/>
        <v>174686.59895841431</v>
      </c>
      <c r="P25" s="96">
        <f t="shared" si="4"/>
        <v>173884.21636713186</v>
      </c>
    </row>
    <row r="26" spans="5:22">
      <c r="F26" s="40"/>
      <c r="I26" s="425"/>
      <c r="K26" s="89"/>
      <c r="L26" s="86"/>
      <c r="M26" s="86"/>
      <c r="N26" s="86"/>
      <c r="O26" s="86"/>
      <c r="P26" s="86"/>
    </row>
    <row r="27" spans="5:22">
      <c r="E27" s="38" t="s">
        <v>92</v>
      </c>
      <c r="F27" s="93" t="s">
        <v>280</v>
      </c>
      <c r="G27" s="93"/>
      <c r="H27" s="93"/>
      <c r="I27" s="425"/>
      <c r="J27" s="93"/>
      <c r="K27" s="95">
        <f>Debt!K8</f>
        <v>20000</v>
      </c>
      <c r="L27" s="95">
        <f>Debt!L8</f>
        <v>20000</v>
      </c>
      <c r="M27" s="95">
        <f>Debt!M8</f>
        <v>20000</v>
      </c>
      <c r="N27" s="95">
        <f>Debt!N8</f>
        <v>20000</v>
      </c>
      <c r="O27" s="95">
        <f>Debt!O8</f>
        <v>20000</v>
      </c>
      <c r="P27" s="95">
        <f>Debt!P8</f>
        <v>20000</v>
      </c>
    </row>
    <row r="28" spans="5:22">
      <c r="F28" s="38" t="s">
        <v>281</v>
      </c>
      <c r="I28" s="425"/>
      <c r="K28" s="94">
        <f>Debt!K20</f>
        <v>5000</v>
      </c>
      <c r="L28" s="94">
        <f>Debt!L20</f>
        <v>4000</v>
      </c>
      <c r="M28" s="94">
        <f>Debt!M20</f>
        <v>3000</v>
      </c>
      <c r="N28" s="94">
        <f>Debt!N20</f>
        <v>2000</v>
      </c>
      <c r="O28" s="94">
        <f>Debt!O20</f>
        <v>1000</v>
      </c>
      <c r="P28" s="94">
        <f>Debt!P20</f>
        <v>0</v>
      </c>
    </row>
    <row r="29" spans="5:22">
      <c r="F29" s="38" t="s">
        <v>93</v>
      </c>
      <c r="I29" s="425"/>
      <c r="K29" s="94">
        <f>0</f>
        <v>0</v>
      </c>
      <c r="L29" s="94">
        <f>0</f>
        <v>0</v>
      </c>
      <c r="M29" s="94">
        <f>0</f>
        <v>0</v>
      </c>
      <c r="N29" s="94">
        <f>0</f>
        <v>0</v>
      </c>
      <c r="O29" s="94">
        <f>0</f>
        <v>0</v>
      </c>
      <c r="P29" s="94">
        <f>0</f>
        <v>0</v>
      </c>
    </row>
    <row r="30" spans="5:22">
      <c r="F30" s="38" t="s">
        <v>282</v>
      </c>
      <c r="I30" s="425"/>
      <c r="K30" s="55">
        <f>BS!L21-BS!K21</f>
        <v>-81946</v>
      </c>
      <c r="L30" s="55">
        <f>BS!M21-BS!L21</f>
        <v>-81946</v>
      </c>
      <c r="M30" s="55">
        <f>BS!N21-BS!M21</f>
        <v>-81946</v>
      </c>
      <c r="N30" s="55">
        <f>BS!O21-BS!N21</f>
        <v>-81946</v>
      </c>
      <c r="O30" s="55">
        <f>BS!P21-BS!O21</f>
        <v>-81946</v>
      </c>
      <c r="P30" s="55">
        <f>BS!Q21-BS!P21</f>
        <v>-81946</v>
      </c>
      <c r="Q30" s="38" t="s">
        <v>283</v>
      </c>
    </row>
    <row r="31" spans="5:22">
      <c r="F31" s="93" t="s">
        <v>94</v>
      </c>
      <c r="G31" s="93"/>
      <c r="H31" s="93"/>
      <c r="I31" s="425"/>
      <c r="J31" s="93"/>
      <c r="K31" s="92">
        <f>Debt!K9</f>
        <v>0</v>
      </c>
      <c r="L31" s="92">
        <f>Debt!L9</f>
        <v>0</v>
      </c>
      <c r="M31" s="92">
        <f>Debt!M9</f>
        <v>0</v>
      </c>
      <c r="N31" s="92">
        <f>Debt!N9</f>
        <v>0</v>
      </c>
      <c r="O31" s="92">
        <f>Debt!O9</f>
        <v>0</v>
      </c>
      <c r="P31" s="92">
        <f>Debt!P9</f>
        <v>0</v>
      </c>
    </row>
    <row r="32" spans="5:22">
      <c r="F32" s="38" t="s">
        <v>95</v>
      </c>
      <c r="I32" s="425"/>
      <c r="K32" s="55">
        <f>-(Debt!K21+Debt!K22)</f>
        <v>-1575.6846</v>
      </c>
      <c r="L32" s="55">
        <f>-(Debt!L21+Debt!L22)</f>
        <v>-2060.5476800000001</v>
      </c>
      <c r="M32" s="55">
        <f>-(Debt!M21+Debt!M22)</f>
        <v>-2248.4381440000002</v>
      </c>
      <c r="N32" s="55">
        <f>-(Debt!N21+Debt!N22)</f>
        <v>-2198.7505152000003</v>
      </c>
      <c r="O32" s="55">
        <f>-(Debt!O21+Debt!O22)</f>
        <v>-1959.0004121600002</v>
      </c>
      <c r="P32" s="55">
        <f>-(Debt!P21+Debt!P22)</f>
        <v>-1567.2003297280003</v>
      </c>
    </row>
    <row r="33" spans="6:20">
      <c r="F33" s="38" t="s">
        <v>96</v>
      </c>
      <c r="I33" s="425"/>
      <c r="K33" s="55">
        <f>IS!O20</f>
        <v>-7260.4302950000001</v>
      </c>
      <c r="L33" s="55">
        <f>IS!P20</f>
        <v>-9371.3481430000011</v>
      </c>
      <c r="M33" s="55">
        <f>IS!Q20</f>
        <v>-11304.082421400002</v>
      </c>
      <c r="N33" s="55">
        <f>IS!R20</f>
        <v>-13094.269844120001</v>
      </c>
      <c r="O33" s="55">
        <f>IS!S20</f>
        <v>-14770.419782296001</v>
      </c>
      <c r="P33" s="55">
        <f>IS!T20</f>
        <v>-16355.339732836801</v>
      </c>
      <c r="T33" s="38">
        <v>-1</v>
      </c>
    </row>
    <row r="34" spans="6:20">
      <c r="F34" s="38" t="s">
        <v>97</v>
      </c>
      <c r="I34" s="425"/>
      <c r="K34" s="52">
        <f>IS!O34</f>
        <v>0</v>
      </c>
      <c r="L34" s="52">
        <f>IS!P34</f>
        <v>0</v>
      </c>
      <c r="M34" s="52">
        <f>IS!Q34</f>
        <v>0</v>
      </c>
      <c r="N34" s="52">
        <f>IS!R34</f>
        <v>0</v>
      </c>
      <c r="O34" s="52">
        <f>IS!S34</f>
        <v>0</v>
      </c>
      <c r="P34" s="52">
        <f>IS!T34</f>
        <v>0</v>
      </c>
    </row>
    <row r="35" spans="6:20">
      <c r="F35" s="71" t="s">
        <v>98</v>
      </c>
      <c r="G35" s="71"/>
      <c r="H35" s="71"/>
      <c r="I35" s="425"/>
      <c r="J35" s="71"/>
      <c r="K35" s="91">
        <f>SUM(K31:K34,K27:K30)</f>
        <v>-65782.114895000006</v>
      </c>
      <c r="L35" s="91">
        <f t="shared" ref="L35:P35" si="5">SUM(L31:L34,L27:L30)</f>
        <v>-69377.895822999999</v>
      </c>
      <c r="M35" s="91">
        <f t="shared" si="5"/>
        <v>-72498.520565400002</v>
      </c>
      <c r="N35" s="91">
        <f t="shared" si="5"/>
        <v>-75239.020359319999</v>
      </c>
      <c r="O35" s="91">
        <f t="shared" si="5"/>
        <v>-77675.420194456005</v>
      </c>
      <c r="P35" s="91">
        <f t="shared" si="5"/>
        <v>-79868.540062564804</v>
      </c>
    </row>
    <row r="36" spans="6:20">
      <c r="I36" s="425"/>
      <c r="K36" s="89"/>
      <c r="L36" s="86"/>
      <c r="M36" s="86"/>
      <c r="N36" s="86"/>
      <c r="O36" s="86"/>
      <c r="P36" s="86"/>
    </row>
    <row r="37" spans="6:20">
      <c r="F37" s="40" t="s">
        <v>99</v>
      </c>
      <c r="I37" s="425"/>
      <c r="K37" s="90">
        <f t="shared" ref="K37:P37" si="6">K25+K35</f>
        <v>12775.283527964319</v>
      </c>
      <c r="L37" s="90">
        <f t="shared" si="6"/>
        <v>36611.472230158019</v>
      </c>
      <c r="M37" s="90">
        <f t="shared" si="6"/>
        <v>58051.868325833522</v>
      </c>
      <c r="N37" s="90">
        <f t="shared" si="6"/>
        <v>89879.31385332263</v>
      </c>
      <c r="O37" s="90">
        <f t="shared" si="6"/>
        <v>97011.178763958305</v>
      </c>
      <c r="P37" s="90">
        <f t="shared" si="6"/>
        <v>94015.676304567052</v>
      </c>
    </row>
    <row r="38" spans="6:20">
      <c r="I38" s="425"/>
      <c r="K38" s="86"/>
      <c r="L38" s="86"/>
      <c r="M38" s="86"/>
      <c r="N38" s="86"/>
      <c r="O38" s="86"/>
      <c r="P38" s="86"/>
    </row>
    <row r="39" spans="6:20">
      <c r="F39" s="38" t="s">
        <v>100</v>
      </c>
      <c r="I39" s="425"/>
      <c r="K39" s="86">
        <f>BS!K5</f>
        <v>13208.215</v>
      </c>
      <c r="L39" s="86">
        <f>BS!L5</f>
        <v>25983.498527964319</v>
      </c>
      <c r="M39" s="86">
        <f>BS!M5</f>
        <v>62594.970758122334</v>
      </c>
      <c r="N39" s="86">
        <f>BS!N5</f>
        <v>120646.83908395586</v>
      </c>
      <c r="O39" s="86">
        <f>BS!O5</f>
        <v>210526.1529372785</v>
      </c>
      <c r="P39" s="86">
        <f>BS!P5</f>
        <v>307537.33170123678</v>
      </c>
    </row>
    <row r="40" spans="6:20">
      <c r="I40" s="425"/>
      <c r="K40" s="89"/>
      <c r="L40" s="86"/>
      <c r="M40" s="86"/>
      <c r="N40" s="86"/>
      <c r="O40" s="86"/>
      <c r="P40" s="86"/>
    </row>
    <row r="41" spans="6:20" ht="16.2" thickBot="1">
      <c r="F41" s="88" t="s">
        <v>101</v>
      </c>
      <c r="G41" s="88"/>
      <c r="H41" s="88"/>
      <c r="I41" s="426"/>
      <c r="J41" s="88"/>
      <c r="K41" s="87">
        <f t="shared" ref="K41:P41" si="7">K37+K39</f>
        <v>25983.498527964319</v>
      </c>
      <c r="L41" s="87">
        <f t="shared" si="7"/>
        <v>62594.970758122334</v>
      </c>
      <c r="M41" s="87">
        <f t="shared" si="7"/>
        <v>120646.83908395586</v>
      </c>
      <c r="N41" s="87">
        <f t="shared" si="7"/>
        <v>210526.1529372785</v>
      </c>
      <c r="O41" s="87">
        <f t="shared" si="7"/>
        <v>307537.33170123678</v>
      </c>
      <c r="P41" s="87">
        <f t="shared" si="7"/>
        <v>401553.0080058038</v>
      </c>
    </row>
    <row r="42" spans="6:20" ht="16.2" thickTop="1">
      <c r="I42" s="23"/>
      <c r="K42" s="86"/>
      <c r="L42" s="86"/>
      <c r="M42" s="86"/>
      <c r="N42" s="86"/>
      <c r="O42" s="86"/>
      <c r="P42" s="86"/>
    </row>
    <row r="43" spans="6:20" hidden="1">
      <c r="F43" s="83" t="s">
        <v>116</v>
      </c>
      <c r="G43" s="83"/>
      <c r="H43" s="83"/>
      <c r="I43" s="85"/>
      <c r="J43" s="83"/>
      <c r="K43" s="82">
        <f>+K41-[5]BS!K8</f>
        <v>25983.498527964319</v>
      </c>
      <c r="L43" s="82">
        <f>+L41-[5]BS!L8</f>
        <v>62594.970758122334</v>
      </c>
      <c r="M43" s="82">
        <f>+M41-[5]BS!M8</f>
        <v>120646.83908395586</v>
      </c>
      <c r="N43" s="82">
        <f>+N41-[5]BS!N8</f>
        <v>210526.1529372785</v>
      </c>
      <c r="O43" s="82">
        <f>+O41-[5]BS!O8</f>
        <v>307537.33170123678</v>
      </c>
      <c r="P43" s="82">
        <f>+P41-[5]BS!P8</f>
        <v>401553.0080058038</v>
      </c>
    </row>
    <row r="44" spans="6:20">
      <c r="F44" s="83"/>
      <c r="G44" s="83"/>
      <c r="H44" s="83"/>
      <c r="I44" s="84"/>
      <c r="J44" s="83"/>
      <c r="K44" s="82"/>
      <c r="L44" s="82"/>
      <c r="M44" s="82"/>
      <c r="N44" s="82"/>
      <c r="O44" s="82"/>
      <c r="P44" s="82"/>
    </row>
  </sheetData>
  <mergeCells count="1">
    <mergeCell ref="I7:I41"/>
  </mergeCells>
  <pageMargins left="0.74803149606299213" right="0.74803149606299213" top="0.98425196850393704" bottom="0.98425196850393704" header="0.51181102362204722" footer="0.51181102362204722"/>
  <pageSetup paperSize="9"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Notes</vt:lpstr>
      <vt:lpstr>BS_hist</vt:lpstr>
      <vt:lpstr>IS_hist</vt:lpstr>
      <vt:lpstr>Multiples Valuation</vt:lpstr>
      <vt:lpstr>DCF Valuation</vt:lpstr>
      <vt:lpstr>WACC</vt:lpstr>
      <vt:lpstr>BS</vt:lpstr>
      <vt:lpstr>IS</vt:lpstr>
      <vt:lpstr>CFS</vt:lpstr>
      <vt:lpstr>S&amp;P input</vt:lpstr>
      <vt:lpstr>Fixed&amp;Intangible Assets</vt:lpstr>
      <vt:lpstr>WC</vt:lpstr>
      <vt:lpstr>Debt</vt:lpstr>
      <vt:lpstr>Tax</vt:lpstr>
      <vt:lpstr>Financial ratios</vt:lpstr>
      <vt:lpstr>CFS!Print_Area</vt:lpstr>
      <vt:lpstr>'S&amp;P input'!Print_Area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2020-05-13T21:02:26Z</dcterms:created>
  <dcterms:modified xsi:type="dcterms:W3CDTF">2020-06-08T19:28:49Z</dcterms:modified>
</cp:coreProperties>
</file>