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kanpamukcu/Desktop/"/>
    </mc:Choice>
  </mc:AlternateContent>
  <xr:revisionPtr revIDLastSave="0" documentId="13_ncr:1_{1150BAE1-5342-8942-997B-A5AD09BF6222}" xr6:coauthVersionLast="46" xr6:coauthVersionMax="46" xr10:uidLastSave="{00000000-0000-0000-0000-000000000000}"/>
  <bookViews>
    <workbookView xWindow="380" yWindow="500" windowWidth="28040" windowHeight="16020" xr2:uid="{D757B602-8E4E-D24D-8BA1-86B5F3E4C44B}"/>
  </bookViews>
  <sheets>
    <sheet name="Financials" sheetId="2" r:id="rId1"/>
    <sheet name="Valuation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3" i="3" l="1"/>
  <c r="I38" i="3"/>
  <c r="I39" i="3" s="1"/>
  <c r="L36" i="3"/>
  <c r="E39" i="3" s="1"/>
  <c r="C34" i="3"/>
  <c r="C31" i="3"/>
  <c r="D28" i="3"/>
  <c r="D30" i="3" s="1"/>
  <c r="D31" i="3" s="1"/>
  <c r="E28" i="3"/>
  <c r="E30" i="3" s="1"/>
  <c r="E31" i="3" s="1"/>
  <c r="F28" i="3"/>
  <c r="F30" i="3" s="1"/>
  <c r="F31" i="3" s="1"/>
  <c r="G28" i="3"/>
  <c r="C35" i="3" s="1"/>
  <c r="C28" i="3"/>
  <c r="C29" i="3" s="1"/>
  <c r="D25" i="3"/>
  <c r="E25" i="3"/>
  <c r="F25" i="3"/>
  <c r="G25" i="3"/>
  <c r="G26" i="3" s="1"/>
  <c r="C25" i="3"/>
  <c r="D23" i="3"/>
  <c r="E23" i="3"/>
  <c r="F23" i="3"/>
  <c r="G23" i="3"/>
  <c r="C23" i="3"/>
  <c r="D21" i="3"/>
  <c r="D22" i="3" s="1"/>
  <c r="E21" i="3"/>
  <c r="E22" i="3" s="1"/>
  <c r="F21" i="3"/>
  <c r="F22" i="3" s="1"/>
  <c r="G21" i="3"/>
  <c r="G22" i="3" s="1"/>
  <c r="C21" i="3"/>
  <c r="C22" i="3" s="1"/>
  <c r="I22" i="3" s="1"/>
  <c r="I14" i="3"/>
  <c r="J14" i="3"/>
  <c r="K14" i="3"/>
  <c r="L14" i="3"/>
  <c r="H14" i="3"/>
  <c r="I12" i="3"/>
  <c r="J12" i="3"/>
  <c r="K12" i="3"/>
  <c r="L12" i="3"/>
  <c r="H12" i="3"/>
  <c r="H11" i="3"/>
  <c r="I11" i="3" s="1"/>
  <c r="J11" i="3" s="1"/>
  <c r="K11" i="3" s="1"/>
  <c r="L11" i="3" s="1"/>
  <c r="D9" i="3"/>
  <c r="D7" i="3" s="1"/>
  <c r="E9" i="3"/>
  <c r="E7" i="3" s="1"/>
  <c r="F9" i="3"/>
  <c r="G9" i="3"/>
  <c r="G7" i="3" s="1"/>
  <c r="C9" i="3"/>
  <c r="C7" i="3" s="1"/>
  <c r="H10" i="3"/>
  <c r="I10" i="3" s="1"/>
  <c r="J10" i="3" s="1"/>
  <c r="K10" i="3" s="1"/>
  <c r="L10" i="3" s="1"/>
  <c r="I9" i="3"/>
  <c r="J9" i="3"/>
  <c r="K9" i="3"/>
  <c r="L9" i="3"/>
  <c r="H9" i="3"/>
  <c r="I6" i="3"/>
  <c r="J6" i="3"/>
  <c r="K6" i="3"/>
  <c r="L6" i="3"/>
  <c r="H6" i="3"/>
  <c r="D6" i="3"/>
  <c r="E6" i="3"/>
  <c r="F6" i="3"/>
  <c r="G6" i="3"/>
  <c r="C6" i="3"/>
  <c r="H3" i="3"/>
  <c r="I3" i="3" s="1"/>
  <c r="G16" i="3"/>
  <c r="G18" i="3" s="1"/>
  <c r="F16" i="3"/>
  <c r="F18" i="3" s="1"/>
  <c r="E16" i="3"/>
  <c r="E18" i="3" s="1"/>
  <c r="D16" i="3"/>
  <c r="D18" i="3" s="1"/>
  <c r="C16" i="3"/>
  <c r="C18" i="3" s="1"/>
  <c r="F7" i="3"/>
  <c r="G4" i="3"/>
  <c r="F4" i="3"/>
  <c r="F26" i="3" s="1"/>
  <c r="E4" i="3"/>
  <c r="D4" i="3"/>
  <c r="D24" i="3" s="1"/>
  <c r="C4" i="3"/>
  <c r="D39" i="3" l="1"/>
  <c r="H39" i="3"/>
  <c r="G39" i="3"/>
  <c r="F39" i="3"/>
  <c r="G24" i="3"/>
  <c r="D26" i="3"/>
  <c r="F24" i="3"/>
  <c r="E24" i="3"/>
  <c r="L24" i="3" s="1"/>
  <c r="H8" i="3"/>
  <c r="D29" i="3"/>
  <c r="C26" i="3"/>
  <c r="J26" i="3" s="1"/>
  <c r="H7" i="3"/>
  <c r="C24" i="3"/>
  <c r="E26" i="3"/>
  <c r="I24" i="3"/>
  <c r="H24" i="3"/>
  <c r="J24" i="3"/>
  <c r="H21" i="3"/>
  <c r="I26" i="3"/>
  <c r="H22" i="3"/>
  <c r="I8" i="3"/>
  <c r="I7" i="3" s="1"/>
  <c r="L22" i="3"/>
  <c r="J3" i="3"/>
  <c r="J5" i="3" s="1"/>
  <c r="H16" i="3"/>
  <c r="K22" i="3"/>
  <c r="I21" i="3"/>
  <c r="I16" i="3"/>
  <c r="L16" i="3"/>
  <c r="J22" i="3"/>
  <c r="G29" i="3"/>
  <c r="G30" i="3"/>
  <c r="G31" i="3" s="1"/>
  <c r="K31" i="3" s="1"/>
  <c r="K16" i="3"/>
  <c r="F29" i="3"/>
  <c r="J16" i="3"/>
  <c r="E29" i="3"/>
  <c r="I5" i="3"/>
  <c r="I4" i="3" s="1"/>
  <c r="H5" i="3"/>
  <c r="H4" i="3" s="1"/>
  <c r="C41" i="3" l="1"/>
  <c r="C42" i="3" s="1"/>
  <c r="C44" i="3" s="1"/>
  <c r="I29" i="3"/>
  <c r="I28" i="3" s="1"/>
  <c r="E35" i="3" s="1"/>
  <c r="H26" i="3"/>
  <c r="L26" i="3"/>
  <c r="K26" i="3"/>
  <c r="K24" i="3"/>
  <c r="J31" i="3"/>
  <c r="J30" i="3" s="1"/>
  <c r="F37" i="3" s="1"/>
  <c r="H13" i="3"/>
  <c r="H15" i="3" s="1"/>
  <c r="I31" i="3"/>
  <c r="I30" i="3" s="1"/>
  <c r="E37" i="3" s="1"/>
  <c r="H29" i="3"/>
  <c r="H28" i="3" s="1"/>
  <c r="D35" i="3" s="1"/>
  <c r="K29" i="3"/>
  <c r="H31" i="3"/>
  <c r="H30" i="3" s="1"/>
  <c r="D37" i="3" s="1"/>
  <c r="L29" i="3"/>
  <c r="I25" i="3"/>
  <c r="I23" i="3"/>
  <c r="J29" i="3"/>
  <c r="H23" i="3"/>
  <c r="H25" i="3"/>
  <c r="D36" i="3"/>
  <c r="K3" i="3"/>
  <c r="J28" i="3"/>
  <c r="F35" i="3" s="1"/>
  <c r="J21" i="3"/>
  <c r="L31" i="3"/>
  <c r="I13" i="3"/>
  <c r="J8" i="3"/>
  <c r="J7" i="3" s="1"/>
  <c r="J13" i="3" s="1"/>
  <c r="J4" i="3"/>
  <c r="D34" i="3" l="1"/>
  <c r="E36" i="3"/>
  <c r="L3" i="3"/>
  <c r="K28" i="3"/>
  <c r="G35" i="3" s="1"/>
  <c r="K21" i="3"/>
  <c r="E34" i="3"/>
  <c r="E38" i="3" s="1"/>
  <c r="I15" i="3"/>
  <c r="L30" i="3"/>
  <c r="H37" i="3" s="1"/>
  <c r="D38" i="3"/>
  <c r="J23" i="3"/>
  <c r="J25" i="3"/>
  <c r="H17" i="3"/>
  <c r="H18" i="3" s="1"/>
  <c r="F34" i="3"/>
  <c r="J15" i="3"/>
  <c r="K30" i="3"/>
  <c r="G37" i="3" s="1"/>
  <c r="K8" i="3"/>
  <c r="K7" i="3" s="1"/>
  <c r="K5" i="3"/>
  <c r="F36" i="3" l="1"/>
  <c r="F38" i="3" s="1"/>
  <c r="J17" i="3"/>
  <c r="J18" i="3" s="1"/>
  <c r="I17" i="3"/>
  <c r="I18" i="3" s="1"/>
  <c r="L28" i="3"/>
  <c r="H35" i="3" s="1"/>
  <c r="L21" i="3"/>
  <c r="K4" i="3"/>
  <c r="K13" i="3"/>
  <c r="L5" i="3"/>
  <c r="L8" i="3"/>
  <c r="L7" i="3" s="1"/>
  <c r="K15" i="3" l="1"/>
  <c r="G34" i="3"/>
  <c r="K23" i="3"/>
  <c r="K25" i="3"/>
  <c r="L4" i="3"/>
  <c r="L13" i="3"/>
  <c r="G36" i="3" l="1"/>
  <c r="K17" i="3"/>
  <c r="K18" i="3" s="1"/>
  <c r="L15" i="3"/>
  <c r="H34" i="3"/>
  <c r="L23" i="3"/>
  <c r="L25" i="3"/>
  <c r="G38" i="3"/>
  <c r="H36" i="3" l="1"/>
  <c r="H38" i="3" s="1"/>
  <c r="L17" i="3"/>
  <c r="L18" i="3" s="1"/>
  <c r="N22" i="2" l="1"/>
  <c r="L22" i="2"/>
  <c r="J22" i="2"/>
  <c r="K30" i="2"/>
  <c r="K31" i="2" s="1"/>
  <c r="L30" i="2"/>
  <c r="L31" i="2" s="1"/>
  <c r="M30" i="2"/>
  <c r="M31" i="2" s="1"/>
  <c r="N30" i="2"/>
  <c r="N31" i="2" s="1"/>
  <c r="J30" i="2"/>
  <c r="J31" i="2" s="1"/>
  <c r="G16" i="2"/>
  <c r="N5" i="2" s="1"/>
  <c r="N24" i="2" s="1"/>
  <c r="G14" i="2"/>
  <c r="F16" i="2"/>
  <c r="M20" i="2" s="1"/>
  <c r="E16" i="2"/>
  <c r="D16" i="2"/>
  <c r="C16" i="2"/>
  <c r="L5" i="2"/>
  <c r="L24" i="2" s="1"/>
  <c r="K20" i="2"/>
  <c r="L20" i="2"/>
  <c r="D43" i="2"/>
  <c r="K18" i="2" s="1"/>
  <c r="K26" i="2" s="1"/>
  <c r="E43" i="2"/>
  <c r="L18" i="2" s="1"/>
  <c r="L26" i="2" s="1"/>
  <c r="N13" i="2"/>
  <c r="K11" i="2"/>
  <c r="L11" i="2"/>
  <c r="M11" i="2"/>
  <c r="N11" i="2"/>
  <c r="J11" i="2"/>
  <c r="C36" i="2"/>
  <c r="C37" i="2" s="1"/>
  <c r="K5" i="2"/>
  <c r="K24" i="2" s="1"/>
  <c r="M5" i="2"/>
  <c r="M24" i="2" s="1"/>
  <c r="K4" i="2"/>
  <c r="L4" i="2"/>
  <c r="M4" i="2"/>
  <c r="N4" i="2"/>
  <c r="J4" i="2"/>
  <c r="K3" i="2"/>
  <c r="L3" i="2"/>
  <c r="M3" i="2"/>
  <c r="N3" i="2"/>
  <c r="J3" i="2"/>
  <c r="D6" i="2"/>
  <c r="E6" i="2"/>
  <c r="F6" i="2"/>
  <c r="G6" i="2"/>
  <c r="C6" i="2"/>
  <c r="G33" i="2"/>
  <c r="N8" i="2" s="1"/>
  <c r="F33" i="2"/>
  <c r="M9" i="2" s="1"/>
  <c r="E33" i="2"/>
  <c r="L8" i="2" s="1"/>
  <c r="C23" i="2"/>
  <c r="D23" i="2"/>
  <c r="D37" i="2"/>
  <c r="E37" i="2"/>
  <c r="F37" i="2"/>
  <c r="C33" i="2"/>
  <c r="J9" i="2" s="1"/>
  <c r="D33" i="2"/>
  <c r="K8" i="2" s="1"/>
  <c r="C28" i="2"/>
  <c r="C43" i="2" s="1"/>
  <c r="D28" i="2"/>
  <c r="E28" i="2"/>
  <c r="F28" i="2"/>
  <c r="E23" i="2"/>
  <c r="F23" i="2"/>
  <c r="G37" i="2"/>
  <c r="G28" i="2"/>
  <c r="G23" i="2"/>
  <c r="G43" i="2" s="1"/>
  <c r="F14" i="2"/>
  <c r="E14" i="2"/>
  <c r="D14" i="2"/>
  <c r="C14" i="2"/>
  <c r="D4" i="2"/>
  <c r="K12" i="2" s="1"/>
  <c r="E4" i="2"/>
  <c r="L12" i="2" s="1"/>
  <c r="F4" i="2"/>
  <c r="M12" i="2" s="1"/>
  <c r="G4" i="2"/>
  <c r="N12" i="2" s="1"/>
  <c r="C4" i="2"/>
  <c r="J13" i="2" s="1"/>
  <c r="M22" i="2" l="1"/>
  <c r="K22" i="2"/>
  <c r="J25" i="2"/>
  <c r="J21" i="2"/>
  <c r="J18" i="2"/>
  <c r="J26" i="2" s="1"/>
  <c r="N25" i="2"/>
  <c r="N18" i="2"/>
  <c r="N26" i="2" s="1"/>
  <c r="N21" i="2"/>
  <c r="L7" i="2"/>
  <c r="K25" i="2"/>
  <c r="K27" i="2" s="1"/>
  <c r="M7" i="2"/>
  <c r="L25" i="2"/>
  <c r="L27" i="2" s="1"/>
  <c r="L21" i="2"/>
  <c r="M8" i="2"/>
  <c r="M13" i="2"/>
  <c r="M14" i="2" s="1"/>
  <c r="K21" i="2"/>
  <c r="K7" i="2"/>
  <c r="F43" i="2"/>
  <c r="N20" i="2"/>
  <c r="J20" i="2"/>
  <c r="J5" i="2"/>
  <c r="J24" i="2" s="1"/>
  <c r="J27" i="2" s="1"/>
  <c r="N14" i="2"/>
  <c r="L9" i="2"/>
  <c r="K13" i="2"/>
  <c r="K14" i="2" s="1"/>
  <c r="N9" i="2"/>
  <c r="K9" i="2"/>
  <c r="L13" i="2"/>
  <c r="L14" i="2" s="1"/>
  <c r="J7" i="2"/>
  <c r="J8" i="2"/>
  <c r="J12" i="2"/>
  <c r="J14" i="2" s="1"/>
  <c r="N7" i="2"/>
  <c r="N27" i="2" l="1"/>
  <c r="M21" i="2"/>
  <c r="M18" i="2"/>
  <c r="M26" i="2" s="1"/>
  <c r="M25" i="2"/>
  <c r="M27" i="2" l="1"/>
</calcChain>
</file>

<file path=xl/sharedStrings.xml><?xml version="1.0" encoding="utf-8"?>
<sst xmlns="http://schemas.openxmlformats.org/spreadsheetml/2006/main" count="141" uniqueCount="97">
  <si>
    <t>Revenue</t>
  </si>
  <si>
    <t>COGS</t>
  </si>
  <si>
    <t>Gross Profit</t>
  </si>
  <si>
    <t xml:space="preserve">    Marketing Costs</t>
  </si>
  <si>
    <t xml:space="preserve">    Selling costs</t>
  </si>
  <si>
    <t xml:space="preserve">    Admin &amp; central costs</t>
  </si>
  <si>
    <t>Operating Profit</t>
  </si>
  <si>
    <t>Gross Margin</t>
  </si>
  <si>
    <t>Operating Margin</t>
  </si>
  <si>
    <t>Profit Before Tax</t>
  </si>
  <si>
    <t>Tax</t>
  </si>
  <si>
    <t>Non-operational expenses</t>
  </si>
  <si>
    <t>Net Income</t>
  </si>
  <si>
    <t>Operational Expenses</t>
  </si>
  <si>
    <t xml:space="preserve">    Share option related charges</t>
  </si>
  <si>
    <t>Interest expense&amp;income</t>
  </si>
  <si>
    <t>Inventories</t>
  </si>
  <si>
    <t>Trade and other receivables</t>
  </si>
  <si>
    <t>Current tax debtor</t>
  </si>
  <si>
    <t>Cash and cash equivalents</t>
  </si>
  <si>
    <t>Current assets</t>
  </si>
  <si>
    <t>Property, plant and equipment</t>
  </si>
  <si>
    <t>Intangible assets</t>
  </si>
  <si>
    <t>Right-of-use assets</t>
  </si>
  <si>
    <t>Deferred tax assets</t>
  </si>
  <si>
    <t>Non-current assets</t>
  </si>
  <si>
    <t>Lease liabilities</t>
  </si>
  <si>
    <t>Trade and other payables</t>
  </si>
  <si>
    <t>Current tax creditor</t>
  </si>
  <si>
    <t>Current liabilities</t>
  </si>
  <si>
    <t>Retirement benefit obligations</t>
  </si>
  <si>
    <t>Deferred tax liabilities</t>
  </si>
  <si>
    <t>Share capital</t>
  </si>
  <si>
    <t>Share premium reserve</t>
  </si>
  <si>
    <t>Other reserves</t>
  </si>
  <si>
    <t>Retained earnings</t>
  </si>
  <si>
    <t>Shareholder's equity</t>
  </si>
  <si>
    <t>Non-current liabilities</t>
  </si>
  <si>
    <t>Provisions</t>
  </si>
  <si>
    <t>Profitability Ratios</t>
  </si>
  <si>
    <t>Net Profit Margin</t>
  </si>
  <si>
    <t>Liquidity Ratios</t>
  </si>
  <si>
    <t>Current Ratio</t>
  </si>
  <si>
    <t>Quick Ratio</t>
  </si>
  <si>
    <t>Cash Ratio</t>
  </si>
  <si>
    <t>Working Capital Ratios</t>
  </si>
  <si>
    <t>Accounts Receivable Days</t>
  </si>
  <si>
    <t>Accounts Payable Days</t>
  </si>
  <si>
    <t>Leverage Ratios</t>
  </si>
  <si>
    <t>Debt-Equity Ratio</t>
  </si>
  <si>
    <t>Debt-to-Capital Ratio</t>
  </si>
  <si>
    <t>Equity Multiplier</t>
  </si>
  <si>
    <t>Operating Returns</t>
  </si>
  <si>
    <t>Return on Invested Capital (ROIC)</t>
  </si>
  <si>
    <t>Return on Assets (ROA)</t>
  </si>
  <si>
    <t>Return on Equity (ROE)</t>
  </si>
  <si>
    <t>DuPont Identity</t>
  </si>
  <si>
    <t>Asset Turnover</t>
  </si>
  <si>
    <t>ROE</t>
  </si>
  <si>
    <t xml:space="preserve">Inventory Days </t>
  </si>
  <si>
    <t>Cash Conversion Cycle</t>
  </si>
  <si>
    <t>Depreciation</t>
  </si>
  <si>
    <t>EBIT</t>
  </si>
  <si>
    <t>no debt</t>
  </si>
  <si>
    <t>Total Assets</t>
  </si>
  <si>
    <t>(tax rate decreased from 35% to 21% in 2018)</t>
  </si>
  <si>
    <t>EBITDA</t>
  </si>
  <si>
    <t>INCOME STATEMENT ('000s)</t>
  </si>
  <si>
    <t>BALANCE SHEET ('000s)</t>
  </si>
  <si>
    <t>2021E</t>
  </si>
  <si>
    <t>2022E</t>
  </si>
  <si>
    <t>2023E</t>
  </si>
  <si>
    <t>2024E</t>
  </si>
  <si>
    <t>2025E</t>
  </si>
  <si>
    <t xml:space="preserve">    Marketing cost as % of sales</t>
  </si>
  <si>
    <t>WORKING CAPITAL ('000s)</t>
  </si>
  <si>
    <t>Days Receivables Outstanding</t>
  </si>
  <si>
    <t>Days Inventories Outstanding</t>
  </si>
  <si>
    <t>Days Payables Outstanding</t>
  </si>
  <si>
    <t>Depreciation as % of sales</t>
  </si>
  <si>
    <t>FREE CASH FLOW ('000s)</t>
  </si>
  <si>
    <t>EBIT*(1-t)</t>
  </si>
  <si>
    <t>Change in working capital</t>
  </si>
  <si>
    <t>CapEx</t>
  </si>
  <si>
    <t>CapEx as % of sales</t>
  </si>
  <si>
    <t>Free Cash Flow</t>
  </si>
  <si>
    <t>Unlevered beta</t>
  </si>
  <si>
    <t>risk-free rate</t>
  </si>
  <si>
    <t>risk premium</t>
  </si>
  <si>
    <t>Terminal Value</t>
  </si>
  <si>
    <t>Present Value</t>
  </si>
  <si>
    <t>Enterprise Value</t>
  </si>
  <si>
    <t>Shares Outstanding</t>
  </si>
  <si>
    <t xml:space="preserve">Theoretical Share Price </t>
  </si>
  <si>
    <t>Current Share Price</t>
  </si>
  <si>
    <t>Equity Value (EV+Cash -Debt)</t>
  </si>
  <si>
    <t>WACC (only equity)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</si>
</sst>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7" formatCode="#,##0.000"/>
    <numFmt numFmtId="169" formatCode="0.0%"/>
    <numFmt numFmtId="180" formatCode="0.0"/>
    <numFmt numFmtId="184" formatCode="[$£-809]#,##0.0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theme="5"/>
      <name val="Calibri"/>
      <family val="2"/>
      <scheme val="minor"/>
    </font>
    <font>
      <sz val="12"/>
      <name val="Times New Roman"/>
      <family val="1"/>
      <charset val="16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5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48">
    <xf numFmtId="0" fontId="0" fillId="0" borderId="0" xfId="0"/>
    <xf numFmtId="3" fontId="0" fillId="0" borderId="0" xfId="0" applyNumberFormat="1"/>
    <xf numFmtId="0" fontId="3" fillId="0" borderId="0" xfId="0" applyFont="1"/>
    <xf numFmtId="4" fontId="0" fillId="0" borderId="0" xfId="0" applyNumberFormat="1"/>
    <xf numFmtId="167" fontId="0" fillId="0" borderId="0" xfId="0" applyNumberFormat="1"/>
    <xf numFmtId="0" fontId="4" fillId="0" borderId="0" xfId="0" applyFont="1"/>
    <xf numFmtId="0" fontId="2" fillId="0" borderId="0" xfId="0" applyFont="1"/>
    <xf numFmtId="169" fontId="0" fillId="0" borderId="0" xfId="1" applyNumberFormat="1" applyFont="1"/>
    <xf numFmtId="10" fontId="0" fillId="0" borderId="0" xfId="1" applyNumberFormat="1" applyFont="1"/>
    <xf numFmtId="37" fontId="0" fillId="0" borderId="0" xfId="0" applyNumberFormat="1"/>
    <xf numFmtId="37" fontId="3" fillId="0" borderId="0" xfId="0" applyNumberFormat="1" applyFont="1"/>
    <xf numFmtId="37" fontId="2" fillId="0" borderId="0" xfId="0" applyNumberFormat="1" applyFont="1"/>
    <xf numFmtId="0" fontId="2" fillId="0" borderId="1" xfId="0" applyFont="1" applyBorder="1"/>
    <xf numFmtId="3" fontId="2" fillId="0" borderId="0" xfId="0" applyNumberFormat="1" applyFont="1"/>
    <xf numFmtId="0" fontId="0" fillId="0" borderId="1" xfId="0" applyBorder="1"/>
    <xf numFmtId="167" fontId="0" fillId="0" borderId="1" xfId="0" applyNumberFormat="1" applyBorder="1"/>
    <xf numFmtId="167" fontId="0" fillId="0" borderId="0" xfId="0" applyNumberFormat="1" applyFill="1" applyBorder="1"/>
    <xf numFmtId="2" fontId="0" fillId="0" borderId="0" xfId="0" applyNumberFormat="1"/>
    <xf numFmtId="0" fontId="0" fillId="0" borderId="2" xfId="0" applyFont="1" applyBorder="1"/>
    <xf numFmtId="37" fontId="0" fillId="0" borderId="3" xfId="0" applyNumberFormat="1" applyBorder="1"/>
    <xf numFmtId="37" fontId="0" fillId="0" borderId="4" xfId="0" applyNumberFormat="1" applyBorder="1"/>
    <xf numFmtId="0" fontId="0" fillId="0" borderId="5" xfId="0" applyFont="1" applyBorder="1"/>
    <xf numFmtId="37" fontId="0" fillId="0" borderId="0" xfId="0" applyNumberFormat="1" applyBorder="1"/>
    <xf numFmtId="37" fontId="0" fillId="0" borderId="6" xfId="0" applyNumberFormat="1" applyBorder="1"/>
    <xf numFmtId="0" fontId="0" fillId="0" borderId="7" xfId="0" applyBorder="1"/>
    <xf numFmtId="37" fontId="0" fillId="0" borderId="1" xfId="0" applyNumberFormat="1" applyBorder="1"/>
    <xf numFmtId="37" fontId="0" fillId="0" borderId="8" xfId="0" applyNumberFormat="1" applyBorder="1"/>
    <xf numFmtId="0" fontId="2" fillId="0" borderId="1" xfId="0" applyFont="1" applyBorder="1" applyAlignment="1">
      <alignment horizontal="right"/>
    </xf>
    <xf numFmtId="169" fontId="4" fillId="0" borderId="0" xfId="1" applyNumberFormat="1" applyFont="1"/>
    <xf numFmtId="0" fontId="0" fillId="0" borderId="0" xfId="0" applyFont="1" applyFill="1" applyBorder="1"/>
    <xf numFmtId="0" fontId="4" fillId="0" borderId="0" xfId="0" applyFont="1" applyFill="1" applyBorder="1"/>
    <xf numFmtId="2" fontId="4" fillId="0" borderId="0" xfId="0" applyNumberFormat="1" applyFont="1"/>
    <xf numFmtId="180" fontId="4" fillId="0" borderId="0" xfId="0" applyNumberFormat="1" applyFont="1"/>
    <xf numFmtId="10" fontId="4" fillId="0" borderId="0" xfId="1" applyNumberFormat="1" applyFont="1"/>
    <xf numFmtId="10" fontId="4" fillId="0" borderId="0" xfId="0" applyNumberFormat="1" applyFont="1"/>
    <xf numFmtId="3" fontId="0" fillId="0" borderId="1" xfId="0" applyNumberFormat="1" applyBorder="1"/>
    <xf numFmtId="0" fontId="0" fillId="0" borderId="0" xfId="0" applyFill="1" applyBorder="1"/>
    <xf numFmtId="0" fontId="2" fillId="0" borderId="0" xfId="0" applyFont="1" applyFill="1" applyBorder="1" applyAlignment="1">
      <alignment horizontal="right"/>
    </xf>
    <xf numFmtId="0" fontId="2" fillId="0" borderId="9" xfId="0" applyFont="1" applyFill="1" applyBorder="1"/>
    <xf numFmtId="0" fontId="2" fillId="0" borderId="11" xfId="0" applyFont="1" applyFill="1" applyBorder="1"/>
    <xf numFmtId="0" fontId="2" fillId="0" borderId="12" xfId="0" applyFont="1" applyBorder="1"/>
    <xf numFmtId="0" fontId="2" fillId="0" borderId="13" xfId="0" applyFont="1" applyFill="1" applyBorder="1"/>
    <xf numFmtId="184" fontId="2" fillId="0" borderId="10" xfId="0" applyNumberFormat="1" applyFont="1" applyBorder="1"/>
    <xf numFmtId="184" fontId="2" fillId="0" borderId="12" xfId="0" applyNumberFormat="1" applyFont="1" applyBorder="1"/>
    <xf numFmtId="184" fontId="2" fillId="2" borderId="12" xfId="0" applyNumberFormat="1" applyFont="1" applyFill="1" applyBorder="1"/>
    <xf numFmtId="184" fontId="2" fillId="3" borderId="14" xfId="0" applyNumberFormat="1" applyFont="1" applyFill="1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</cellXfs>
  <cellStyles count="5">
    <cellStyle name="Comma 3 5" xfId="4" xr:uid="{44FBF128-5B97-344E-B389-1177C2E6C3E5}"/>
    <cellStyle name="Normal" xfId="0" builtinId="0"/>
    <cellStyle name="Normal 2" xfId="2" xr:uid="{EA2A29B0-D1F2-604D-A863-42633C445E4C}"/>
    <cellStyle name="Per cent" xfId="1" builtinId="5"/>
    <cellStyle name="Percent 13" xfId="3" xr:uid="{87F35F9D-D35E-9B43-A882-4F3F0558BF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C5D27-D013-3D4D-8AA9-B7DB24B53CA7}">
  <dimension ref="B2:O47"/>
  <sheetViews>
    <sheetView tabSelected="1" zoomScale="75" workbookViewId="0">
      <selection activeCell="J30" sqref="J30"/>
    </sheetView>
  </sheetViews>
  <sheetFormatPr baseColWidth="10" defaultRowHeight="16" x14ac:dyDescent="0.2"/>
  <cols>
    <col min="1" max="1" width="3.33203125" customWidth="1"/>
    <col min="2" max="2" width="27.6640625" bestFit="1" customWidth="1"/>
    <col min="3" max="7" width="10" bestFit="1" customWidth="1"/>
    <col min="8" max="8" width="3.1640625" customWidth="1"/>
    <col min="9" max="9" width="29" bestFit="1" customWidth="1"/>
  </cols>
  <sheetData>
    <row r="2" spans="2:14" x14ac:dyDescent="0.2">
      <c r="B2" s="12" t="s">
        <v>67</v>
      </c>
      <c r="C2" s="12">
        <v>2016</v>
      </c>
      <c r="D2" s="12">
        <v>2017</v>
      </c>
      <c r="E2" s="12">
        <v>2018</v>
      </c>
      <c r="F2" s="12">
        <v>2019</v>
      </c>
      <c r="G2" s="12">
        <v>2020</v>
      </c>
      <c r="I2" s="14" t="s">
        <v>39</v>
      </c>
      <c r="J2" s="12">
        <v>2016</v>
      </c>
      <c r="K2" s="12">
        <v>2017</v>
      </c>
      <c r="L2" s="12">
        <v>2018</v>
      </c>
      <c r="M2" s="12">
        <v>2019</v>
      </c>
      <c r="N2" s="12">
        <v>2020</v>
      </c>
    </row>
    <row r="3" spans="2:14" x14ac:dyDescent="0.2">
      <c r="B3" s="6" t="s">
        <v>0</v>
      </c>
      <c r="C3" s="11">
        <v>558223</v>
      </c>
      <c r="D3" s="11">
        <v>627518</v>
      </c>
      <c r="E3" s="11">
        <v>738418</v>
      </c>
      <c r="F3" s="11">
        <v>860844</v>
      </c>
      <c r="G3" s="11">
        <v>560040</v>
      </c>
      <c r="H3" s="4"/>
      <c r="I3" s="4" t="s">
        <v>7</v>
      </c>
      <c r="J3" s="8">
        <f>C5/C3</f>
        <v>0.3297875580189279</v>
      </c>
      <c r="K3" s="8">
        <f t="shared" ref="K3:N3" si="0">D5/D3</f>
        <v>0.32703285005370364</v>
      </c>
      <c r="L3" s="8">
        <f t="shared" si="0"/>
        <v>0.31985677488901948</v>
      </c>
      <c r="M3" s="8">
        <f t="shared" si="0"/>
        <v>0.3198256594690792</v>
      </c>
      <c r="N3" s="8">
        <f t="shared" si="0"/>
        <v>0.28200842796943076</v>
      </c>
    </row>
    <row r="4" spans="2:14" x14ac:dyDescent="0.2">
      <c r="B4" t="s">
        <v>1</v>
      </c>
      <c r="C4" s="9">
        <f>C3-C5</f>
        <v>374128</v>
      </c>
      <c r="D4" s="9">
        <f t="shared" ref="D4:G4" si="1">D3-D5</f>
        <v>422299</v>
      </c>
      <c r="E4" s="9">
        <f t="shared" si="1"/>
        <v>502230</v>
      </c>
      <c r="F4" s="9">
        <f t="shared" si="1"/>
        <v>585524</v>
      </c>
      <c r="G4" s="9">
        <f t="shared" si="1"/>
        <v>402104</v>
      </c>
      <c r="H4" s="4"/>
      <c r="I4" s="4" t="s">
        <v>8</v>
      </c>
      <c r="J4" s="8">
        <f>C11/C3</f>
        <v>6.8748510899765858E-2</v>
      </c>
      <c r="K4" s="8">
        <f>D11/D3</f>
        <v>6.7854627277623911E-2</v>
      </c>
      <c r="L4" s="8">
        <f>E11/E3</f>
        <v>6.1427267482645334E-2</v>
      </c>
      <c r="M4" s="8">
        <f>F11/F3</f>
        <v>6.2650143347691339E-2</v>
      </c>
      <c r="N4" s="8">
        <f>G11/G3</f>
        <v>7.8422969787872287E-3</v>
      </c>
    </row>
    <row r="5" spans="2:14" x14ac:dyDescent="0.2">
      <c r="B5" s="6" t="s">
        <v>2</v>
      </c>
      <c r="C5" s="11">
        <v>184095</v>
      </c>
      <c r="D5" s="11">
        <v>205219</v>
      </c>
      <c r="E5" s="11">
        <v>236188</v>
      </c>
      <c r="F5" s="11">
        <v>275320</v>
      </c>
      <c r="G5" s="11">
        <v>157936</v>
      </c>
      <c r="H5" s="4"/>
      <c r="I5" s="4" t="s">
        <v>40</v>
      </c>
      <c r="J5" s="8">
        <f>C16/C3</f>
        <v>4.3851650684403901E-2</v>
      </c>
      <c r="K5" s="8">
        <f>D16/D3</f>
        <v>4.6094295303082941E-2</v>
      </c>
      <c r="L5" s="8">
        <f>E16/E3</f>
        <v>4.7661351700527342E-2</v>
      </c>
      <c r="M5" s="8">
        <f>F16/F3</f>
        <v>4.9622231205653983E-2</v>
      </c>
      <c r="N5" s="8">
        <f>G16/G3</f>
        <v>5.5174630383544032E-3</v>
      </c>
    </row>
    <row r="6" spans="2:14" x14ac:dyDescent="0.2">
      <c r="B6" t="s">
        <v>13</v>
      </c>
      <c r="C6" s="9">
        <f>SUM(C7:C9)</f>
        <v>-145718</v>
      </c>
      <c r="D6" s="9">
        <f t="shared" ref="D6:G6" si="2">SUM(D7:D9)</f>
        <v>-162639</v>
      </c>
      <c r="E6" s="9">
        <f t="shared" si="2"/>
        <v>-190010</v>
      </c>
      <c r="F6" s="9">
        <f t="shared" si="2"/>
        <v>-220439</v>
      </c>
      <c r="G6" s="9">
        <f t="shared" si="2"/>
        <v>-152910</v>
      </c>
      <c r="H6" s="4"/>
      <c r="I6" s="15" t="s">
        <v>41</v>
      </c>
      <c r="J6" s="4"/>
    </row>
    <row r="7" spans="2:14" x14ac:dyDescent="0.2">
      <c r="B7" s="2" t="s">
        <v>3</v>
      </c>
      <c r="C7" s="10">
        <v>-96703</v>
      </c>
      <c r="D7" s="9">
        <v>-110644</v>
      </c>
      <c r="E7" s="9">
        <v>-131232</v>
      </c>
      <c r="F7" s="9">
        <v>-154310</v>
      </c>
      <c r="G7" s="9">
        <v>-92880</v>
      </c>
      <c r="H7" s="4"/>
      <c r="I7" s="4" t="s">
        <v>42</v>
      </c>
      <c r="J7" s="3">
        <f>C23/C33</f>
        <v>1.6267869088026163</v>
      </c>
      <c r="K7" s="3">
        <f>D23/D33</f>
        <v>1.7442824380904289</v>
      </c>
      <c r="L7" s="3">
        <f>E23/E33</f>
        <v>1.6930776652194888</v>
      </c>
      <c r="M7" s="3">
        <f>F23/F33</f>
        <v>1.7362382682161113</v>
      </c>
      <c r="N7" s="3">
        <f>G23/G33</f>
        <v>1.7871612209973335</v>
      </c>
    </row>
    <row r="8" spans="2:14" x14ac:dyDescent="0.2">
      <c r="B8" s="2" t="s">
        <v>4</v>
      </c>
      <c r="C8" s="10">
        <v>-23166</v>
      </c>
      <c r="D8" s="9">
        <v>-24995</v>
      </c>
      <c r="E8" s="9">
        <v>-27850</v>
      </c>
      <c r="F8" s="9">
        <v>-31037</v>
      </c>
      <c r="G8" s="9">
        <v>-30784</v>
      </c>
      <c r="H8" s="4"/>
      <c r="I8" s="4" t="s">
        <v>43</v>
      </c>
      <c r="J8" s="3">
        <f>(C19+C21)/C33</f>
        <v>1.52240913708099</v>
      </c>
      <c r="K8" s="3">
        <f>(D19+D21)/D33</f>
        <v>1.6216625639083506</v>
      </c>
      <c r="L8" s="3">
        <f>(E19+E21)/E33</f>
        <v>1.4815886798520663</v>
      </c>
      <c r="M8" s="3">
        <f>(F19+F21)/F33</f>
        <v>1.545636844787061</v>
      </c>
      <c r="N8" s="3">
        <f>(G19+G21)/G33</f>
        <v>1.5235603136068772</v>
      </c>
    </row>
    <row r="9" spans="2:14" x14ac:dyDescent="0.2">
      <c r="B9" s="2" t="s">
        <v>5</v>
      </c>
      <c r="C9" s="10">
        <v>-25849</v>
      </c>
      <c r="D9" s="9">
        <v>-27000</v>
      </c>
      <c r="E9" s="9">
        <v>-30928</v>
      </c>
      <c r="F9" s="9">
        <v>-35092</v>
      </c>
      <c r="G9" s="9">
        <v>-29246</v>
      </c>
      <c r="H9" s="4"/>
      <c r="I9" s="4" t="s">
        <v>44</v>
      </c>
      <c r="J9" s="3">
        <f>C19/C33</f>
        <v>0.53719991080940466</v>
      </c>
      <c r="K9" s="3">
        <f>D19/D33</f>
        <v>0.64733110311599229</v>
      </c>
      <c r="L9" s="3">
        <f>E19/E33</f>
        <v>0.55242000321595108</v>
      </c>
      <c r="M9" s="3">
        <f>F19/F33</f>
        <v>0.67614523578625552</v>
      </c>
      <c r="N9" s="3">
        <f>G19/G33</f>
        <v>0.79130019500935245</v>
      </c>
    </row>
    <row r="10" spans="2:14" x14ac:dyDescent="0.2">
      <c r="B10" s="2" t="s">
        <v>14</v>
      </c>
      <c r="C10" s="9">
        <v>0</v>
      </c>
      <c r="D10" s="9">
        <v>-551</v>
      </c>
      <c r="E10" s="9">
        <v>-819</v>
      </c>
      <c r="F10" s="9">
        <v>-949</v>
      </c>
      <c r="G10" s="9">
        <v>-634</v>
      </c>
      <c r="H10" s="1"/>
      <c r="I10" s="15" t="s">
        <v>45</v>
      </c>
      <c r="J10" s="4"/>
    </row>
    <row r="11" spans="2:14" x14ac:dyDescent="0.2">
      <c r="B11" t="s">
        <v>6</v>
      </c>
      <c r="C11" s="9">
        <v>38377</v>
      </c>
      <c r="D11" s="9">
        <v>42580</v>
      </c>
      <c r="E11" s="9">
        <v>45359</v>
      </c>
      <c r="F11" s="9">
        <v>53932</v>
      </c>
      <c r="G11" s="9">
        <v>4392</v>
      </c>
      <c r="H11" s="4"/>
      <c r="I11" s="4" t="s">
        <v>46</v>
      </c>
      <c r="J11" s="3">
        <f>C21/C3*360</f>
        <v>25.645234968820706</v>
      </c>
      <c r="K11" s="3">
        <f>D21/D3*360</f>
        <v>26.566951067539097</v>
      </c>
      <c r="L11" s="3">
        <f>E21/E3*360</f>
        <v>22.537478772185946</v>
      </c>
      <c r="M11" s="3">
        <f>F21/F3*360</f>
        <v>22.122056958055119</v>
      </c>
      <c r="N11" s="3">
        <f>G21/G3*360</f>
        <v>23.654810370687809</v>
      </c>
    </row>
    <row r="12" spans="2:14" x14ac:dyDescent="0.2">
      <c r="B12" t="s">
        <v>15</v>
      </c>
      <c r="C12" s="10">
        <v>-24</v>
      </c>
      <c r="D12" s="9">
        <v>-122</v>
      </c>
      <c r="E12" s="9">
        <v>227</v>
      </c>
      <c r="F12" s="9">
        <v>751</v>
      </c>
      <c r="G12" s="9">
        <v>-25</v>
      </c>
      <c r="H12" s="4"/>
      <c r="I12" s="4" t="s">
        <v>47</v>
      </c>
      <c r="J12" s="3">
        <f>C30/C4*360</f>
        <v>38.838793140315616</v>
      </c>
      <c r="K12" s="3">
        <f>D30/D4*360</f>
        <v>40.64182013218123</v>
      </c>
      <c r="L12" s="3">
        <f>E30/E4*360</f>
        <v>36.020787288692432</v>
      </c>
      <c r="M12" s="3">
        <f>F30/F4*360</f>
        <v>36.403699933734572</v>
      </c>
      <c r="N12" s="3">
        <f>G30/G4*360</f>
        <v>44.378668205240437</v>
      </c>
    </row>
    <row r="13" spans="2:14" x14ac:dyDescent="0.2">
      <c r="B13" t="s">
        <v>9</v>
      </c>
      <c r="C13" s="9">
        <v>38353</v>
      </c>
      <c r="D13" s="9">
        <v>42458</v>
      </c>
      <c r="E13" s="9">
        <v>45586</v>
      </c>
      <c r="F13" s="9">
        <v>54683</v>
      </c>
      <c r="G13" s="9">
        <v>4367</v>
      </c>
      <c r="H13" s="4"/>
      <c r="I13" s="4" t="s">
        <v>59</v>
      </c>
      <c r="J13" s="3">
        <f>C20/C4*360</f>
        <v>4.0211906085617759</v>
      </c>
      <c r="K13" s="3">
        <f>D20/D4*360</f>
        <v>4.5658644704344553</v>
      </c>
      <c r="L13" s="3">
        <f>E20/E4*360</f>
        <v>7.0805806104772708</v>
      </c>
      <c r="M13" s="3">
        <f>F20/F4*360</f>
        <v>7.0435370710679672</v>
      </c>
      <c r="N13" s="3">
        <f>G20/G4*360</f>
        <v>10.090822274834371</v>
      </c>
    </row>
    <row r="14" spans="2:14" x14ac:dyDescent="0.2">
      <c r="B14" t="s">
        <v>11</v>
      </c>
      <c r="C14" s="9">
        <f>34151-38353</f>
        <v>-4202</v>
      </c>
      <c r="D14" s="9">
        <f>40659-42458</f>
        <v>-1799</v>
      </c>
      <c r="E14" s="9">
        <f>44146-45586</f>
        <v>-1440</v>
      </c>
      <c r="F14" s="9">
        <f>53993-54683</f>
        <v>-690</v>
      </c>
      <c r="G14" s="9">
        <f>3843- 4367</f>
        <v>-524</v>
      </c>
      <c r="H14" s="4"/>
      <c r="I14" s="4" t="s">
        <v>60</v>
      </c>
      <c r="J14" s="3">
        <f>J13+J11-J12</f>
        <v>-9.1723675629331325</v>
      </c>
      <c r="K14" s="3">
        <f t="shared" ref="K14:N14" si="3">K13+K11-K12</f>
        <v>-9.5090045942076777</v>
      </c>
      <c r="L14" s="3">
        <f t="shared" si="3"/>
        <v>-6.4027279060292166</v>
      </c>
      <c r="M14" s="3">
        <f t="shared" si="3"/>
        <v>-7.2381059046114871</v>
      </c>
      <c r="N14" s="3">
        <f t="shared" si="3"/>
        <v>-10.633035559718259</v>
      </c>
    </row>
    <row r="15" spans="2:14" x14ac:dyDescent="0.2">
      <c r="B15" t="s">
        <v>10</v>
      </c>
      <c r="C15" s="9">
        <v>-9672</v>
      </c>
      <c r="D15" s="9">
        <v>-11734</v>
      </c>
      <c r="E15" s="9">
        <v>-8952</v>
      </c>
      <c r="F15" s="9">
        <v>-11276</v>
      </c>
      <c r="G15" s="9">
        <v>-753</v>
      </c>
      <c r="H15" s="4"/>
      <c r="I15" s="15" t="s">
        <v>48</v>
      </c>
      <c r="J15" s="4"/>
    </row>
    <row r="16" spans="2:14" x14ac:dyDescent="0.2">
      <c r="B16" s="6" t="s">
        <v>12</v>
      </c>
      <c r="C16" s="11">
        <f>SUM(C13:C15)</f>
        <v>24479</v>
      </c>
      <c r="D16" s="11">
        <f t="shared" ref="D16:G16" si="4">SUM(D13:D15)</f>
        <v>28925</v>
      </c>
      <c r="E16" s="11">
        <f t="shared" si="4"/>
        <v>35194</v>
      </c>
      <c r="F16" s="11">
        <f t="shared" si="4"/>
        <v>42717</v>
      </c>
      <c r="G16" s="11">
        <f t="shared" si="4"/>
        <v>3090</v>
      </c>
      <c r="H16" s="4"/>
      <c r="I16" s="16" t="s">
        <v>49</v>
      </c>
      <c r="J16" s="4" t="s">
        <v>63</v>
      </c>
      <c r="K16" s="4" t="s">
        <v>63</v>
      </c>
      <c r="L16" s="4" t="s">
        <v>63</v>
      </c>
      <c r="M16" s="4" t="s">
        <v>63</v>
      </c>
      <c r="N16" s="4" t="s">
        <v>63</v>
      </c>
    </row>
    <row r="17" spans="2:15" x14ac:dyDescent="0.2">
      <c r="I17" s="4" t="s">
        <v>50</v>
      </c>
      <c r="J17" s="4" t="s">
        <v>63</v>
      </c>
      <c r="K17" s="4" t="s">
        <v>63</v>
      </c>
      <c r="L17" s="4" t="s">
        <v>63</v>
      </c>
      <c r="M17" s="4" t="s">
        <v>63</v>
      </c>
      <c r="N17" s="4" t="s">
        <v>63</v>
      </c>
    </row>
    <row r="18" spans="2:15" x14ac:dyDescent="0.2">
      <c r="B18" s="12" t="s">
        <v>68</v>
      </c>
      <c r="C18" s="12">
        <v>2016</v>
      </c>
      <c r="D18" s="12">
        <v>2017</v>
      </c>
      <c r="E18" s="12">
        <v>2018</v>
      </c>
      <c r="F18" s="12">
        <v>2019</v>
      </c>
      <c r="G18" s="12">
        <v>2020</v>
      </c>
      <c r="I18" s="4" t="s">
        <v>51</v>
      </c>
      <c r="J18" s="3">
        <f>C43/C42</f>
        <v>3.0933333333333333</v>
      </c>
      <c r="K18" s="3">
        <f>D43/D42</f>
        <v>2.5843489416292496</v>
      </c>
      <c r="L18" s="3">
        <f>E43/E42</f>
        <v>2.5415674763676703</v>
      </c>
      <c r="M18" s="3">
        <f>F43/F42</f>
        <v>2.1839454788079049</v>
      </c>
      <c r="N18" s="3">
        <f>G43/G42</f>
        <v>2.0357803919169051</v>
      </c>
    </row>
    <row r="19" spans="2:15" x14ac:dyDescent="0.2">
      <c r="B19" t="s">
        <v>19</v>
      </c>
      <c r="C19" s="1">
        <v>21683</v>
      </c>
      <c r="D19" s="1">
        <v>30767</v>
      </c>
      <c r="E19" s="1">
        <v>27484</v>
      </c>
      <c r="F19" s="1">
        <v>41136</v>
      </c>
      <c r="G19" s="1">
        <v>39766</v>
      </c>
      <c r="I19" s="15" t="s">
        <v>52</v>
      </c>
    </row>
    <row r="20" spans="2:15" x14ac:dyDescent="0.2">
      <c r="B20" t="s">
        <v>16</v>
      </c>
      <c r="C20" s="1">
        <v>4179</v>
      </c>
      <c r="D20" s="1">
        <v>5356</v>
      </c>
      <c r="E20" s="1">
        <v>9878</v>
      </c>
      <c r="F20" s="1">
        <v>11456</v>
      </c>
      <c r="G20" s="1">
        <v>11271</v>
      </c>
      <c r="I20" s="4" t="s">
        <v>55</v>
      </c>
      <c r="J20" s="8">
        <f>C16/C42</f>
        <v>0.83474850809889178</v>
      </c>
      <c r="K20" s="8">
        <f>D16/D42</f>
        <v>0.68716888793861208</v>
      </c>
      <c r="L20" s="8">
        <f>E16/E42</f>
        <v>0.81341438047472669</v>
      </c>
      <c r="M20" s="8">
        <f>F16/F42</f>
        <v>0.67860773972167499</v>
      </c>
      <c r="N20" s="8">
        <f>G16/G42</f>
        <v>4.7268666534090037E-2</v>
      </c>
    </row>
    <row r="21" spans="2:15" x14ac:dyDescent="0.2">
      <c r="B21" t="s">
        <v>17</v>
      </c>
      <c r="C21" s="1">
        <v>39766</v>
      </c>
      <c r="D21" s="1">
        <v>46309</v>
      </c>
      <c r="E21" s="1">
        <v>46228</v>
      </c>
      <c r="F21" s="1">
        <v>52899</v>
      </c>
      <c r="G21" s="1">
        <v>36799</v>
      </c>
      <c r="H21" s="4"/>
      <c r="I21" s="4" t="s">
        <v>54</v>
      </c>
      <c r="J21" s="8">
        <f>(C16+C12)/C43</f>
        <v>0.26958946997089689</v>
      </c>
      <c r="K21" s="8">
        <f>(D16+D12)/D43</f>
        <v>0.26477482694906374</v>
      </c>
      <c r="L21" s="8">
        <f>(E16+E12)/E43</f>
        <v>0.32210865176509101</v>
      </c>
      <c r="M21" s="8">
        <f>(F16+F12)/F43</f>
        <v>0.31618839789052555</v>
      </c>
      <c r="N21" s="8">
        <f>(G16+G12)/G43</f>
        <v>2.3031086330881193E-2</v>
      </c>
    </row>
    <row r="22" spans="2:15" x14ac:dyDescent="0.2">
      <c r="B22" t="s">
        <v>18</v>
      </c>
      <c r="C22">
        <v>34</v>
      </c>
      <c r="D22" s="4">
        <v>472</v>
      </c>
      <c r="E22">
        <v>644</v>
      </c>
      <c r="F22">
        <v>140</v>
      </c>
      <c r="G22" s="1">
        <v>1976</v>
      </c>
      <c r="H22" s="4"/>
      <c r="I22" s="4" t="s">
        <v>53</v>
      </c>
      <c r="J22" s="8">
        <f>J30*(1-0.35)/(C42)</f>
        <v>0.79766581415174764</v>
      </c>
      <c r="K22" s="8">
        <f>K30*(1-0.35)/(D42)</f>
        <v>0.61876083909438628</v>
      </c>
      <c r="L22" s="8">
        <f>L30*(1-0.22)/(E42)</f>
        <v>0.76994060138211584</v>
      </c>
      <c r="M22" s="8">
        <f>M30*(1-0.22)/(F42)</f>
        <v>0.6338336404651459</v>
      </c>
      <c r="N22" s="8">
        <f>N30*(1-0.22)/(G42)</f>
        <v>1.1478484343210292E-2</v>
      </c>
      <c r="O22" t="s">
        <v>65</v>
      </c>
    </row>
    <row r="23" spans="2:15" x14ac:dyDescent="0.2">
      <c r="B23" s="6" t="s">
        <v>20</v>
      </c>
      <c r="C23" s="13">
        <f t="shared" ref="C23" si="5">SUM(C19:C22)</f>
        <v>65662</v>
      </c>
      <c r="D23" s="13">
        <f t="shared" ref="D23" si="6">SUM(D19:D22)</f>
        <v>82904</v>
      </c>
      <c r="E23" s="13">
        <f t="shared" ref="E23:F23" si="7">SUM(E19:E22)</f>
        <v>84234</v>
      </c>
      <c r="F23" s="13">
        <f t="shared" si="7"/>
        <v>105631</v>
      </c>
      <c r="G23" s="13">
        <f>SUM(G19:G22)</f>
        <v>89812</v>
      </c>
      <c r="H23" s="4"/>
      <c r="I23" s="15" t="s">
        <v>56</v>
      </c>
      <c r="J23" s="4"/>
    </row>
    <row r="24" spans="2:15" x14ac:dyDescent="0.2">
      <c r="B24" t="s">
        <v>21</v>
      </c>
      <c r="C24" s="1">
        <v>18938</v>
      </c>
      <c r="D24" s="1">
        <v>18829</v>
      </c>
      <c r="E24" s="1">
        <v>19012</v>
      </c>
      <c r="F24" s="1">
        <v>24369</v>
      </c>
      <c r="G24" s="1">
        <v>24832</v>
      </c>
      <c r="H24" s="4"/>
      <c r="I24" s="16" t="s">
        <v>40</v>
      </c>
      <c r="J24" s="4">
        <f>J5</f>
        <v>4.3851650684403901E-2</v>
      </c>
      <c r="K24" s="4">
        <f t="shared" ref="K24:N24" si="8">K5</f>
        <v>4.6094295303082941E-2</v>
      </c>
      <c r="L24" s="4">
        <f t="shared" si="8"/>
        <v>4.7661351700527342E-2</v>
      </c>
      <c r="M24" s="4">
        <f t="shared" si="8"/>
        <v>4.9622231205653983E-2</v>
      </c>
      <c r="N24" s="4">
        <f t="shared" si="8"/>
        <v>5.5174630383544032E-3</v>
      </c>
    </row>
    <row r="25" spans="2:15" x14ac:dyDescent="0.2">
      <c r="B25" t="s">
        <v>22</v>
      </c>
      <c r="C25" s="1">
        <v>1082</v>
      </c>
      <c r="D25" s="1">
        <v>1138</v>
      </c>
      <c r="E25" s="1">
        <v>1084</v>
      </c>
      <c r="F25" s="1">
        <v>1152</v>
      </c>
      <c r="G25" s="1">
        <v>1100</v>
      </c>
      <c r="H25" s="4"/>
      <c r="I25" s="16" t="s">
        <v>57</v>
      </c>
      <c r="J25" s="4">
        <f>C3/C43</f>
        <v>6.1537944263162538</v>
      </c>
      <c r="K25" s="4">
        <f>D3/D43</f>
        <v>5.7685300092845386</v>
      </c>
      <c r="L25" s="4">
        <f>E3/E43</f>
        <v>6.7149664441736538</v>
      </c>
      <c r="M25" s="4">
        <f>F3/F43</f>
        <v>6.2618221494817243</v>
      </c>
      <c r="N25" s="4">
        <f>G3/G43</f>
        <v>4.208264139884732</v>
      </c>
    </row>
    <row r="26" spans="2:15" x14ac:dyDescent="0.2">
      <c r="B26" t="s">
        <v>23</v>
      </c>
      <c r="C26" s="1">
        <v>5030</v>
      </c>
      <c r="D26" s="1">
        <v>0</v>
      </c>
      <c r="E26" s="1">
        <v>0</v>
      </c>
      <c r="F26" s="1">
        <v>1985</v>
      </c>
      <c r="G26" s="1">
        <v>13065</v>
      </c>
      <c r="H26" s="4"/>
      <c r="I26" s="16" t="s">
        <v>51</v>
      </c>
      <c r="J26" s="4">
        <f>J18</f>
        <v>3.0933333333333333</v>
      </c>
      <c r="K26" s="4">
        <f t="shared" ref="K26:N26" si="9">K18</f>
        <v>2.5843489416292496</v>
      </c>
      <c r="L26" s="4">
        <f t="shared" si="9"/>
        <v>2.5415674763676703</v>
      </c>
      <c r="M26" s="4">
        <f t="shared" si="9"/>
        <v>2.1839454788079049</v>
      </c>
      <c r="N26" s="4">
        <f t="shared" si="9"/>
        <v>2.0357803919169051</v>
      </c>
    </row>
    <row r="27" spans="2:15" x14ac:dyDescent="0.2">
      <c r="B27" t="s">
        <v>24</v>
      </c>
      <c r="C27" s="1">
        <v>0</v>
      </c>
      <c r="D27" s="1">
        <v>5912</v>
      </c>
      <c r="E27" s="1">
        <v>5636</v>
      </c>
      <c r="F27" s="1">
        <v>4338</v>
      </c>
      <c r="G27" s="1">
        <v>4272</v>
      </c>
      <c r="I27" s="16" t="s">
        <v>58</v>
      </c>
      <c r="J27" s="17">
        <f>J24*J25*J26</f>
        <v>0.83474850809889167</v>
      </c>
      <c r="K27" s="17">
        <f t="shared" ref="K27:N27" si="10">K24*K25*K26</f>
        <v>0.68716888793861208</v>
      </c>
      <c r="L27" s="17">
        <f t="shared" si="10"/>
        <v>0.81341438047472658</v>
      </c>
      <c r="M27" s="17">
        <f t="shared" si="10"/>
        <v>0.67860773972167499</v>
      </c>
      <c r="N27" s="17">
        <f t="shared" si="10"/>
        <v>4.7268666534090044E-2</v>
      </c>
    </row>
    <row r="28" spans="2:15" x14ac:dyDescent="0.2">
      <c r="B28" s="6" t="s">
        <v>25</v>
      </c>
      <c r="C28" s="13">
        <f t="shared" ref="C28:F28" si="11">SUM(C24:C27)</f>
        <v>25050</v>
      </c>
      <c r="D28" s="13">
        <f>SUM(D24:D27)</f>
        <v>25879</v>
      </c>
      <c r="E28" s="13">
        <f t="shared" si="11"/>
        <v>25732</v>
      </c>
      <c r="F28" s="13">
        <f t="shared" si="11"/>
        <v>31844</v>
      </c>
      <c r="G28" s="13">
        <f>SUM(G24:G27)</f>
        <v>43269</v>
      </c>
    </row>
    <row r="29" spans="2:15" x14ac:dyDescent="0.2">
      <c r="B29" t="s">
        <v>26</v>
      </c>
      <c r="C29" s="1">
        <v>0</v>
      </c>
      <c r="D29" s="1">
        <v>0</v>
      </c>
      <c r="E29" s="1">
        <v>0</v>
      </c>
      <c r="F29" s="1">
        <v>1630</v>
      </c>
      <c r="G29" s="1">
        <v>1117</v>
      </c>
      <c r="I29" s="18" t="s">
        <v>61</v>
      </c>
      <c r="J29" s="19">
        <v>2390</v>
      </c>
      <c r="K29" s="19">
        <v>2510</v>
      </c>
      <c r="L29" s="19">
        <v>2650</v>
      </c>
      <c r="M29" s="19">
        <v>2780</v>
      </c>
      <c r="N29" s="20">
        <v>3430</v>
      </c>
    </row>
    <row r="30" spans="2:15" x14ac:dyDescent="0.2">
      <c r="B30" t="s">
        <v>27</v>
      </c>
      <c r="C30" s="1">
        <v>40363</v>
      </c>
      <c r="D30" s="1">
        <v>47675</v>
      </c>
      <c r="E30" s="1">
        <v>50252</v>
      </c>
      <c r="F30" s="1">
        <v>59209</v>
      </c>
      <c r="G30" s="1">
        <v>49569</v>
      </c>
      <c r="I30" s="21" t="s">
        <v>62</v>
      </c>
      <c r="J30" s="22">
        <f>C11-J29</f>
        <v>35987</v>
      </c>
      <c r="K30" s="22">
        <f>D11-K29</f>
        <v>40070</v>
      </c>
      <c r="L30" s="22">
        <f>E11-L29</f>
        <v>42709</v>
      </c>
      <c r="M30" s="22">
        <f>F11-M29</f>
        <v>51152</v>
      </c>
      <c r="N30" s="23">
        <f>G11-N29</f>
        <v>962</v>
      </c>
    </row>
    <row r="31" spans="2:15" x14ac:dyDescent="0.2">
      <c r="B31" t="s">
        <v>28</v>
      </c>
      <c r="C31">
        <v>0</v>
      </c>
      <c r="D31" s="1">
        <v>0</v>
      </c>
      <c r="E31">
        <v>-500</v>
      </c>
      <c r="F31" s="1">
        <v>0</v>
      </c>
      <c r="G31">
        <v>-432</v>
      </c>
      <c r="I31" s="24" t="s">
        <v>66</v>
      </c>
      <c r="J31" s="25">
        <f>J30+J29</f>
        <v>38377</v>
      </c>
      <c r="K31" s="25">
        <f t="shared" ref="K31:N31" si="12">K30+K29</f>
        <v>42580</v>
      </c>
      <c r="L31" s="25">
        <f t="shared" si="12"/>
        <v>45359</v>
      </c>
      <c r="M31" s="25">
        <f t="shared" si="12"/>
        <v>53932</v>
      </c>
      <c r="N31" s="26">
        <f t="shared" si="12"/>
        <v>4392</v>
      </c>
    </row>
    <row r="32" spans="2:15" x14ac:dyDescent="0.2">
      <c r="B32" t="s">
        <v>38</v>
      </c>
      <c r="C32">
        <v>0</v>
      </c>
      <c r="D32">
        <v>-146</v>
      </c>
      <c r="E32" s="1">
        <v>0</v>
      </c>
      <c r="F32" s="1">
        <v>0</v>
      </c>
      <c r="G32" s="1">
        <v>0</v>
      </c>
    </row>
    <row r="33" spans="2:7" x14ac:dyDescent="0.2">
      <c r="B33" s="6" t="s">
        <v>29</v>
      </c>
      <c r="C33" s="13">
        <f>SUM(C29:C31)</f>
        <v>40363</v>
      </c>
      <c r="D33" s="13">
        <f>SUM(D29:D32)</f>
        <v>47529</v>
      </c>
      <c r="E33" s="13">
        <f>SUM(E29:E32)</f>
        <v>49752</v>
      </c>
      <c r="F33" s="13">
        <f>SUM(F29:F32)</f>
        <v>60839</v>
      </c>
      <c r="G33" s="13">
        <f>SUM(G29:G32)</f>
        <v>50254</v>
      </c>
    </row>
    <row r="34" spans="2:7" x14ac:dyDescent="0.2">
      <c r="B34" t="s">
        <v>26</v>
      </c>
      <c r="D34" s="1">
        <v>0</v>
      </c>
      <c r="E34" s="1">
        <v>0</v>
      </c>
      <c r="F34">
        <v>-415</v>
      </c>
      <c r="G34" s="1">
        <v>-12089</v>
      </c>
    </row>
    <row r="35" spans="2:7" x14ac:dyDescent="0.2">
      <c r="B35" t="s">
        <v>30</v>
      </c>
      <c r="C35" s="1">
        <v>19290</v>
      </c>
      <c r="D35" s="1">
        <v>18106</v>
      </c>
      <c r="E35" s="1">
        <v>15016</v>
      </c>
      <c r="F35" s="1">
        <v>12305</v>
      </c>
      <c r="G35" s="1">
        <v>3310</v>
      </c>
    </row>
    <row r="36" spans="2:7" x14ac:dyDescent="0.2">
      <c r="B36" t="s">
        <v>31</v>
      </c>
      <c r="C36" s="1">
        <f>-(-1601-133)</f>
        <v>1734</v>
      </c>
      <c r="D36">
        <v>763</v>
      </c>
      <c r="E36">
        <v>931</v>
      </c>
      <c r="F36">
        <v>968</v>
      </c>
      <c r="G36" s="1">
        <v>1193</v>
      </c>
    </row>
    <row r="37" spans="2:7" x14ac:dyDescent="0.2">
      <c r="B37" s="6" t="s">
        <v>37</v>
      </c>
      <c r="C37" s="13">
        <f t="shared" ref="C37:F37" si="13">SUM(C34:C36)</f>
        <v>21024</v>
      </c>
      <c r="D37" s="13">
        <f t="shared" si="13"/>
        <v>18869</v>
      </c>
      <c r="E37" s="13">
        <f t="shared" si="13"/>
        <v>15947</v>
      </c>
      <c r="F37" s="13">
        <f t="shared" si="13"/>
        <v>12858</v>
      </c>
      <c r="G37" s="13">
        <f>SUM(G34:G36)</f>
        <v>-7586</v>
      </c>
    </row>
    <row r="38" spans="2:7" x14ac:dyDescent="0.2">
      <c r="B38" t="s">
        <v>32</v>
      </c>
      <c r="C38" s="1">
        <v>18842</v>
      </c>
      <c r="D38" s="1">
        <v>18842</v>
      </c>
      <c r="E38" s="1">
        <v>18842</v>
      </c>
      <c r="F38" s="1">
        <v>18842</v>
      </c>
      <c r="G38" s="1">
        <v>18842</v>
      </c>
    </row>
    <row r="39" spans="2:7" x14ac:dyDescent="0.2">
      <c r="B39" t="s">
        <v>33</v>
      </c>
      <c r="C39" s="1">
        <v>68451</v>
      </c>
      <c r="D39" s="1">
        <v>68451</v>
      </c>
      <c r="E39" s="1">
        <v>68451</v>
      </c>
      <c r="F39" s="1">
        <v>68451</v>
      </c>
      <c r="G39" s="1">
        <v>68451</v>
      </c>
    </row>
    <row r="40" spans="2:7" x14ac:dyDescent="0.2">
      <c r="B40" t="s">
        <v>34</v>
      </c>
      <c r="C40" s="1">
        <v>6420</v>
      </c>
      <c r="D40" s="1">
        <v>5861</v>
      </c>
      <c r="E40" s="1">
        <v>5427</v>
      </c>
      <c r="F40" s="1">
        <v>5254</v>
      </c>
      <c r="G40" s="1">
        <v>6117</v>
      </c>
    </row>
    <row r="41" spans="2:7" x14ac:dyDescent="0.2">
      <c r="B41" t="s">
        <v>35</v>
      </c>
      <c r="C41" s="1">
        <v>-64388</v>
      </c>
      <c r="D41" s="1">
        <v>-51061</v>
      </c>
      <c r="E41" s="1">
        <v>-49453</v>
      </c>
      <c r="F41" s="1">
        <v>-29599</v>
      </c>
      <c r="G41" s="1">
        <v>-28039</v>
      </c>
    </row>
    <row r="42" spans="2:7" x14ac:dyDescent="0.2">
      <c r="B42" s="6" t="s">
        <v>36</v>
      </c>
      <c r="C42" s="13">
        <v>29325</v>
      </c>
      <c r="D42" s="13">
        <v>42093</v>
      </c>
      <c r="E42" s="13">
        <v>43267</v>
      </c>
      <c r="F42" s="13">
        <v>62948</v>
      </c>
      <c r="G42" s="13">
        <v>65371</v>
      </c>
    </row>
    <row r="43" spans="2:7" x14ac:dyDescent="0.2">
      <c r="B43" t="s">
        <v>64</v>
      </c>
      <c r="C43" s="1">
        <f>SUM(C23+C28)</f>
        <v>90712</v>
      </c>
      <c r="D43" s="1">
        <f t="shared" ref="D43:G43" si="14">SUM(D23+D28)</f>
        <v>108783</v>
      </c>
      <c r="E43" s="1">
        <f t="shared" si="14"/>
        <v>109966</v>
      </c>
      <c r="F43" s="1">
        <f t="shared" si="14"/>
        <v>137475</v>
      </c>
      <c r="G43" s="1">
        <f t="shared" si="14"/>
        <v>133081</v>
      </c>
    </row>
    <row r="47" spans="2:7" x14ac:dyDescent="0.2">
      <c r="D47" s="1"/>
      <c r="E4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23904-EC4D-FB45-9718-E02A4934BBD0}">
  <dimension ref="B2:L45"/>
  <sheetViews>
    <sheetView zoomScale="76" zoomScaleNormal="100" workbookViewId="0">
      <selection activeCell="N37" sqref="N37"/>
    </sheetView>
  </sheetViews>
  <sheetFormatPr baseColWidth="10" defaultRowHeight="16" x14ac:dyDescent="0.2"/>
  <cols>
    <col min="1" max="1" width="4.83203125" customWidth="1"/>
    <col min="2" max="2" width="27.6640625" bestFit="1" customWidth="1"/>
    <col min="3" max="3" width="12" customWidth="1"/>
    <col min="4" max="4" width="10.83203125" customWidth="1"/>
    <col min="5" max="5" width="11.1640625" customWidth="1"/>
    <col min="6" max="6" width="10.83203125" customWidth="1"/>
    <col min="7" max="7" width="10.33203125" customWidth="1"/>
    <col min="10" max="10" width="10.83203125" customWidth="1"/>
    <col min="15" max="16" width="10.83203125" customWidth="1"/>
  </cols>
  <sheetData>
    <row r="2" spans="2:12" x14ac:dyDescent="0.2">
      <c r="B2" s="12" t="s">
        <v>67</v>
      </c>
      <c r="C2" s="12">
        <v>2016</v>
      </c>
      <c r="D2" s="12">
        <v>2017</v>
      </c>
      <c r="E2" s="12">
        <v>2018</v>
      </c>
      <c r="F2" s="12">
        <v>2019</v>
      </c>
      <c r="G2" s="12">
        <v>2020</v>
      </c>
      <c r="H2" s="27" t="s">
        <v>69</v>
      </c>
      <c r="I2" s="27" t="s">
        <v>70</v>
      </c>
      <c r="J2" s="27" t="s">
        <v>71</v>
      </c>
      <c r="K2" s="27" t="s">
        <v>72</v>
      </c>
      <c r="L2" s="27" t="s">
        <v>73</v>
      </c>
    </row>
    <row r="3" spans="2:12" x14ac:dyDescent="0.2">
      <c r="B3" s="6" t="s">
        <v>0</v>
      </c>
      <c r="C3" s="11">
        <v>558223</v>
      </c>
      <c r="D3" s="11">
        <v>627518</v>
      </c>
      <c r="E3" s="11">
        <v>738418</v>
      </c>
      <c r="F3" s="11">
        <v>860844</v>
      </c>
      <c r="G3" s="11">
        <v>560040</v>
      </c>
      <c r="H3" s="11">
        <f>E3</f>
        <v>738418</v>
      </c>
      <c r="I3" s="11">
        <f>H3*1.1</f>
        <v>812259.8</v>
      </c>
      <c r="J3" s="11">
        <f t="shared" ref="J3:L3" si="0">I3*1.1</f>
        <v>893485.78000000014</v>
      </c>
      <c r="K3" s="11">
        <f t="shared" si="0"/>
        <v>982834.35800000024</v>
      </c>
      <c r="L3" s="11">
        <f t="shared" si="0"/>
        <v>1081117.7938000003</v>
      </c>
    </row>
    <row r="4" spans="2:12" x14ac:dyDescent="0.2">
      <c r="B4" t="s">
        <v>1</v>
      </c>
      <c r="C4" s="9">
        <f>C3-C5</f>
        <v>374128</v>
      </c>
      <c r="D4" s="9">
        <f>D3-D5</f>
        <v>422299</v>
      </c>
      <c r="E4" s="9">
        <f>E3-E5</f>
        <v>502230</v>
      </c>
      <c r="F4" s="9">
        <f>F3-F5</f>
        <v>585524</v>
      </c>
      <c r="G4" s="9">
        <f>G3-G5</f>
        <v>402104</v>
      </c>
      <c r="H4" s="9">
        <f>H3-H5</f>
        <v>516892.6</v>
      </c>
      <c r="I4" s="9">
        <f t="shared" ref="I4:L4" si="1">I3-I5</f>
        <v>568581.8600000001</v>
      </c>
      <c r="J4" s="9">
        <f t="shared" si="1"/>
        <v>625440.04600000009</v>
      </c>
      <c r="K4" s="9">
        <f t="shared" si="1"/>
        <v>687984.05060000019</v>
      </c>
      <c r="L4" s="9">
        <f t="shared" si="1"/>
        <v>756782.45566000021</v>
      </c>
    </row>
    <row r="5" spans="2:12" x14ac:dyDescent="0.2">
      <c r="B5" s="6" t="s">
        <v>2</v>
      </c>
      <c r="C5" s="11">
        <v>184095</v>
      </c>
      <c r="D5" s="11">
        <v>205219</v>
      </c>
      <c r="E5" s="11">
        <v>236188</v>
      </c>
      <c r="F5" s="11">
        <v>275320</v>
      </c>
      <c r="G5" s="11">
        <v>157936</v>
      </c>
      <c r="H5" s="11">
        <f>H3*H6</f>
        <v>221525.4</v>
      </c>
      <c r="I5" s="11">
        <f t="shared" ref="I5:L5" si="2">I3*I6</f>
        <v>243677.94</v>
      </c>
      <c r="J5" s="11">
        <f t="shared" si="2"/>
        <v>268045.73400000005</v>
      </c>
      <c r="K5" s="11">
        <f t="shared" si="2"/>
        <v>294850.30740000005</v>
      </c>
      <c r="L5" s="11">
        <f t="shared" si="2"/>
        <v>324335.33814000007</v>
      </c>
    </row>
    <row r="6" spans="2:12" x14ac:dyDescent="0.2">
      <c r="B6" s="5" t="s">
        <v>7</v>
      </c>
      <c r="C6" s="28">
        <f>C5/C3</f>
        <v>0.3297875580189279</v>
      </c>
      <c r="D6" s="28">
        <f t="shared" ref="D6:G6" si="3">D5/D3</f>
        <v>0.32703285005370364</v>
      </c>
      <c r="E6" s="28">
        <f t="shared" si="3"/>
        <v>0.31985677488901948</v>
      </c>
      <c r="F6" s="28">
        <f t="shared" si="3"/>
        <v>0.3198256594690792</v>
      </c>
      <c r="G6" s="28">
        <f t="shared" si="3"/>
        <v>0.28200842796943076</v>
      </c>
      <c r="H6" s="28">
        <f>0.3</f>
        <v>0.3</v>
      </c>
      <c r="I6" s="28">
        <f t="shared" ref="I6:L6" si="4">0.3</f>
        <v>0.3</v>
      </c>
      <c r="J6" s="28">
        <f t="shared" si="4"/>
        <v>0.3</v>
      </c>
      <c r="K6" s="28">
        <f t="shared" si="4"/>
        <v>0.3</v>
      </c>
      <c r="L6" s="28">
        <f t="shared" si="4"/>
        <v>0.3</v>
      </c>
    </row>
    <row r="7" spans="2:12" x14ac:dyDescent="0.2">
      <c r="B7" t="s">
        <v>13</v>
      </c>
      <c r="C7" s="9">
        <f>SUM(C8:C11)</f>
        <v>-145717.82676636399</v>
      </c>
      <c r="D7" s="9">
        <f>SUM(D8:D11)</f>
        <v>-162638.82367995818</v>
      </c>
      <c r="E7" s="9">
        <f>SUM(E8:E11)</f>
        <v>-190009.8222795219</v>
      </c>
      <c r="F7" s="9">
        <f>SUM(F8:F11)</f>
        <v>-220438.8207456868</v>
      </c>
      <c r="G7" s="9">
        <f>SUM(G8:G11)</f>
        <v>-152909.83415470325</v>
      </c>
      <c r="H7" s="9">
        <f>SUM(H8,H10,H11,H12)</f>
        <v>-196133.63217388664</v>
      </c>
      <c r="I7" s="9">
        <f t="shared" ref="I7:L7" si="5">SUM(I8,I10,I11,I12)</f>
        <v>-212370.36994252331</v>
      </c>
      <c r="J7" s="9">
        <f t="shared" si="5"/>
        <v>-229576.05632740771</v>
      </c>
      <c r="K7" s="9">
        <f t="shared" si="5"/>
        <v>-246724.445638067</v>
      </c>
      <c r="L7" s="9">
        <f t="shared" si="5"/>
        <v>-268859.45186048653</v>
      </c>
    </row>
    <row r="8" spans="2:12" x14ac:dyDescent="0.2">
      <c r="B8" s="2" t="s">
        <v>3</v>
      </c>
      <c r="C8" s="10">
        <v>-96703</v>
      </c>
      <c r="D8" s="9">
        <v>-110644</v>
      </c>
      <c r="E8" s="9">
        <v>-131232</v>
      </c>
      <c r="F8" s="9">
        <v>-154310</v>
      </c>
      <c r="G8" s="9">
        <v>-92880</v>
      </c>
      <c r="H8" s="9">
        <f>-H3*H9</f>
        <v>-129223.15</v>
      </c>
      <c r="I8" s="9">
        <f t="shared" ref="I8:L8" si="6">-I3*I9</f>
        <v>-142145.465</v>
      </c>
      <c r="J8" s="9">
        <f t="shared" si="6"/>
        <v>-156360.01150000002</v>
      </c>
      <c r="K8" s="9">
        <f t="shared" si="6"/>
        <v>-171996.01265000002</v>
      </c>
      <c r="L8" s="9">
        <f t="shared" si="6"/>
        <v>-189195.61391500005</v>
      </c>
    </row>
    <row r="9" spans="2:12" x14ac:dyDescent="0.2">
      <c r="B9" s="5" t="s">
        <v>74</v>
      </c>
      <c r="C9" s="28">
        <f>-C8/C3</f>
        <v>0.17323363602001352</v>
      </c>
      <c r="D9" s="28">
        <f t="shared" ref="D9:G9" si="7">-D8/D3</f>
        <v>0.17632004181553357</v>
      </c>
      <c r="E9" s="28">
        <f t="shared" si="7"/>
        <v>0.17772047810318817</v>
      </c>
      <c r="F9" s="28">
        <f t="shared" si="7"/>
        <v>0.17925431320889731</v>
      </c>
      <c r="G9" s="28">
        <f t="shared" si="7"/>
        <v>0.16584529676451681</v>
      </c>
      <c r="H9" s="28">
        <f>0.175</f>
        <v>0.17499999999999999</v>
      </c>
      <c r="I9" s="28">
        <f t="shared" ref="I9:L9" si="8">0.175</f>
        <v>0.17499999999999999</v>
      </c>
      <c r="J9" s="28">
        <f t="shared" si="8"/>
        <v>0.17499999999999999</v>
      </c>
      <c r="K9" s="28">
        <f t="shared" si="8"/>
        <v>0.17499999999999999</v>
      </c>
      <c r="L9" s="28">
        <f t="shared" si="8"/>
        <v>0.17499999999999999</v>
      </c>
    </row>
    <row r="10" spans="2:12" x14ac:dyDescent="0.2">
      <c r="B10" s="2" t="s">
        <v>4</v>
      </c>
      <c r="C10" s="10">
        <v>-23166</v>
      </c>
      <c r="D10" s="9">
        <v>-24995</v>
      </c>
      <c r="E10" s="9">
        <v>-27850</v>
      </c>
      <c r="F10" s="9">
        <v>-31037</v>
      </c>
      <c r="G10" s="9">
        <v>-30784</v>
      </c>
      <c r="H10" s="9">
        <f>G10*(F10/C10)^(1/3)</f>
        <v>-33936.56995574756</v>
      </c>
      <c r="I10" s="9">
        <f t="shared" ref="I10:L10" si="9">H10*(G10/D10)^(1/3)</f>
        <v>-36376.863311533503</v>
      </c>
      <c r="J10" s="9">
        <f t="shared" si="9"/>
        <v>-38854.336466655994</v>
      </c>
      <c r="K10" s="9">
        <f t="shared" si="9"/>
        <v>-40965.789967687539</v>
      </c>
      <c r="L10" s="9">
        <f t="shared" si="9"/>
        <v>-44271.694964814611</v>
      </c>
    </row>
    <row r="11" spans="2:12" x14ac:dyDescent="0.2">
      <c r="B11" s="2" t="s">
        <v>5</v>
      </c>
      <c r="C11" s="10">
        <v>-25849</v>
      </c>
      <c r="D11" s="9">
        <v>-27000</v>
      </c>
      <c r="E11" s="9">
        <v>-30928</v>
      </c>
      <c r="F11" s="9">
        <v>-35092</v>
      </c>
      <c r="G11" s="9">
        <v>-29246</v>
      </c>
      <c r="H11" s="9">
        <f>G11*(F11/C11)^(1/3)</f>
        <v>-32383.312218139101</v>
      </c>
      <c r="I11" s="9">
        <f t="shared" ref="I11:L11" si="10">H11*(G11/D11)^(1/3)</f>
        <v>-33257.441630989815</v>
      </c>
      <c r="J11" s="9">
        <f t="shared" si="10"/>
        <v>-33771.108360751685</v>
      </c>
      <c r="K11" s="9">
        <f t="shared" si="10"/>
        <v>-33172.043020379424</v>
      </c>
      <c r="L11" s="9">
        <f t="shared" si="10"/>
        <v>-34801.54298067186</v>
      </c>
    </row>
    <row r="12" spans="2:12" x14ac:dyDescent="0.2">
      <c r="B12" s="2" t="s">
        <v>14</v>
      </c>
      <c r="C12" s="9">
        <v>0</v>
      </c>
      <c r="D12" s="9">
        <v>-551</v>
      </c>
      <c r="E12" s="9">
        <v>-819</v>
      </c>
      <c r="F12" s="9">
        <v>-949</v>
      </c>
      <c r="G12" s="9">
        <v>-634</v>
      </c>
      <c r="H12" s="9">
        <f>AVERAGE($C12:$G12)</f>
        <v>-590.6</v>
      </c>
      <c r="I12" s="9">
        <f t="shared" ref="I12:L12" si="11">AVERAGE($C12:$G12)</f>
        <v>-590.6</v>
      </c>
      <c r="J12" s="9">
        <f t="shared" si="11"/>
        <v>-590.6</v>
      </c>
      <c r="K12" s="9">
        <f t="shared" si="11"/>
        <v>-590.6</v>
      </c>
      <c r="L12" s="9">
        <f t="shared" si="11"/>
        <v>-590.6</v>
      </c>
    </row>
    <row r="13" spans="2:12" x14ac:dyDescent="0.2">
      <c r="B13" t="s">
        <v>6</v>
      </c>
      <c r="C13" s="9">
        <v>38377</v>
      </c>
      <c r="D13" s="9">
        <v>42580</v>
      </c>
      <c r="E13" s="9">
        <v>45359</v>
      </c>
      <c r="F13" s="9">
        <v>53932</v>
      </c>
      <c r="G13" s="9">
        <v>4392</v>
      </c>
      <c r="H13" s="9">
        <f>H5+H7</f>
        <v>25391.767826113355</v>
      </c>
      <c r="I13" s="9">
        <f t="shared" ref="I13:L13" si="12">I5+I7</f>
        <v>31307.570057476696</v>
      </c>
      <c r="J13" s="9">
        <f t="shared" si="12"/>
        <v>38469.677672592341</v>
      </c>
      <c r="K13" s="9">
        <f t="shared" si="12"/>
        <v>48125.861761933047</v>
      </c>
      <c r="L13" s="9">
        <f t="shared" si="12"/>
        <v>55475.886279513536</v>
      </c>
    </row>
    <row r="14" spans="2:12" x14ac:dyDescent="0.2">
      <c r="B14" t="s">
        <v>15</v>
      </c>
      <c r="C14" s="10">
        <v>-24</v>
      </c>
      <c r="D14" s="9">
        <v>-122</v>
      </c>
      <c r="E14" s="9">
        <v>227</v>
      </c>
      <c r="F14" s="9">
        <v>751</v>
      </c>
      <c r="G14" s="9">
        <v>-25</v>
      </c>
      <c r="H14" s="9">
        <f>AVERAGE($C14:$G14)</f>
        <v>161.4</v>
      </c>
      <c r="I14" s="9">
        <f t="shared" ref="I14:L14" si="13">AVERAGE($C14:$G14)</f>
        <v>161.4</v>
      </c>
      <c r="J14" s="9">
        <f t="shared" si="13"/>
        <v>161.4</v>
      </c>
      <c r="K14" s="9">
        <f t="shared" si="13"/>
        <v>161.4</v>
      </c>
      <c r="L14" s="9">
        <f t="shared" si="13"/>
        <v>161.4</v>
      </c>
    </row>
    <row r="15" spans="2:12" x14ac:dyDescent="0.2">
      <c r="B15" t="s">
        <v>9</v>
      </c>
      <c r="C15" s="9">
        <v>38353</v>
      </c>
      <c r="D15" s="9">
        <v>42458</v>
      </c>
      <c r="E15" s="9">
        <v>45586</v>
      </c>
      <c r="F15" s="9">
        <v>54683</v>
      </c>
      <c r="G15" s="9">
        <v>4367</v>
      </c>
      <c r="H15" s="9">
        <f>H13+H14</f>
        <v>25553.167826113357</v>
      </c>
      <c r="I15" s="9">
        <f t="shared" ref="I15:L15" si="14">I13+I14</f>
        <v>31468.970057476698</v>
      </c>
      <c r="J15" s="9">
        <f t="shared" si="14"/>
        <v>38631.077672592342</v>
      </c>
      <c r="K15" s="9">
        <f t="shared" si="14"/>
        <v>48287.261761933049</v>
      </c>
      <c r="L15" s="9">
        <f t="shared" si="14"/>
        <v>55637.286279513537</v>
      </c>
    </row>
    <row r="16" spans="2:12" x14ac:dyDescent="0.2">
      <c r="B16" t="s">
        <v>11</v>
      </c>
      <c r="C16" s="9">
        <f>34151-38353</f>
        <v>-4202</v>
      </c>
      <c r="D16" s="9">
        <f>40659-42458</f>
        <v>-1799</v>
      </c>
      <c r="E16" s="9">
        <f>44146-45586</f>
        <v>-1440</v>
      </c>
      <c r="F16" s="9">
        <f>53993-54683</f>
        <v>-690</v>
      </c>
      <c r="G16" s="9">
        <f>3843- 4367</f>
        <v>-524</v>
      </c>
      <c r="H16" s="9">
        <f>AVERAGE($C16:$G16)</f>
        <v>-1731</v>
      </c>
      <c r="I16" s="9">
        <f t="shared" ref="I16:L16" si="15">AVERAGE($C16:$G16)</f>
        <v>-1731</v>
      </c>
      <c r="J16" s="9">
        <f t="shared" si="15"/>
        <v>-1731</v>
      </c>
      <c r="K16" s="9">
        <f t="shared" si="15"/>
        <v>-1731</v>
      </c>
      <c r="L16" s="9">
        <f t="shared" si="15"/>
        <v>-1731</v>
      </c>
    </row>
    <row r="17" spans="2:12" x14ac:dyDescent="0.2">
      <c r="B17" t="s">
        <v>10</v>
      </c>
      <c r="C17" s="9">
        <v>-9672</v>
      </c>
      <c r="D17" s="9">
        <v>-11734</v>
      </c>
      <c r="E17" s="9">
        <v>-8952</v>
      </c>
      <c r="F17" s="9">
        <v>-11276</v>
      </c>
      <c r="G17" s="9">
        <v>-753</v>
      </c>
      <c r="H17" s="9">
        <f>-(H15+H16)*0.28</f>
        <v>-6670.2069913117402</v>
      </c>
      <c r="I17" s="9">
        <f t="shared" ref="I17:L17" si="16">-(I15+I16)*0.28</f>
        <v>-8326.6316160934766</v>
      </c>
      <c r="J17" s="9">
        <f t="shared" si="16"/>
        <v>-10332.021748325857</v>
      </c>
      <c r="K17" s="9">
        <f t="shared" si="16"/>
        <v>-13035.753293341255</v>
      </c>
      <c r="L17" s="9">
        <f t="shared" si="16"/>
        <v>-15093.760158263793</v>
      </c>
    </row>
    <row r="18" spans="2:12" x14ac:dyDescent="0.2">
      <c r="B18" s="6" t="s">
        <v>12</v>
      </c>
      <c r="C18" s="11">
        <f>SUM(C15:C17)</f>
        <v>24479</v>
      </c>
      <c r="D18" s="11">
        <f>SUM(D15:D17)</f>
        <v>28925</v>
      </c>
      <c r="E18" s="11">
        <f>SUM(E15:E17)</f>
        <v>35194</v>
      </c>
      <c r="F18" s="11">
        <f>SUM(F15:F17)</f>
        <v>42717</v>
      </c>
      <c r="G18" s="11">
        <f>SUM(G15:G17)</f>
        <v>3090</v>
      </c>
      <c r="H18" s="11">
        <f t="shared" ref="H18:L18" si="17">SUM(H15:H17)</f>
        <v>17151.960834801615</v>
      </c>
      <c r="I18" s="11">
        <f t="shared" si="17"/>
        <v>21411.338441383221</v>
      </c>
      <c r="J18" s="11">
        <f t="shared" si="17"/>
        <v>26568.055924266486</v>
      </c>
      <c r="K18" s="11">
        <f t="shared" si="17"/>
        <v>33520.508468591797</v>
      </c>
      <c r="L18" s="11">
        <f t="shared" si="17"/>
        <v>38812.526121249743</v>
      </c>
    </row>
    <row r="20" spans="2:12" x14ac:dyDescent="0.2">
      <c r="B20" s="12" t="s">
        <v>75</v>
      </c>
      <c r="C20" s="12">
        <v>2016</v>
      </c>
      <c r="D20" s="12">
        <v>2017</v>
      </c>
      <c r="E20" s="12">
        <v>2018</v>
      </c>
      <c r="F20" s="12">
        <v>2019</v>
      </c>
      <c r="G20" s="12">
        <v>2020</v>
      </c>
      <c r="H20" s="27" t="s">
        <v>69</v>
      </c>
      <c r="I20" s="27" t="s">
        <v>70</v>
      </c>
      <c r="J20" s="27" t="s">
        <v>71</v>
      </c>
      <c r="K20" s="27" t="s">
        <v>72</v>
      </c>
      <c r="L20" s="27" t="s">
        <v>73</v>
      </c>
    </row>
    <row r="21" spans="2:12" x14ac:dyDescent="0.2">
      <c r="B21" t="s">
        <v>17</v>
      </c>
      <c r="C21" s="1">
        <f>Financials!C21</f>
        <v>39766</v>
      </c>
      <c r="D21" s="1">
        <f>Financials!D21</f>
        <v>46309</v>
      </c>
      <c r="E21" s="1">
        <f>Financials!E21</f>
        <v>46228</v>
      </c>
      <c r="F21" s="1">
        <f>Financials!F21</f>
        <v>52899</v>
      </c>
      <c r="G21" s="1">
        <f>Financials!G21</f>
        <v>36799</v>
      </c>
      <c r="H21" s="1">
        <f>(H3/365)*H22</f>
        <v>49443.867115418012</v>
      </c>
      <c r="I21" s="1">
        <f t="shared" ref="I21:L21" si="18">(I3/365)*I22</f>
        <v>54388.253826959808</v>
      </c>
      <c r="J21" s="1">
        <f t="shared" si="18"/>
        <v>59827.0792096558</v>
      </c>
      <c r="K21" s="1">
        <f t="shared" si="18"/>
        <v>65809.787130621393</v>
      </c>
      <c r="L21" s="1">
        <f t="shared" si="18"/>
        <v>72390.765843683534</v>
      </c>
    </row>
    <row r="22" spans="2:12" x14ac:dyDescent="0.2">
      <c r="B22" s="30" t="s">
        <v>76</v>
      </c>
      <c r="C22" s="32">
        <f>C21/C3*365</f>
        <v>26.001418787832105</v>
      </c>
      <c r="D22" s="32">
        <f t="shared" ref="D22:F22" si="19">D21/D3*365</f>
        <v>26.935936499032696</v>
      </c>
      <c r="E22" s="32">
        <f t="shared" si="19"/>
        <v>22.850499310688527</v>
      </c>
      <c r="F22" s="32">
        <f t="shared" si="19"/>
        <v>22.42930774913922</v>
      </c>
      <c r="G22" s="32">
        <f>G21/G3*365</f>
        <v>23.983349403614028</v>
      </c>
      <c r="H22" s="32">
        <f>AVERAGE($C22:$G22)</f>
        <v>24.440102350061313</v>
      </c>
      <c r="I22" s="32">
        <f t="shared" ref="I22:L22" si="20">AVERAGE($C22:$G22)</f>
        <v>24.440102350061313</v>
      </c>
      <c r="J22" s="32">
        <f t="shared" si="20"/>
        <v>24.440102350061313</v>
      </c>
      <c r="K22" s="32">
        <f t="shared" si="20"/>
        <v>24.440102350061313</v>
      </c>
      <c r="L22" s="32">
        <f t="shared" si="20"/>
        <v>24.440102350061313</v>
      </c>
    </row>
    <row r="23" spans="2:12" x14ac:dyDescent="0.2">
      <c r="B23" s="29" t="s">
        <v>16</v>
      </c>
      <c r="C23" s="1">
        <f>Financials!C20</f>
        <v>4179</v>
      </c>
      <c r="D23" s="1">
        <f>Financials!D20</f>
        <v>5356</v>
      </c>
      <c r="E23" s="1">
        <f>Financials!E20</f>
        <v>9878</v>
      </c>
      <c r="F23" s="1">
        <f>Financials!F20</f>
        <v>11456</v>
      </c>
      <c r="G23" s="1">
        <f>Financials!G20</f>
        <v>11271</v>
      </c>
      <c r="H23" s="1">
        <f>(H4/365)*H24</f>
        <v>9419.5047216791736</v>
      </c>
      <c r="I23" s="1">
        <f t="shared" ref="I23:L23" si="21">(I4/365)*I24</f>
        <v>10361.455193847092</v>
      </c>
      <c r="J23" s="1">
        <f t="shared" si="21"/>
        <v>11397.600713231801</v>
      </c>
      <c r="K23" s="1">
        <f t="shared" si="21"/>
        <v>12537.360784554981</v>
      </c>
      <c r="L23" s="1">
        <f t="shared" si="21"/>
        <v>13791.09686301048</v>
      </c>
    </row>
    <row r="24" spans="2:12" x14ac:dyDescent="0.2">
      <c r="B24" s="30" t="s">
        <v>77</v>
      </c>
      <c r="C24" s="31">
        <f>C23/C4*365</f>
        <v>4.0770404781251335</v>
      </c>
      <c r="D24" s="31">
        <f t="shared" ref="D24:G24" si="22">D23/D4*365</f>
        <v>4.6292792547460451</v>
      </c>
      <c r="E24" s="31">
        <f t="shared" si="22"/>
        <v>7.1789220078450109</v>
      </c>
      <c r="F24" s="31">
        <f t="shared" si="22"/>
        <v>7.1413639748327995</v>
      </c>
      <c r="G24" s="31">
        <f t="shared" si="22"/>
        <v>10.230972584207072</v>
      </c>
      <c r="H24" s="32">
        <f>AVERAGE($C24:$G24)</f>
        <v>6.6515156599512126</v>
      </c>
      <c r="I24" s="32">
        <f t="shared" ref="I24:L24" si="23">AVERAGE($C24:$G24)</f>
        <v>6.6515156599512126</v>
      </c>
      <c r="J24" s="32">
        <f t="shared" si="23"/>
        <v>6.6515156599512126</v>
      </c>
      <c r="K24" s="32">
        <f t="shared" si="23"/>
        <v>6.6515156599512126</v>
      </c>
      <c r="L24" s="32">
        <f t="shared" si="23"/>
        <v>6.6515156599512126</v>
      </c>
    </row>
    <row r="25" spans="2:12" x14ac:dyDescent="0.2">
      <c r="B25" t="s">
        <v>27</v>
      </c>
      <c r="C25" s="1">
        <f>Financials!C30</f>
        <v>40363</v>
      </c>
      <c r="D25" s="1">
        <f>Financials!D30</f>
        <v>47675</v>
      </c>
      <c r="E25" s="1">
        <f>Financials!E30</f>
        <v>50252</v>
      </c>
      <c r="F25" s="1">
        <f>Financials!F30</f>
        <v>59209</v>
      </c>
      <c r="G25" s="1">
        <f>Financials!G30</f>
        <v>49569</v>
      </c>
      <c r="H25" s="1">
        <f>(H4/365)*H26</f>
        <v>56365.34863401475</v>
      </c>
      <c r="I25" s="1">
        <f t="shared" ref="I25:L25" si="24">(I4/365)*I26</f>
        <v>62001.883497416231</v>
      </c>
      <c r="J25" s="1">
        <f t="shared" si="24"/>
        <v>68202.071847157858</v>
      </c>
      <c r="K25" s="1">
        <f t="shared" si="24"/>
        <v>75022.279031873637</v>
      </c>
      <c r="L25" s="1">
        <f t="shared" si="24"/>
        <v>82524.506935061014</v>
      </c>
    </row>
    <row r="26" spans="2:12" x14ac:dyDescent="0.2">
      <c r="B26" s="30" t="s">
        <v>78</v>
      </c>
      <c r="C26" s="31">
        <f>C25/C4*365</f>
        <v>39.378220822819998</v>
      </c>
      <c r="D26" s="31">
        <f t="shared" ref="D26:G26" si="25">D25/D4*365</f>
        <v>41.206289856239302</v>
      </c>
      <c r="E26" s="31">
        <f t="shared" si="25"/>
        <v>36.521076001035382</v>
      </c>
      <c r="F26" s="31">
        <f t="shared" si="25"/>
        <v>36.909306877258665</v>
      </c>
      <c r="G26" s="31">
        <f t="shared" si="25"/>
        <v>44.995038596979889</v>
      </c>
      <c r="H26" s="32">
        <f>AVERAGE($C26:$G26)</f>
        <v>39.801986430866648</v>
      </c>
      <c r="I26" s="32">
        <f t="shared" ref="I26:L26" si="26">AVERAGE($C26:$G26)</f>
        <v>39.801986430866648</v>
      </c>
      <c r="J26" s="32">
        <f t="shared" si="26"/>
        <v>39.801986430866648</v>
      </c>
      <c r="K26" s="32">
        <f t="shared" si="26"/>
        <v>39.801986430866648</v>
      </c>
      <c r="L26" s="32">
        <f t="shared" si="26"/>
        <v>39.801986430866648</v>
      </c>
    </row>
    <row r="28" spans="2:12" x14ac:dyDescent="0.2">
      <c r="B28" s="29" t="s">
        <v>61</v>
      </c>
      <c r="C28" s="9">
        <f>Financials!J29</f>
        <v>2390</v>
      </c>
      <c r="D28" s="9">
        <f>Financials!K29</f>
        <v>2510</v>
      </c>
      <c r="E28" s="9">
        <f>Financials!L29</f>
        <v>2650</v>
      </c>
      <c r="F28" s="9">
        <f>Financials!M29</f>
        <v>2780</v>
      </c>
      <c r="G28" s="9">
        <f>Financials!N29</f>
        <v>3430</v>
      </c>
      <c r="H28" s="9">
        <f>H3*H29</f>
        <v>3134.441593849896</v>
      </c>
      <c r="I28" s="9">
        <f t="shared" ref="I28:L28" si="27">I3*I29</f>
        <v>3447.8857532348861</v>
      </c>
      <c r="J28" s="9">
        <f t="shared" si="27"/>
        <v>3792.6743285583748</v>
      </c>
      <c r="K28" s="9">
        <f t="shared" si="27"/>
        <v>4171.941761414213</v>
      </c>
      <c r="L28" s="9">
        <f t="shared" si="27"/>
        <v>4589.135937555634</v>
      </c>
    </row>
    <row r="29" spans="2:12" x14ac:dyDescent="0.2">
      <c r="B29" s="30" t="s">
        <v>79</v>
      </c>
      <c r="C29" s="33">
        <f>C28/C3</f>
        <v>4.2814430791995317E-3</v>
      </c>
      <c r="D29" s="33">
        <f t="shared" ref="D29:G29" si="28">D28/D3</f>
        <v>3.9998852622554256E-3</v>
      </c>
      <c r="E29" s="33">
        <f t="shared" si="28"/>
        <v>3.5887532535772422E-3</v>
      </c>
      <c r="F29" s="33">
        <f t="shared" si="28"/>
        <v>3.2293888323552235E-3</v>
      </c>
      <c r="G29" s="33">
        <f t="shared" si="28"/>
        <v>6.1245625312477681E-3</v>
      </c>
      <c r="H29" s="34">
        <f>AVERAGE($C29:$G29)</f>
        <v>4.2448065917270383E-3</v>
      </c>
      <c r="I29" s="34">
        <f t="shared" ref="I29:L29" si="29">AVERAGE($C29:$G29)</f>
        <v>4.2448065917270383E-3</v>
      </c>
      <c r="J29" s="34">
        <f t="shared" si="29"/>
        <v>4.2448065917270383E-3</v>
      </c>
      <c r="K29" s="34">
        <f t="shared" si="29"/>
        <v>4.2448065917270383E-3</v>
      </c>
      <c r="L29" s="34">
        <f t="shared" si="29"/>
        <v>4.2448065917270383E-3</v>
      </c>
    </row>
    <row r="30" spans="2:12" x14ac:dyDescent="0.2">
      <c r="B30" s="29" t="s">
        <v>83</v>
      </c>
      <c r="D30" s="9">
        <f>D28+Financials!D24-Financials!C24</f>
        <v>2401</v>
      </c>
      <c r="E30" s="9">
        <f>E28+Financials!E24-Financials!D24</f>
        <v>2833</v>
      </c>
      <c r="F30" s="9">
        <f>F28+Financials!F24-Financials!E24</f>
        <v>8137</v>
      </c>
      <c r="G30" s="9">
        <f>G28+Financials!G24-Financials!F24</f>
        <v>3893</v>
      </c>
      <c r="H30" s="9">
        <f>H3*H31</f>
        <v>3554.2134826873535</v>
      </c>
      <c r="I30" s="9">
        <f t="shared" ref="I30:L30" si="30">I3*I31</f>
        <v>3909.634830956089</v>
      </c>
      <c r="J30" s="9">
        <f t="shared" si="30"/>
        <v>4300.5983140516983</v>
      </c>
      <c r="K30" s="9">
        <f t="shared" si="30"/>
        <v>4730.6581454568686</v>
      </c>
      <c r="L30" s="9">
        <f t="shared" si="30"/>
        <v>5203.7239600025559</v>
      </c>
    </row>
    <row r="31" spans="2:12" x14ac:dyDescent="0.2">
      <c r="B31" s="30" t="s">
        <v>84</v>
      </c>
      <c r="C31" s="33">
        <f>C30/C5</f>
        <v>0</v>
      </c>
      <c r="D31" s="33">
        <f t="shared" ref="D31:F31" si="31">D30/D3</f>
        <v>3.8261850656076796E-3</v>
      </c>
      <c r="E31" s="33">
        <f t="shared" si="31"/>
        <v>3.8365803650506894E-3</v>
      </c>
      <c r="F31" s="33">
        <f t="shared" si="31"/>
        <v>9.4523514132641914E-3</v>
      </c>
      <c r="G31" s="33">
        <f>G30/G3</f>
        <v>6.9512891936290263E-3</v>
      </c>
      <c r="H31" s="34">
        <f>AVERAGE($C31:$G32)</f>
        <v>4.8132812075103171E-3</v>
      </c>
      <c r="I31" s="34">
        <f t="shared" ref="I31:L31" si="32">AVERAGE($C31:$G31)</f>
        <v>4.8132812075103171E-3</v>
      </c>
      <c r="J31" s="34">
        <f t="shared" si="32"/>
        <v>4.8132812075103171E-3</v>
      </c>
      <c r="K31" s="34">
        <f t="shared" si="32"/>
        <v>4.8132812075103171E-3</v>
      </c>
      <c r="L31" s="34">
        <f t="shared" si="32"/>
        <v>4.8132812075103171E-3</v>
      </c>
    </row>
    <row r="33" spans="2:12" x14ac:dyDescent="0.2">
      <c r="B33" s="12" t="s">
        <v>80</v>
      </c>
      <c r="C33" s="12">
        <v>2020</v>
      </c>
      <c r="D33" s="27" t="s">
        <v>69</v>
      </c>
      <c r="E33" s="27" t="s">
        <v>70</v>
      </c>
      <c r="F33" s="27" t="s">
        <v>71</v>
      </c>
      <c r="G33" s="27" t="s">
        <v>72</v>
      </c>
      <c r="H33" s="27" t="s">
        <v>73</v>
      </c>
      <c r="K33" s="37" t="s">
        <v>86</v>
      </c>
      <c r="L33">
        <v>1.2</v>
      </c>
    </row>
    <row r="34" spans="2:12" x14ac:dyDescent="0.2">
      <c r="B34" t="s">
        <v>81</v>
      </c>
      <c r="C34" s="1">
        <f>Financials!J30*(1-0.22)</f>
        <v>28069.86</v>
      </c>
      <c r="D34" s="1">
        <f>(H13-H28)*(1-0.28)</f>
        <v>16025.274887229689</v>
      </c>
      <c r="E34" s="1">
        <f>(I13-I28)*(1-0.28)</f>
        <v>20058.972699054102</v>
      </c>
      <c r="F34" s="1">
        <f>(J13-J28)*(1-0.28)</f>
        <v>24967.442407704457</v>
      </c>
      <c r="G34" s="1">
        <f>(K13-K28)*(1-0.28)</f>
        <v>31646.82240037356</v>
      </c>
      <c r="H34" s="1">
        <f>(L13-L28)*(1-0.28)</f>
        <v>36638.460246209688</v>
      </c>
      <c r="K34" s="47" t="s">
        <v>87</v>
      </c>
      <c r="L34" s="7">
        <v>1.7999999999999999E-2</v>
      </c>
    </row>
    <row r="35" spans="2:12" x14ac:dyDescent="0.2">
      <c r="B35" t="s">
        <v>61</v>
      </c>
      <c r="C35" s="1">
        <f>G28</f>
        <v>3430</v>
      </c>
      <c r="D35" s="1">
        <f>H28</f>
        <v>3134.441593849896</v>
      </c>
      <c r="E35" s="1">
        <f>I28</f>
        <v>3447.8857532348861</v>
      </c>
      <c r="F35" s="1">
        <f>J28</f>
        <v>3792.6743285583748</v>
      </c>
      <c r="G35" s="1">
        <f>K28</f>
        <v>4171.941761414213</v>
      </c>
      <c r="H35" s="1">
        <f>L28</f>
        <v>4589.135937555634</v>
      </c>
      <c r="K35" s="46" t="s">
        <v>88</v>
      </c>
      <c r="L35" s="7">
        <v>0.05</v>
      </c>
    </row>
    <row r="36" spans="2:12" x14ac:dyDescent="0.2">
      <c r="B36" t="s">
        <v>82</v>
      </c>
      <c r="C36" s="1"/>
      <c r="D36" s="1">
        <f>(H21+H23-H25) - (G21+G23-G25)</f>
        <v>3997.0232030824336</v>
      </c>
      <c r="E36" s="1">
        <f>(I21+I23-I25) - (H21+H23-H25)</f>
        <v>249.8023203082339</v>
      </c>
      <c r="F36" s="1">
        <f>(J21+J23-J25) - (I21+I23-I25)</f>
        <v>274.78255233907839</v>
      </c>
      <c r="G36" s="1">
        <f>(K21+K23-K25) - (J21+J23-J25)</f>
        <v>302.26080757299496</v>
      </c>
      <c r="H36" s="1">
        <f>(L21+L23-L25) - (K21+K23-K25)</f>
        <v>332.48688833025517</v>
      </c>
      <c r="K36" s="46" t="s">
        <v>96</v>
      </c>
      <c r="L36" s="7">
        <f>L34+L33*(L34+L35)</f>
        <v>9.9600000000000008E-2</v>
      </c>
    </row>
    <row r="37" spans="2:12" x14ac:dyDescent="0.2">
      <c r="B37" s="14" t="s">
        <v>83</v>
      </c>
      <c r="C37" s="35"/>
      <c r="D37" s="35">
        <f>H30</f>
        <v>3554.2134826873535</v>
      </c>
      <c r="E37" s="35">
        <f>I30</f>
        <v>3909.634830956089</v>
      </c>
      <c r="F37" s="35">
        <f>J30</f>
        <v>4300.5983140516983</v>
      </c>
      <c r="G37" s="35">
        <f>K30</f>
        <v>4730.6581454568686</v>
      </c>
      <c r="H37" s="35">
        <f>L30</f>
        <v>5203.7239600025559</v>
      </c>
      <c r="I37" s="14" t="s">
        <v>89</v>
      </c>
    </row>
    <row r="38" spans="2:12" x14ac:dyDescent="0.2">
      <c r="B38" s="6" t="s">
        <v>85</v>
      </c>
      <c r="C38" s="6"/>
      <c r="D38" s="13">
        <f>D34+D35-D36-D37</f>
        <v>11608.479795309797</v>
      </c>
      <c r="E38" s="13">
        <f t="shared" ref="E38:H38" si="33">E34+E35-E36-E37</f>
        <v>19347.421301024664</v>
      </c>
      <c r="F38" s="13">
        <f t="shared" si="33"/>
        <v>24184.735869872056</v>
      </c>
      <c r="G38" s="13">
        <f t="shared" si="33"/>
        <v>30785.84520875791</v>
      </c>
      <c r="H38" s="13">
        <f t="shared" si="33"/>
        <v>35691.385335432511</v>
      </c>
      <c r="I38" s="13">
        <f>H38*(1+0.03)/(L36-0.03)</f>
        <v>528191.47838355578</v>
      </c>
    </row>
    <row r="39" spans="2:12" x14ac:dyDescent="0.2">
      <c r="B39" s="36" t="s">
        <v>90</v>
      </c>
      <c r="D39" s="1">
        <f>D38/(1+$L$36)^1</f>
        <v>10557.002360230808</v>
      </c>
      <c r="E39" s="1">
        <f>E38/(1+$L$36)^1</f>
        <v>17594.962987472412</v>
      </c>
      <c r="F39" s="1">
        <f>F38/(1+$L$36)^1</f>
        <v>21994.121380385648</v>
      </c>
      <c r="G39" s="1">
        <f>G38/(1+$L$36)^1</f>
        <v>27997.312848997739</v>
      </c>
      <c r="H39" s="1">
        <f>H38/(1+$L$36)^1</f>
        <v>32458.517038407161</v>
      </c>
      <c r="I39" s="1">
        <f>I38/(1+L36)^5</f>
        <v>328562.3032878745</v>
      </c>
    </row>
    <row r="40" spans="2:12" ht="17" thickBot="1" x14ac:dyDescent="0.25">
      <c r="D40" s="6"/>
      <c r="E40" s="6"/>
      <c r="F40" s="6"/>
      <c r="G40" s="6"/>
      <c r="H40" s="6"/>
      <c r="I40" s="6"/>
      <c r="J40" s="6"/>
    </row>
    <row r="41" spans="2:12" x14ac:dyDescent="0.2">
      <c r="B41" s="38" t="s">
        <v>91</v>
      </c>
      <c r="C41" s="42">
        <f>SUM(D39:I39)</f>
        <v>439164.21990336827</v>
      </c>
    </row>
    <row r="42" spans="2:12" x14ac:dyDescent="0.2">
      <c r="B42" s="39" t="s">
        <v>95</v>
      </c>
      <c r="C42" s="43">
        <f>C41+Financials!G19</f>
        <v>478930.21990336827</v>
      </c>
    </row>
    <row r="43" spans="2:12" x14ac:dyDescent="0.2">
      <c r="B43" s="39" t="s">
        <v>92</v>
      </c>
      <c r="C43" s="40">
        <f>28085.5</f>
        <v>28085.5</v>
      </c>
    </row>
    <row r="44" spans="2:12" x14ac:dyDescent="0.2">
      <c r="B44" s="39" t="s">
        <v>93</v>
      </c>
      <c r="C44" s="44">
        <f>C42/C43</f>
        <v>17.052579441468669</v>
      </c>
    </row>
    <row r="45" spans="2:12" ht="17" thickBot="1" x14ac:dyDescent="0.25">
      <c r="B45" s="41" t="s">
        <v>94</v>
      </c>
      <c r="C45" s="45">
        <v>25.1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Financials</vt:lpstr>
      <vt:lpstr>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2021-04-03T17:06:40Z</dcterms:created>
  <dcterms:modified xsi:type="dcterms:W3CDTF">2021-04-05T10:58:22Z</dcterms:modified>
</cp:coreProperties>
</file>