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 Mailer\OneDrive - University of Cape Town\Vac Work\"/>
    </mc:Choice>
  </mc:AlternateContent>
  <xr:revisionPtr revIDLastSave="359" documentId="8_{E6580E51-DC02-994E-97B3-0B3D5EAADCBD}" xr6:coauthVersionLast="41" xr6:coauthVersionMax="45" xr10:uidLastSave="{3EFED247-4822-4FD4-B28A-19856CAE0620}"/>
  <bookViews>
    <workbookView xWindow="-103" yWindow="-103" windowWidth="22149" windowHeight="13320" activeTab="1" xr2:uid="{06EE572B-FC14-6749-993E-24B1777A71E3}"/>
  </bookViews>
  <sheets>
    <sheet name="Including Toe" sheetId="1" r:id="rId1"/>
    <sheet name="Excluding Toe" sheetId="2" r:id="rId2"/>
  </sheets>
  <definedNames>
    <definedName name="solver_adj" localSheetId="0" hidden="1">'Including Toe'!$B$5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'Including Toe'!$B$17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2</definedName>
  </definedName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6" i="2" l="1"/>
  <c r="B26" i="2"/>
  <c r="B14" i="2"/>
  <c r="D14" i="2" s="1"/>
  <c r="B13" i="2"/>
  <c r="B15" i="2" s="1"/>
  <c r="C34" i="2" l="1"/>
  <c r="B18" i="2"/>
  <c r="B34" i="2"/>
  <c r="D15" i="2"/>
  <c r="B17" i="2"/>
  <c r="C52" i="2" l="1"/>
  <c r="B52" i="2"/>
  <c r="C51" i="2"/>
  <c r="B24" i="2"/>
  <c r="B51" i="2"/>
  <c r="C24" i="2"/>
  <c r="D17" i="2"/>
  <c r="B41" i="2" a="1"/>
  <c r="J33" i="2" a="1"/>
  <c r="B37" i="2" a="1"/>
  <c r="B25" i="2"/>
  <c r="C25" i="2"/>
  <c r="D18" i="2"/>
  <c r="B41" i="2" l="1"/>
  <c r="C42" i="2"/>
  <c r="B42" i="2"/>
  <c r="C41" i="2"/>
  <c r="B37" i="2"/>
  <c r="B38" i="2"/>
  <c r="C37" i="2"/>
  <c r="C38" i="2"/>
  <c r="J34" i="2"/>
  <c r="J33" i="2"/>
  <c r="J51" i="2" a="1"/>
  <c r="B59" i="2" a="1"/>
  <c r="B55" i="2" a="1"/>
  <c r="B60" i="2" l="1"/>
  <c r="C59" i="2"/>
  <c r="B59" i="2"/>
  <c r="C60" i="2"/>
  <c r="J52" i="2"/>
  <c r="J51" i="2"/>
  <c r="B56" i="2"/>
  <c r="C55" i="2"/>
  <c r="B55" i="2"/>
  <c r="C56" i="2"/>
  <c r="J37" i="2" a="1"/>
  <c r="J41" i="2" a="1"/>
  <c r="B45" i="2" a="1"/>
  <c r="J42" i="2" l="1"/>
  <c r="J41" i="2"/>
  <c r="J38" i="2"/>
  <c r="J37" i="2"/>
  <c r="J59" i="2" a="1"/>
  <c r="B63" i="2" a="1"/>
  <c r="B45" i="2"/>
  <c r="C46" i="2"/>
  <c r="B46" i="2"/>
  <c r="C45" i="2"/>
  <c r="J55" i="2" a="1"/>
  <c r="J45" i="2" l="1" a="1"/>
  <c r="J56" i="2"/>
  <c r="J55" i="2"/>
  <c r="B64" i="2"/>
  <c r="C63" i="2"/>
  <c r="B63" i="2"/>
  <c r="C64" i="2"/>
  <c r="J60" i="2"/>
  <c r="J59" i="2"/>
  <c r="J63" i="2" l="1" a="1"/>
  <c r="J46" i="2"/>
  <c r="J45" i="2"/>
  <c r="B14" i="1"/>
  <c r="B13" i="1"/>
  <c r="J64" i="2" l="1"/>
  <c r="J63" i="2"/>
  <c r="B22" i="1"/>
  <c r="D14" i="1"/>
  <c r="C32" i="1"/>
  <c r="B32" i="1"/>
  <c r="C29" i="1" l="1"/>
  <c r="B29" i="1"/>
  <c r="B18" i="1"/>
  <c r="C31" i="1" s="1"/>
  <c r="B17" i="1"/>
  <c r="D23" i="1"/>
  <c r="B31" i="1" l="1"/>
  <c r="B19" i="1"/>
  <c r="B20" i="1"/>
  <c r="D20" i="1" s="1"/>
  <c r="B21" i="1"/>
  <c r="B23" i="1" l="1"/>
  <c r="B16" i="1"/>
  <c r="B15" i="1" s="1"/>
  <c r="D16" i="1" s="1"/>
  <c r="D21" i="1"/>
  <c r="B47" i="1" a="1"/>
  <c r="B47" i="1" s="1"/>
  <c r="B43" i="1" a="1"/>
  <c r="B43" i="1" s="1"/>
  <c r="J43" i="1" s="1" a="1"/>
  <c r="J43" i="1" s="1"/>
  <c r="J39" i="1" a="1"/>
  <c r="J39" i="1" s="1"/>
  <c r="D15" i="1" l="1"/>
  <c r="C30" i="1"/>
  <c r="C57" i="1"/>
  <c r="B57" i="1"/>
  <c r="B58" i="1"/>
  <c r="C58" i="1"/>
  <c r="D22" i="1"/>
  <c r="B30" i="1"/>
  <c r="B51" i="1" a="1"/>
  <c r="B51" i="1" s="1"/>
  <c r="J51" i="1" s="1" a="1"/>
  <c r="J51" i="1" s="1"/>
  <c r="J47" i="1" a="1"/>
  <c r="J47" i="1" s="1"/>
  <c r="B61" i="1" l="1" a="1"/>
  <c r="B61" i="1" s="1"/>
  <c r="J61" i="1" s="1" a="1"/>
  <c r="J61" i="1" s="1"/>
  <c r="J57" i="1" a="1"/>
  <c r="J57" i="1" s="1"/>
  <c r="B65" i="1" a="1"/>
  <c r="B65" i="1" s="1"/>
  <c r="J65" i="1" s="1" a="1"/>
  <c r="J65" i="1" s="1"/>
  <c r="B69" i="1" l="1" a="1"/>
  <c r="B69" i="1" s="1"/>
  <c r="J69" i="1" s="1" a="1"/>
  <c r="J69" i="1" s="1"/>
  <c r="J70" i="1"/>
  <c r="C70" i="1"/>
  <c r="B70" i="1"/>
  <c r="C69" i="1"/>
  <c r="J66" i="1"/>
  <c r="C66" i="1"/>
  <c r="B66" i="1"/>
  <c r="C65" i="1"/>
  <c r="J62" i="1"/>
  <c r="C62" i="1"/>
  <c r="B62" i="1"/>
  <c r="C61" i="1"/>
  <c r="J58" i="1"/>
  <c r="J48" i="1"/>
  <c r="C48" i="1"/>
  <c r="B48" i="1"/>
  <c r="C47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<sst xmlns="http://schemas.openxmlformats.org/spreadsheetml/2006/main" count="307" uniqueCount="56">
  <si>
    <t>x</t>
  </si>
  <si>
    <t>y</t>
  </si>
  <si>
    <t>rad</t>
  </si>
  <si>
    <t>mm</t>
  </si>
  <si>
    <t>deg</t>
  </si>
  <si>
    <t>Joint 1</t>
  </si>
  <si>
    <t>Joint 2</t>
  </si>
  <si>
    <t>End Effector</t>
  </si>
  <si>
    <t>Origin</t>
  </si>
  <si>
    <t>N</t>
  </si>
  <si>
    <t>Nmm</t>
  </si>
  <si>
    <t>rad/s</t>
  </si>
  <si>
    <t>mm/s</t>
  </si>
  <si>
    <t>J</t>
  </si>
  <si>
    <t>Jᵀ</t>
  </si>
  <si>
    <t>J⁻¹</t>
  </si>
  <si>
    <t>r</t>
  </si>
  <si>
    <t>(Jᵀ)⁻¹</t>
  </si>
  <si>
    <t>End Effector Position</t>
  </si>
  <si>
    <t>Plotting</t>
  </si>
  <si>
    <t>=</t>
  </si>
  <si>
    <t>End Effector Speed</t>
  </si>
  <si>
    <t>θ̇₁</t>
  </si>
  <si>
    <t>θ̇₂</t>
  </si>
  <si>
    <t>φ̇</t>
  </si>
  <si>
    <t>ṙ</t>
  </si>
  <si>
    <t>τ₁</t>
  </si>
  <si>
    <t>τ₂</t>
  </si>
  <si>
    <t>End Effector Force</t>
  </si>
  <si>
    <t>Fᵩ</t>
  </si>
  <si>
    <t>Fᵣ</t>
  </si>
  <si>
    <t>Joint Torque</t>
  </si>
  <si>
    <t>Joint Speed</t>
  </si>
  <si>
    <t>φ</t>
  </si>
  <si>
    <t>λ</t>
  </si>
  <si>
    <t>θ₁</t>
  </si>
  <si>
    <t>θ₂</t>
  </si>
  <si>
    <t>L₁</t>
  </si>
  <si>
    <t>L₂</t>
  </si>
  <si>
    <t>ẋ</t>
  </si>
  <si>
    <t>ẏ</t>
  </si>
  <si>
    <t>Fₓ</t>
  </si>
  <si>
    <t>Fy</t>
  </si>
  <si>
    <t>Cartesian Coordinates</t>
  </si>
  <si>
    <t>Polar Coordinates</t>
  </si>
  <si>
    <t>Link Dimensions</t>
  </si>
  <si>
    <t>L₃</t>
  </si>
  <si>
    <t>α</t>
  </si>
  <si>
    <t xml:space="preserve"> </t>
  </si>
  <si>
    <t>x'</t>
  </si>
  <si>
    <t>y'</t>
  </si>
  <si>
    <t>r'</t>
  </si>
  <si>
    <t>φ'</t>
  </si>
  <si>
    <t>Joint 3</t>
  </si>
  <si>
    <t>ψ</t>
  </si>
  <si>
    <r>
      <t xml:space="preserve">NB: </t>
    </r>
    <r>
      <rPr>
        <sz val="20"/>
        <color theme="1"/>
        <rFont val="Calibri"/>
        <family val="2"/>
        <scheme val="minor"/>
      </rPr>
      <t>Only edit highlighted cells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</si>
</sst>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ill="1"/>
    <xf numFmtId="2" fontId="0" fillId="2" borderId="1" xfId="0" applyNumberFormat="1" applyFill="1" applyBorder="1"/>
    <xf numFmtId="0" fontId="0" fillId="2" borderId="1" xfId="0" applyFill="1" applyBorder="1"/>
    <xf numFmtId="164" fontId="0" fillId="2" borderId="1" xfId="0" applyNumberFormat="1" applyFill="1" applyBorder="1"/>
    <xf numFmtId="0" fontId="0" fillId="0" borderId="0" xfId="0" applyBorder="1"/>
    <xf numFmtId="0" fontId="0" fillId="0" borderId="0" xfId="0" applyFill="1" applyBorder="1"/>
    <xf numFmtId="165" fontId="0" fillId="0" borderId="0" xfId="0" applyNumberFormat="1" applyFill="1" applyBorder="1"/>
    <xf numFmtId="164" fontId="0" fillId="0" borderId="0" xfId="0" applyNumberFormat="1" applyFill="1" applyBorder="1"/>
    <xf numFmtId="2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0" xfId="0" applyBorder="1" applyAlignment="1"/>
    <xf numFmtId="0" fontId="0" fillId="0" borderId="4" xfId="0" applyFill="1" applyBorder="1"/>
    <xf numFmtId="0" fontId="0" fillId="0" borderId="3" xfId="0" applyFill="1" applyBorder="1"/>
    <xf numFmtId="0" fontId="0" fillId="0" borderId="6" xfId="0" applyBorder="1"/>
    <xf numFmtId="0" fontId="0" fillId="0" borderId="2" xfId="0" applyBorder="1"/>
    <xf numFmtId="0" fontId="0" fillId="0" borderId="7" xfId="0" applyBorder="1"/>
    <xf numFmtId="165" fontId="0" fillId="3" borderId="1" xfId="0" applyNumberFormat="1" applyFill="1" applyBorder="1"/>
    <xf numFmtId="164" fontId="0" fillId="3" borderId="1" xfId="0" applyNumberFormat="1" applyFill="1" applyBorder="1"/>
    <xf numFmtId="0" fontId="2" fillId="0" borderId="0" xfId="0" applyFont="1"/>
    <xf numFmtId="0" fontId="0" fillId="0" borderId="0" xfId="0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883218803300831E-2"/>
          <c:y val="3.4964291122148515E-2"/>
          <c:w val="0.7051786677281916"/>
          <c:h val="0.93007141775570301"/>
        </c:manualLayout>
      </c:layout>
      <c:scatterChart>
        <c:scatterStyle val="lineMarker"/>
        <c:varyColors val="0"/>
        <c:ser>
          <c:idx val="0"/>
          <c:order val="0"/>
          <c:tx>
            <c:v>Link 1</c:v>
          </c:tx>
          <c:spPr>
            <a:ln w="2540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('Including Toe'!$B$28,'Including Toe'!$B$29,'Including Toe'!$B$31,'Including Toe'!$B$32)</c:f>
              <c:numCache>
                <c:formatCode>0.00</c:formatCode>
                <c:ptCount val="4"/>
                <c:pt idx="0">
                  <c:v>0</c:v>
                </c:pt>
                <c:pt idx="1">
                  <c:v>-127.75430750443408</c:v>
                </c:pt>
                <c:pt idx="2">
                  <c:v>-13.687961518332216</c:v>
                </c:pt>
                <c:pt idx="3">
                  <c:v>0</c:v>
                </c:pt>
              </c:numCache>
            </c:numRef>
          </c:xVal>
          <c:yVal>
            <c:numRef>
              <c:f>('Including Toe'!$C$28,'Including Toe'!$C$29,'Including Toe'!$C$31,'Including Toe'!$C$32)</c:f>
              <c:numCache>
                <c:formatCode>0.00</c:formatCode>
                <c:ptCount val="4"/>
                <c:pt idx="0">
                  <c:v>0</c:v>
                </c:pt>
                <c:pt idx="1">
                  <c:v>50.843749999999979</c:v>
                </c:pt>
                <c:pt idx="2">
                  <c:v>273.3046875</c:v>
                </c:pt>
                <c:pt idx="3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8A-7C4F-B0B2-058017CD54B8}"/>
            </c:ext>
          </c:extLst>
        </c:ser>
        <c:ser>
          <c:idx val="1"/>
          <c:order val="1"/>
          <c:tx>
            <c:v>Link 2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('Including Toe'!$B$28,'Including Toe'!$B$30,'Including Toe'!$B$31)</c:f>
              <c:numCache>
                <c:formatCode>0.00</c:formatCode>
                <c:ptCount val="3"/>
                <c:pt idx="0">
                  <c:v>0</c:v>
                </c:pt>
                <c:pt idx="1">
                  <c:v>122.03492452259572</c:v>
                </c:pt>
                <c:pt idx="2">
                  <c:v>-13.687961518332216</c:v>
                </c:pt>
              </c:numCache>
            </c:numRef>
          </c:xVal>
          <c:yVal>
            <c:numRef>
              <c:f>('Including Toe'!$C$28,'Including Toe'!$C$30,'Including Toe'!$C$31)</c:f>
              <c:numCache>
                <c:formatCode>0.00</c:formatCode>
                <c:ptCount val="3"/>
                <c:pt idx="0">
                  <c:v>0</c:v>
                </c:pt>
                <c:pt idx="1">
                  <c:v>63.353983274647902</c:v>
                </c:pt>
                <c:pt idx="2">
                  <c:v>273.3046875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8A-7C4F-B0B2-058017CD54B8}"/>
            </c:ext>
          </c:extLst>
        </c:ser>
        <c:ser>
          <c:idx val="2"/>
          <c:order val="2"/>
          <c:tx>
            <c:v>Virtual Leg</c:v>
          </c:tx>
          <c:spPr>
            <a:ln w="254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('Including Toe'!$B$28,'Including Toe'!$B$32)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('Including Toe'!$C$28,'Including Toe'!$C$32)</c:f>
              <c:numCache>
                <c:formatCode>0.00</c:formatCode>
                <c:ptCount val="2"/>
                <c:pt idx="0">
                  <c:v>0</c:v>
                </c:pt>
                <c:pt idx="1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B4-EF45-BEF2-941DB24CE9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9757055"/>
        <c:axId val="1769758687"/>
      </c:scatterChart>
      <c:valAx>
        <c:axId val="1769757055"/>
        <c:scaling>
          <c:orientation val="minMax"/>
          <c:max val="400"/>
          <c:min val="-400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758687"/>
        <c:crosses val="autoZero"/>
        <c:crossBetween val="midCat"/>
      </c:valAx>
      <c:valAx>
        <c:axId val="1769758687"/>
        <c:scaling>
          <c:orientation val="minMax"/>
          <c:max val="390"/>
          <c:min val="-400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7570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883218803300831E-2"/>
          <c:y val="3.4964291122148515E-2"/>
          <c:w val="0.69163580841298866"/>
          <c:h val="0.93007141775570301"/>
        </c:manualLayout>
      </c:layout>
      <c:scatterChart>
        <c:scatterStyle val="lineMarker"/>
        <c:varyColors val="0"/>
        <c:ser>
          <c:idx val="0"/>
          <c:order val="0"/>
          <c:tx>
            <c:v>Link 1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('Excluding Toe'!$B$23,'Excluding Toe'!$B$24,'Excluding Toe'!$B$26)</c:f>
              <c:numCache>
                <c:formatCode>0.00</c:formatCode>
                <c:ptCount val="3"/>
                <c:pt idx="0">
                  <c:v>0</c:v>
                </c:pt>
                <c:pt idx="1">
                  <c:v>-113.68462664730663</c:v>
                </c:pt>
                <c:pt idx="2">
                  <c:v>0</c:v>
                </c:pt>
              </c:numCache>
            </c:numRef>
          </c:xVal>
          <c:yVal>
            <c:numRef>
              <c:f>('Excluding Toe'!$C$23,'Excluding Toe'!$C$24,'Excluding Toe'!$C$26)</c:f>
              <c:numCache>
                <c:formatCode>0.00</c:formatCode>
                <c:ptCount val="3"/>
                <c:pt idx="0">
                  <c:v>0</c:v>
                </c:pt>
                <c:pt idx="1">
                  <c:v>77.34375</c:v>
                </c:pt>
                <c:pt idx="2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B6-45F6-9D3A-5AF8FBD0DCA9}"/>
            </c:ext>
          </c:extLst>
        </c:ser>
        <c:ser>
          <c:idx val="1"/>
          <c:order val="1"/>
          <c:tx>
            <c:v>Link 2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('Excluding Toe'!$B$23,'Excluding Toe'!$B$25,'Excluding Toe'!$B$26)</c:f>
              <c:numCache>
                <c:formatCode>0.00</c:formatCode>
                <c:ptCount val="3"/>
                <c:pt idx="0">
                  <c:v>0</c:v>
                </c:pt>
                <c:pt idx="1">
                  <c:v>113.68462664730663</c:v>
                </c:pt>
                <c:pt idx="2">
                  <c:v>0</c:v>
                </c:pt>
              </c:numCache>
            </c:numRef>
          </c:xVal>
          <c:yVal>
            <c:numRef>
              <c:f>('Excluding Toe'!$C$23,'Excluding Toe'!$C$25,'Excluding Toe'!$C$26)</c:f>
              <c:numCache>
                <c:formatCode>0.00</c:formatCode>
                <c:ptCount val="3"/>
                <c:pt idx="0">
                  <c:v>0</c:v>
                </c:pt>
                <c:pt idx="1">
                  <c:v>77.34375</c:v>
                </c:pt>
                <c:pt idx="2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B6-45F6-9D3A-5AF8FBD0DCA9}"/>
            </c:ext>
          </c:extLst>
        </c:ser>
        <c:ser>
          <c:idx val="2"/>
          <c:order val="2"/>
          <c:tx>
            <c:v>Virtual Leg</c:v>
          </c:tx>
          <c:spPr>
            <a:ln w="254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('Excluding Toe'!$B$23,'Excluding Toe'!$B$26)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('Excluding Toe'!$C$23,'Excluding Toe'!$C$26)</c:f>
              <c:numCache>
                <c:formatCode>0.00</c:formatCode>
                <c:ptCount val="2"/>
                <c:pt idx="0">
                  <c:v>0</c:v>
                </c:pt>
                <c:pt idx="1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B6-45F6-9D3A-5AF8FBD0DC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9757055"/>
        <c:axId val="1769758687"/>
      </c:scatterChart>
      <c:valAx>
        <c:axId val="1769757055"/>
        <c:scaling>
          <c:orientation val="minMax"/>
          <c:max val="400"/>
          <c:min val="-400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758687"/>
        <c:crosses val="autoZero"/>
        <c:crossBetween val="midCat"/>
      </c:valAx>
      <c:valAx>
        <c:axId val="1769758687"/>
        <c:scaling>
          <c:orientation val="minMax"/>
          <c:max val="390"/>
          <c:min val="-400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7570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823860</xdr:colOff>
      <xdr:row>5</xdr:row>
      <xdr:rowOff>0</xdr:rowOff>
    </xdr:from>
    <xdr:to>
      <xdr:col>13</xdr:col>
      <xdr:colOff>499438</xdr:colOff>
      <xdr:row>34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87A3E1-8123-EE4C-9A26-C0F48A20C4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823860</xdr:colOff>
      <xdr:row>5</xdr:row>
      <xdr:rowOff>0</xdr:rowOff>
    </xdr:from>
    <xdr:to>
      <xdr:col>11</xdr:col>
      <xdr:colOff>399551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B3F08E-4D57-49E5-A50E-A0053F306C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22042-C8CB-5644-B409-080663164753}">
  <dimension ref="A2:AA75"/>
  <sheetViews>
    <sheetView workbookViewId="0">
      <selection activeCell="A2" sqref="A2"/>
    </sheetView>
  </sheetViews>
  <sheetFormatPr defaultColWidth="10.85546875" defaultRowHeight="15.9" x14ac:dyDescent="0.45"/>
  <sheetData>
    <row r="2" spans="1:5" ht="26.15" x14ac:dyDescent="0.7">
      <c r="A2" s="28" t="s">
        <v>55</v>
      </c>
    </row>
    <row r="4" spans="1:5" x14ac:dyDescent="0.45">
      <c r="A4" s="41" t="s">
        <v>18</v>
      </c>
      <c r="B4" s="41"/>
      <c r="C4" s="41"/>
      <c r="D4" s="4"/>
      <c r="E4" s="4"/>
    </row>
    <row r="5" spans="1:5" x14ac:dyDescent="0.45">
      <c r="A5" s="5" t="s">
        <v>0</v>
      </c>
      <c r="B5" s="3">
        <v>0</v>
      </c>
      <c r="C5" t="s">
        <v>3</v>
      </c>
    </row>
    <row r="6" spans="1:5" x14ac:dyDescent="0.45">
      <c r="A6" s="5" t="s">
        <v>1</v>
      </c>
      <c r="B6" s="3">
        <v>300</v>
      </c>
      <c r="C6" t="s">
        <v>3</v>
      </c>
    </row>
    <row r="7" spans="1:5" x14ac:dyDescent="0.45">
      <c r="B7" s="6"/>
    </row>
    <row r="8" spans="1:5" x14ac:dyDescent="0.45">
      <c r="A8" s="41" t="s">
        <v>45</v>
      </c>
      <c r="B8" s="41"/>
      <c r="C8" s="41"/>
    </row>
    <row r="9" spans="1:5" x14ac:dyDescent="0.45">
      <c r="A9" s="5" t="s">
        <v>37</v>
      </c>
      <c r="B9" s="3">
        <v>137.5</v>
      </c>
      <c r="C9" t="s">
        <v>3</v>
      </c>
    </row>
    <row r="10" spans="1:5" x14ac:dyDescent="0.45">
      <c r="A10" s="5" t="s">
        <v>38</v>
      </c>
      <c r="B10" s="3">
        <v>250</v>
      </c>
      <c r="C10" t="s">
        <v>3</v>
      </c>
    </row>
    <row r="11" spans="1:5" x14ac:dyDescent="0.45">
      <c r="A11" s="5" t="s">
        <v>46</v>
      </c>
      <c r="B11" s="3">
        <v>30</v>
      </c>
      <c r="C11" t="s">
        <v>3</v>
      </c>
    </row>
    <row r="12" spans="1:5" x14ac:dyDescent="0.45">
      <c r="D12" t="s">
        <v>48</v>
      </c>
    </row>
    <row r="13" spans="1:5" x14ac:dyDescent="0.45">
      <c r="A13" s="5" t="s">
        <v>16</v>
      </c>
      <c r="B13" s="1">
        <f>SQRT(B5^2+B6^2)</f>
        <v>300</v>
      </c>
      <c r="C13" t="s">
        <v>3</v>
      </c>
    </row>
    <row r="14" spans="1:5" x14ac:dyDescent="0.45">
      <c r="A14" s="5" t="s">
        <v>33</v>
      </c>
      <c r="B14" s="1">
        <f>ATAN2(B5,B6)</f>
        <v>1.5707963267948966</v>
      </c>
      <c r="C14" t="s">
        <v>2</v>
      </c>
      <c r="D14" s="2">
        <f>DEGREES(B14)</f>
        <v>90</v>
      </c>
      <c r="E14" t="s">
        <v>4</v>
      </c>
    </row>
    <row r="15" spans="1:5" hidden="1" x14ac:dyDescent="0.45">
      <c r="A15" s="5" t="s">
        <v>47</v>
      </c>
      <c r="B15" s="1">
        <f>B14-(B20-B16)</f>
        <v>0.47379372592092217</v>
      </c>
      <c r="C15" t="s">
        <v>2</v>
      </c>
      <c r="D15" s="2">
        <f>DEGREES(B16)</f>
        <v>30.013538713503856</v>
      </c>
      <c r="E15" t="s">
        <v>4</v>
      </c>
    </row>
    <row r="16" spans="1:5" hidden="1" x14ac:dyDescent="0.45">
      <c r="A16" s="5" t="s">
        <v>54</v>
      </c>
      <c r="B16" s="1">
        <f>ASIN((B9*SIN(B21))/(B10))</f>
        <v>0.52383507072542534</v>
      </c>
      <c r="C16" t="s">
        <v>2</v>
      </c>
      <c r="D16" s="2">
        <f>DEGREES(B15)</f>
        <v>27.146380855046914</v>
      </c>
      <c r="E16" t="s">
        <v>4</v>
      </c>
    </row>
    <row r="17" spans="1:5" x14ac:dyDescent="0.45">
      <c r="A17" s="5" t="s">
        <v>49</v>
      </c>
      <c r="B17" s="1">
        <f>(B5-B9*COS(B22))*((B10)/(B10+B11))+B9*COS(B22)</f>
        <v>-13.687961518332216</v>
      </c>
      <c r="C17" t="s">
        <v>3</v>
      </c>
    </row>
    <row r="18" spans="1:5" x14ac:dyDescent="0.45">
      <c r="A18" s="5" t="s">
        <v>50</v>
      </c>
      <c r="B18" s="1">
        <f>(B6-B9*SIN(B22))*((B10)/(B10+B11))+B9*SIN(B22)</f>
        <v>273.3046875</v>
      </c>
      <c r="C18" t="s">
        <v>3</v>
      </c>
    </row>
    <row r="19" spans="1:5" x14ac:dyDescent="0.45">
      <c r="A19" s="5" t="s">
        <v>51</v>
      </c>
      <c r="B19" s="1">
        <f>SQRT(B17^2+B18^2)</f>
        <v>273.64724098737048</v>
      </c>
      <c r="C19" t="s">
        <v>3</v>
      </c>
    </row>
    <row r="20" spans="1:5" x14ac:dyDescent="0.45">
      <c r="A20" s="5" t="s">
        <v>52</v>
      </c>
      <c r="B20" s="1">
        <f>ATAN2(B17,B18)</f>
        <v>1.6208376715993997</v>
      </c>
      <c r="C20" t="s">
        <v>2</v>
      </c>
      <c r="D20" s="2">
        <f>DEGREES(B20)</f>
        <v>92.867157858456935</v>
      </c>
      <c r="E20" t="s">
        <v>4</v>
      </c>
    </row>
    <row r="21" spans="1:5" x14ac:dyDescent="0.45">
      <c r="A21" s="5" t="s">
        <v>34</v>
      </c>
      <c r="B21" s="1">
        <f>ACOS((B10^2-B19^2-B9^2)/(-2*B19*B9))</f>
        <v>1.1419905833519362</v>
      </c>
      <c r="C21" t="s">
        <v>2</v>
      </c>
      <c r="D21" s="2">
        <f>DEGREES(B21)</f>
        <v>65.431240669748789</v>
      </c>
      <c r="E21" t="s">
        <v>4</v>
      </c>
    </row>
    <row r="22" spans="1:5" x14ac:dyDescent="0.45">
      <c r="A22" s="5" t="s">
        <v>35</v>
      </c>
      <c r="B22" s="1">
        <f>B14+ACOS(((B10+B11)^2-B13^2-B9^2)/(-2*B13*B9))</f>
        <v>2.7628282549513363</v>
      </c>
      <c r="C22" t="s">
        <v>2</v>
      </c>
      <c r="D22" s="2">
        <f>DEGREES(B23)</f>
        <v>27.435917188708146</v>
      </c>
      <c r="E22" t="s">
        <v>4</v>
      </c>
    </row>
    <row r="23" spans="1:5" x14ac:dyDescent="0.45">
      <c r="A23" s="5" t="s">
        <v>36</v>
      </c>
      <c r="B23" s="1">
        <f>B20-B21</f>
        <v>0.47884708824746358</v>
      </c>
      <c r="C23" t="s">
        <v>2</v>
      </c>
      <c r="D23" s="2">
        <f>DEGREES(B22)</f>
        <v>158.29839852820575</v>
      </c>
      <c r="E23" t="s">
        <v>4</v>
      </c>
    </row>
    <row r="24" spans="1:5" x14ac:dyDescent="0.45">
      <c r="A24" s="5"/>
    </row>
    <row r="25" spans="1:5" x14ac:dyDescent="0.45">
      <c r="A25" s="5"/>
    </row>
    <row r="26" spans="1:5" x14ac:dyDescent="0.45">
      <c r="A26" s="41" t="s">
        <v>19</v>
      </c>
      <c r="B26" s="41"/>
      <c r="C26" s="41"/>
    </row>
    <row r="27" spans="1:5" x14ac:dyDescent="0.45">
      <c r="B27" t="s">
        <v>0</v>
      </c>
      <c r="C27" t="s">
        <v>1</v>
      </c>
    </row>
    <row r="28" spans="1:5" x14ac:dyDescent="0.45">
      <c r="A28" t="s">
        <v>8</v>
      </c>
      <c r="B28" s="1">
        <v>0</v>
      </c>
      <c r="C28" s="1">
        <v>0</v>
      </c>
      <c r="D28" t="s">
        <v>3</v>
      </c>
    </row>
    <row r="29" spans="1:5" x14ac:dyDescent="0.45">
      <c r="A29" t="s">
        <v>5</v>
      </c>
      <c r="B29" s="1">
        <f>B9*COS(B22)</f>
        <v>-127.75430750443408</v>
      </c>
      <c r="C29" s="1">
        <f>B9*SIN(B22)</f>
        <v>50.843749999999979</v>
      </c>
      <c r="D29" t="s">
        <v>3</v>
      </c>
    </row>
    <row r="30" spans="1:5" x14ac:dyDescent="0.45">
      <c r="A30" t="s">
        <v>6</v>
      </c>
      <c r="B30" s="1">
        <f>B9*COS(B23)</f>
        <v>122.03492452259572</v>
      </c>
      <c r="C30" s="1">
        <f>B9*SIN(B23)</f>
        <v>63.353983274647902</v>
      </c>
      <c r="D30" t="s">
        <v>3</v>
      </c>
    </row>
    <row r="31" spans="1:5" x14ac:dyDescent="0.45">
      <c r="A31" t="s">
        <v>53</v>
      </c>
      <c r="B31" s="1">
        <f>B17</f>
        <v>-13.687961518332216</v>
      </c>
      <c r="C31" s="1">
        <f>B18</f>
        <v>273.3046875</v>
      </c>
      <c r="D31" t="s">
        <v>3</v>
      </c>
    </row>
    <row r="32" spans="1:5" x14ac:dyDescent="0.45">
      <c r="A32" t="s">
        <v>7</v>
      </c>
      <c r="B32" s="1">
        <f>B5</f>
        <v>0</v>
      </c>
      <c r="C32" s="1">
        <f>B6</f>
        <v>300</v>
      </c>
      <c r="D32" t="s">
        <v>3</v>
      </c>
    </row>
    <row r="37" spans="2:11" x14ac:dyDescent="0.45">
      <c r="B37" s="35" t="s">
        <v>44</v>
      </c>
      <c r="C37" s="36"/>
      <c r="D37" s="36"/>
      <c r="E37" s="36"/>
      <c r="F37" s="36"/>
      <c r="G37" s="36"/>
      <c r="H37" s="36"/>
      <c r="I37" s="36"/>
      <c r="J37" s="36"/>
      <c r="K37" s="37"/>
    </row>
    <row r="38" spans="2:11" x14ac:dyDescent="0.45">
      <c r="B38" s="30" t="s">
        <v>13</v>
      </c>
      <c r="C38" s="31"/>
      <c r="D38" s="10"/>
      <c r="E38" s="32" t="s">
        <v>32</v>
      </c>
      <c r="F38" s="32"/>
      <c r="G38" s="32"/>
      <c r="H38" s="10"/>
      <c r="I38" s="32" t="s">
        <v>21</v>
      </c>
      <c r="J38" s="32"/>
      <c r="K38" s="33"/>
    </row>
    <row r="39" spans="2:11" x14ac:dyDescent="0.45">
      <c r="B39" s="26"/>
      <c r="C39" s="26"/>
      <c r="D39" s="38" t="s">
        <v>0</v>
      </c>
      <c r="E39" s="17" t="s">
        <v>22</v>
      </c>
      <c r="F39" s="7">
        <v>0</v>
      </c>
      <c r="G39" s="10" t="s">
        <v>11</v>
      </c>
      <c r="H39" s="29" t="s">
        <v>20</v>
      </c>
      <c r="I39" s="17" t="s">
        <v>24</v>
      </c>
      <c r="J39" s="27" t="e" cm="1">
        <f t="array" ref="J39">MMULT(B39:C40,F39:F40)</f>
        <v>#VALUE!</v>
      </c>
      <c r="K39" s="18" t="s">
        <v>11</v>
      </c>
    </row>
    <row r="40" spans="2:11" x14ac:dyDescent="0.45">
      <c r="B40" s="26"/>
      <c r="C40" s="26"/>
      <c r="D40" s="38"/>
      <c r="E40" s="17" t="s">
        <v>23</v>
      </c>
      <c r="F40" s="7">
        <v>0</v>
      </c>
      <c r="G40" s="10" t="s">
        <v>11</v>
      </c>
      <c r="H40" s="29"/>
      <c r="I40" s="17" t="s">
        <v>25</v>
      </c>
      <c r="J40" s="27"/>
      <c r="K40" s="18" t="s">
        <v>12</v>
      </c>
    </row>
    <row r="41" spans="2:11" x14ac:dyDescent="0.45">
      <c r="B41" s="19"/>
      <c r="C41" s="10"/>
      <c r="D41" s="10"/>
      <c r="E41" s="10"/>
      <c r="F41" s="10"/>
      <c r="G41" s="10"/>
      <c r="H41" s="10"/>
      <c r="I41" s="10"/>
      <c r="J41" s="10"/>
      <c r="K41" s="18"/>
    </row>
    <row r="42" spans="2:11" x14ac:dyDescent="0.45">
      <c r="B42" s="40" t="s">
        <v>15</v>
      </c>
      <c r="C42" s="32"/>
      <c r="D42" s="20"/>
      <c r="E42" s="32" t="s">
        <v>21</v>
      </c>
      <c r="F42" s="32"/>
      <c r="G42" s="32"/>
      <c r="H42" s="10"/>
      <c r="I42" s="32" t="s">
        <v>32</v>
      </c>
      <c r="J42" s="32"/>
      <c r="K42" s="33"/>
    </row>
    <row r="43" spans="2:11" x14ac:dyDescent="0.45">
      <c r="B43" s="26" t="e" cm="1">
        <f t="array" ref="B43">MINVERSE(B39:C40)</f>
        <v>#VALUE!</v>
      </c>
      <c r="C43" s="26"/>
      <c r="D43" s="38" t="s">
        <v>0</v>
      </c>
      <c r="E43" s="17" t="s">
        <v>24</v>
      </c>
      <c r="F43" s="9">
        <v>0</v>
      </c>
      <c r="G43" s="10" t="s">
        <v>11</v>
      </c>
      <c r="H43" s="29" t="s">
        <v>20</v>
      </c>
      <c r="I43" s="17" t="s">
        <v>22</v>
      </c>
      <c r="J43" s="27" t="e" cm="1">
        <f t="array" ref="J43">MMULT(B43:C44,F43:F44)</f>
        <v>#VALUE!</v>
      </c>
      <c r="K43" s="18" t="s">
        <v>11</v>
      </c>
    </row>
    <row r="44" spans="2:11" x14ac:dyDescent="0.45">
      <c r="B44" s="26"/>
      <c r="C44" s="26"/>
      <c r="D44" s="38"/>
      <c r="E44" s="17" t="s">
        <v>25</v>
      </c>
      <c r="F44" s="9">
        <v>0</v>
      </c>
      <c r="G44" s="10" t="s">
        <v>12</v>
      </c>
      <c r="H44" s="29"/>
      <c r="I44" s="17" t="s">
        <v>23</v>
      </c>
      <c r="J44" s="27"/>
      <c r="K44" s="18" t="s">
        <v>11</v>
      </c>
    </row>
    <row r="45" spans="2:11" x14ac:dyDescent="0.45">
      <c r="B45" s="21"/>
      <c r="C45" s="11"/>
      <c r="D45" s="11"/>
      <c r="E45" s="10"/>
      <c r="F45" s="10"/>
      <c r="G45" s="10"/>
      <c r="H45" s="10"/>
      <c r="I45" s="10"/>
      <c r="J45" s="10"/>
      <c r="K45" s="18"/>
    </row>
    <row r="46" spans="2:11" x14ac:dyDescent="0.45">
      <c r="B46" s="30" t="s">
        <v>14</v>
      </c>
      <c r="C46" s="31"/>
      <c r="D46" s="20"/>
      <c r="E46" s="32" t="s">
        <v>28</v>
      </c>
      <c r="F46" s="32"/>
      <c r="G46" s="32"/>
      <c r="H46" s="10"/>
      <c r="I46" s="32" t="s">
        <v>31</v>
      </c>
      <c r="J46" s="32"/>
      <c r="K46" s="33"/>
    </row>
    <row r="47" spans="2:11" x14ac:dyDescent="0.45">
      <c r="B47" s="26" cm="1">
        <f t="array" ref="B47:C48">TRANSPOSE(B39:C40)</f>
        <v>0</v>
      </c>
      <c r="C47" s="26">
        <v>0</v>
      </c>
      <c r="D47" s="39" t="s">
        <v>0</v>
      </c>
      <c r="E47" s="15" t="s">
        <v>29</v>
      </c>
      <c r="F47" s="9">
        <v>0</v>
      </c>
      <c r="G47" s="11" t="s">
        <v>9</v>
      </c>
      <c r="H47" s="29" t="s">
        <v>20</v>
      </c>
      <c r="I47" s="17" t="s">
        <v>26</v>
      </c>
      <c r="J47" s="27" cm="1">
        <f t="array" ref="J47:J48">MMULT(B47:C48,F47:F48)</f>
        <v>0</v>
      </c>
      <c r="K47" s="18" t="s">
        <v>10</v>
      </c>
    </row>
    <row r="48" spans="2:11" x14ac:dyDescent="0.45">
      <c r="B48" s="26">
        <v>0</v>
      </c>
      <c r="C48" s="26">
        <v>0</v>
      </c>
      <c r="D48" s="39"/>
      <c r="E48" s="15" t="s">
        <v>30</v>
      </c>
      <c r="F48" s="9">
        <v>0</v>
      </c>
      <c r="G48" s="11" t="s">
        <v>9</v>
      </c>
      <c r="H48" s="29"/>
      <c r="I48" s="17" t="s">
        <v>27</v>
      </c>
      <c r="J48" s="27">
        <v>0</v>
      </c>
      <c r="K48" s="18" t="s">
        <v>10</v>
      </c>
    </row>
    <row r="49" spans="2:27" x14ac:dyDescent="0.45">
      <c r="B49" s="21"/>
      <c r="C49" s="14"/>
      <c r="D49" s="11"/>
      <c r="E49" s="10"/>
      <c r="F49" s="10"/>
      <c r="G49" s="10"/>
      <c r="H49" s="10"/>
      <c r="I49" s="10"/>
      <c r="J49" s="10"/>
      <c r="K49" s="18"/>
    </row>
    <row r="50" spans="2:27" x14ac:dyDescent="0.45">
      <c r="B50" s="30" t="s">
        <v>17</v>
      </c>
      <c r="C50" s="31"/>
      <c r="D50" s="20"/>
      <c r="E50" s="32" t="s">
        <v>31</v>
      </c>
      <c r="F50" s="32"/>
      <c r="G50" s="32"/>
      <c r="H50" s="10"/>
      <c r="I50" s="32" t="s">
        <v>28</v>
      </c>
      <c r="J50" s="32"/>
      <c r="K50" s="33"/>
    </row>
    <row r="51" spans="2:27" x14ac:dyDescent="0.45">
      <c r="B51" s="26" t="e" cm="1">
        <f t="array" ref="B51">MINVERSE(B47:C48)</f>
        <v>#NUM!</v>
      </c>
      <c r="C51" s="26"/>
      <c r="D51" s="39" t="s">
        <v>0</v>
      </c>
      <c r="E51" s="17" t="s">
        <v>26</v>
      </c>
      <c r="F51" s="8">
        <v>0</v>
      </c>
      <c r="G51" s="10" t="s">
        <v>10</v>
      </c>
      <c r="H51" s="29" t="s">
        <v>20</v>
      </c>
      <c r="I51" s="15" t="s">
        <v>29</v>
      </c>
      <c r="J51" s="27" t="e" cm="1">
        <f t="array" ref="J51">MMULT(B51:C52,F51:F52)</f>
        <v>#NUM!</v>
      </c>
      <c r="K51" s="22" t="s">
        <v>9</v>
      </c>
    </row>
    <row r="52" spans="2:27" x14ac:dyDescent="0.45">
      <c r="B52" s="26"/>
      <c r="C52" s="26"/>
      <c r="D52" s="39"/>
      <c r="E52" s="17" t="s">
        <v>27</v>
      </c>
      <c r="F52" s="8">
        <v>0</v>
      </c>
      <c r="G52" s="10" t="s">
        <v>10</v>
      </c>
      <c r="H52" s="29"/>
      <c r="I52" s="15" t="s">
        <v>30</v>
      </c>
      <c r="J52" s="27"/>
      <c r="K52" s="22" t="s">
        <v>9</v>
      </c>
    </row>
    <row r="53" spans="2:27" x14ac:dyDescent="0.45">
      <c r="B53" s="23"/>
      <c r="C53" s="24"/>
      <c r="D53" s="24"/>
      <c r="E53" s="24"/>
      <c r="F53" s="24"/>
      <c r="G53" s="24"/>
      <c r="H53" s="24"/>
      <c r="I53" s="24"/>
      <c r="J53" s="24"/>
      <c r="K53" s="25"/>
    </row>
    <row r="54" spans="2:27" x14ac:dyDescent="0.45">
      <c r="L54" s="6"/>
      <c r="M54" s="6"/>
      <c r="N54" s="6"/>
      <c r="O54" s="6"/>
      <c r="P54" s="6"/>
      <c r="Q54" s="6"/>
      <c r="R54" s="6"/>
      <c r="S54" s="6"/>
      <c r="T54" s="6"/>
    </row>
    <row r="55" spans="2:27" x14ac:dyDescent="0.45">
      <c r="B55" s="35" t="s">
        <v>43</v>
      </c>
      <c r="C55" s="36"/>
      <c r="D55" s="36"/>
      <c r="E55" s="36"/>
      <c r="F55" s="36"/>
      <c r="G55" s="36"/>
      <c r="H55" s="36"/>
      <c r="I55" s="36"/>
      <c r="J55" s="36"/>
      <c r="K55" s="37"/>
    </row>
    <row r="56" spans="2:27" x14ac:dyDescent="0.45">
      <c r="B56" s="30" t="s">
        <v>13</v>
      </c>
      <c r="C56" s="31"/>
      <c r="D56" s="10"/>
      <c r="E56" s="32" t="s">
        <v>32</v>
      </c>
      <c r="F56" s="32"/>
      <c r="G56" s="32"/>
      <c r="H56" s="10"/>
      <c r="I56" s="32" t="s">
        <v>21</v>
      </c>
      <c r="J56" s="32"/>
      <c r="K56" s="33"/>
      <c r="W56" s="11"/>
      <c r="X56" s="11"/>
      <c r="Y56" s="11"/>
      <c r="Z56" s="11"/>
      <c r="AA56" s="11"/>
    </row>
    <row r="57" spans="2:27" x14ac:dyDescent="0.45">
      <c r="B57" s="26">
        <f>COS((B22+B23)/2)*(-0.5*B9*SIN(B21)-((B9^2)*SIN(B21)*COS(B21))/(2*SQRT((B10^2)-(B9^2)*SIN(B21)^2)))-0.5*SIN((B22+B23)/2)*(B9*COS(B21)+SQRT((B10^2)-(B9^2)*SIN(B21)^2))-((B9^2)*B11*COS(B21)*SIN(B21))/(2*(B10^2)*SQRT(1-((B9^2)*(SIN(B21)^2))/(B10^2)))</f>
        <v>-134.68033582354767</v>
      </c>
      <c r="C57" s="26">
        <f>COS((B22+B23)/2)*(0.5*B9*SIN(B21)+((B9^2)*SIN(B21)*COS(B21))/(2*SQRT((B10^2)-(B9^2)*SIN(B21)^2)))-0.5*SIN((B22+B23)/2)*(B9*COS(B21)+SQRT((B10^2)-(B9^2)*SIN(B21)^2))+((B9^2)*B11*COS(B21)*SIN(B21))/(2*(B10^2)*SQRT(1-((B9^2)*(SIN(B21)^2))/(B10^2)))</f>
        <v>-138.62435167645245</v>
      </c>
      <c r="D57" s="34" t="s">
        <v>0</v>
      </c>
      <c r="E57" s="17" t="s">
        <v>22</v>
      </c>
      <c r="F57" s="7">
        <v>6</v>
      </c>
      <c r="G57" s="10" t="s">
        <v>11</v>
      </c>
      <c r="H57" s="29" t="s">
        <v>20</v>
      </c>
      <c r="I57" s="17" t="s">
        <v>39</v>
      </c>
      <c r="J57" s="27" cm="1">
        <f t="array" ref="J57:J58">MMULT(B57:C58,F57:F58)</f>
        <v>-1639.8281250000007</v>
      </c>
      <c r="K57" s="18" t="s">
        <v>12</v>
      </c>
      <c r="W57" s="11"/>
      <c r="X57" s="11"/>
      <c r="Y57" s="11"/>
      <c r="Z57" s="11"/>
      <c r="AA57" s="11"/>
    </row>
    <row r="58" spans="2:27" x14ac:dyDescent="0.45">
      <c r="B58" s="26">
        <f>SIN((B22+B23)/2)*(-0.5*B9*SIN(B21)-(B9^2*SIN(B21)*COS(B21))/(2*SQRT(B10^2-B9^2*SIN(B21)^2)))+0.5*COS((B22+B23)/2)*(B9*COS(B21)+SQRT(B10^2-B9^2*SIN(B21)^2))+(B9*B11*COS(B21))/(2*B10)</f>
        <v>-82.353081815840341</v>
      </c>
      <c r="C58" s="26">
        <f>SIN((B22+B23)/2)*(0.5*B9*SIN(B21)+(B9^2*SIN(B21)*COS(B21))/(2*SQRT(B10^2-B9^2*SIN(B21)^2)))+0.5*COS((B22+B23)/2)*(B9*COS(B21)+SQRT(B10^2-B9^2*SIN(B21)^2))-(B9*B11*COS(B21))/(2*B10)</f>
        <v>68.665120297508082</v>
      </c>
      <c r="D58" s="34"/>
      <c r="E58" s="17" t="s">
        <v>23</v>
      </c>
      <c r="F58" s="7">
        <v>6</v>
      </c>
      <c r="G58" s="10" t="s">
        <v>11</v>
      </c>
      <c r="H58" s="29"/>
      <c r="I58" s="17" t="s">
        <v>40</v>
      </c>
      <c r="J58" s="27">
        <v>-82.127769109993551</v>
      </c>
      <c r="K58" s="18" t="s">
        <v>12</v>
      </c>
      <c r="W58" s="16"/>
      <c r="X58" s="16"/>
      <c r="Y58" s="11"/>
      <c r="Z58" s="11"/>
      <c r="AA58" s="11"/>
    </row>
    <row r="59" spans="2:27" x14ac:dyDescent="0.45">
      <c r="B59" s="19"/>
      <c r="C59" s="10"/>
      <c r="D59" s="10"/>
      <c r="E59" s="10"/>
      <c r="F59" s="10"/>
      <c r="G59" s="10"/>
      <c r="H59" s="10"/>
      <c r="I59" s="10"/>
      <c r="J59" s="10"/>
      <c r="K59" s="18"/>
      <c r="W59" s="16"/>
      <c r="X59" s="16"/>
      <c r="Y59" s="11"/>
      <c r="Z59" s="11"/>
      <c r="AA59" s="11"/>
    </row>
    <row r="60" spans="2:27" x14ac:dyDescent="0.45">
      <c r="B60" s="40" t="s">
        <v>15</v>
      </c>
      <c r="C60" s="32"/>
      <c r="D60" s="20"/>
      <c r="E60" s="32" t="s">
        <v>21</v>
      </c>
      <c r="F60" s="32"/>
      <c r="G60" s="32"/>
      <c r="H60" s="10"/>
      <c r="I60" s="32" t="s">
        <v>32</v>
      </c>
      <c r="J60" s="32"/>
      <c r="K60" s="33"/>
      <c r="W60" s="12"/>
      <c r="X60" s="12"/>
      <c r="Y60" s="11"/>
      <c r="Z60" s="11"/>
      <c r="AA60" s="11"/>
    </row>
    <row r="61" spans="2:27" x14ac:dyDescent="0.45">
      <c r="B61" s="26" cm="1">
        <f t="array" ref="B61:C62">MINVERSE(B57:C58)</f>
        <v>-3.3229371536896064E-3</v>
      </c>
      <c r="C61" s="26">
        <v>-6.7085007147149071E-3</v>
      </c>
      <c r="D61" s="34" t="s">
        <v>0</v>
      </c>
      <c r="E61" s="17" t="s">
        <v>39</v>
      </c>
      <c r="F61" s="9">
        <v>0</v>
      </c>
      <c r="G61" s="10" t="s">
        <v>12</v>
      </c>
      <c r="H61" s="29" t="s">
        <v>20</v>
      </c>
      <c r="I61" s="17" t="s">
        <v>22</v>
      </c>
      <c r="J61" s="26" cm="1">
        <f t="array" ref="J61:J62">MMULT(B61:C62,F61:F62)</f>
        <v>-0.26834002858859629</v>
      </c>
      <c r="K61" s="18" t="s">
        <v>11</v>
      </c>
      <c r="W61" s="12"/>
      <c r="X61" s="12"/>
      <c r="Y61" s="11"/>
      <c r="Z61" s="11"/>
      <c r="AA61" s="11"/>
    </row>
    <row r="62" spans="2:27" x14ac:dyDescent="0.45">
      <c r="B62" s="26">
        <v>-3.9853438558182649E-3</v>
      </c>
      <c r="C62" s="26">
        <v>6.5176364628855288E-3</v>
      </c>
      <c r="D62" s="34"/>
      <c r="E62" s="17" t="s">
        <v>40</v>
      </c>
      <c r="F62" s="9">
        <v>40</v>
      </c>
      <c r="G62" s="10" t="s">
        <v>12</v>
      </c>
      <c r="H62" s="29"/>
      <c r="I62" s="17" t="s">
        <v>23</v>
      </c>
      <c r="J62" s="26">
        <v>0.26070545851542115</v>
      </c>
      <c r="K62" s="18" t="s">
        <v>11</v>
      </c>
      <c r="W62" s="11"/>
      <c r="X62" s="11"/>
      <c r="Y62" s="11"/>
      <c r="Z62" s="11"/>
      <c r="AA62" s="11"/>
    </row>
    <row r="63" spans="2:27" x14ac:dyDescent="0.45">
      <c r="B63" s="21"/>
      <c r="C63" s="11"/>
      <c r="D63" s="11"/>
      <c r="E63" s="10"/>
      <c r="F63" s="10"/>
      <c r="G63" s="10"/>
      <c r="H63" s="10"/>
      <c r="I63" s="10"/>
      <c r="J63" s="10"/>
      <c r="K63" s="18"/>
      <c r="W63" s="11"/>
      <c r="X63" s="11"/>
      <c r="Y63" s="11"/>
      <c r="Z63" s="11"/>
      <c r="AA63" s="11"/>
    </row>
    <row r="64" spans="2:27" x14ac:dyDescent="0.45">
      <c r="B64" s="30" t="s">
        <v>14</v>
      </c>
      <c r="C64" s="31"/>
      <c r="D64" s="20"/>
      <c r="E64" s="32" t="s">
        <v>28</v>
      </c>
      <c r="F64" s="32"/>
      <c r="G64" s="32"/>
      <c r="H64" s="10"/>
      <c r="I64" s="32" t="s">
        <v>31</v>
      </c>
      <c r="J64" s="32"/>
      <c r="K64" s="33"/>
      <c r="W64" s="11"/>
      <c r="X64" s="11"/>
      <c r="Y64" s="11"/>
      <c r="Z64" s="11"/>
      <c r="AA64" s="11"/>
    </row>
    <row r="65" spans="2:27" x14ac:dyDescent="0.45">
      <c r="B65" s="26" cm="1">
        <f t="array" ref="B65:C66">TRANSPOSE(B57:C58)</f>
        <v>-134.68033582354767</v>
      </c>
      <c r="C65" s="26">
        <v>-82.353081815840341</v>
      </c>
      <c r="D65" s="29" t="s">
        <v>0</v>
      </c>
      <c r="E65" s="15" t="s">
        <v>41</v>
      </c>
      <c r="F65" s="9">
        <v>0</v>
      </c>
      <c r="G65" s="11" t="s">
        <v>9</v>
      </c>
      <c r="H65" s="29" t="s">
        <v>20</v>
      </c>
      <c r="I65" s="17" t="s">
        <v>26</v>
      </c>
      <c r="J65" s="27" cm="1">
        <f t="array" ref="J65:J66">MMULT(B65:C66,F65:F66)</f>
        <v>16470.616363168068</v>
      </c>
      <c r="K65" s="18" t="s">
        <v>10</v>
      </c>
      <c r="W65" s="11"/>
      <c r="X65" s="11"/>
      <c r="Y65" s="11"/>
      <c r="Z65" s="11"/>
      <c r="AA65" s="11"/>
    </row>
    <row r="66" spans="2:27" x14ac:dyDescent="0.45">
      <c r="B66" s="26">
        <v>-138.62435167645245</v>
      </c>
      <c r="C66" s="26">
        <v>68.665120297508082</v>
      </c>
      <c r="D66" s="29"/>
      <c r="E66" s="15" t="s">
        <v>42</v>
      </c>
      <c r="F66" s="9">
        <v>-200</v>
      </c>
      <c r="G66" s="11" t="s">
        <v>9</v>
      </c>
      <c r="H66" s="29"/>
      <c r="I66" s="17" t="s">
        <v>27</v>
      </c>
      <c r="J66" s="27">
        <v>-13733.024059501617</v>
      </c>
      <c r="K66" s="18" t="s">
        <v>10</v>
      </c>
      <c r="W66" s="11"/>
      <c r="X66" s="11"/>
      <c r="Y66" s="11"/>
      <c r="Z66" s="11"/>
      <c r="AA66" s="11"/>
    </row>
    <row r="67" spans="2:27" x14ac:dyDescent="0.45">
      <c r="B67" s="21"/>
      <c r="C67" s="14"/>
      <c r="D67" s="11"/>
      <c r="E67" s="10"/>
      <c r="F67" s="10"/>
      <c r="G67" s="10"/>
      <c r="H67" s="10"/>
      <c r="I67" s="10"/>
      <c r="J67" s="10"/>
      <c r="K67" s="18"/>
      <c r="W67" s="11"/>
      <c r="X67" s="11"/>
      <c r="Y67" s="11"/>
      <c r="Z67" s="11"/>
      <c r="AA67" s="11"/>
    </row>
    <row r="68" spans="2:27" x14ac:dyDescent="0.45">
      <c r="B68" s="30" t="s">
        <v>17</v>
      </c>
      <c r="C68" s="31"/>
      <c r="D68" s="20"/>
      <c r="E68" s="32" t="s">
        <v>31</v>
      </c>
      <c r="F68" s="32"/>
      <c r="G68" s="32"/>
      <c r="H68" s="10"/>
      <c r="I68" s="32" t="s">
        <v>28</v>
      </c>
      <c r="J68" s="32"/>
      <c r="K68" s="33"/>
      <c r="W68" s="11"/>
      <c r="X68" s="11"/>
      <c r="Y68" s="11"/>
      <c r="Z68" s="11"/>
      <c r="AA68" s="11"/>
    </row>
    <row r="69" spans="2:27" x14ac:dyDescent="0.45">
      <c r="B69" s="26" cm="1">
        <f t="array" ref="B69:C70">MINVERSE(B65:C66)</f>
        <v>-3.3229371536896068E-3</v>
      </c>
      <c r="C69" s="26">
        <v>-3.9853438558182649E-3</v>
      </c>
      <c r="D69" s="29" t="s">
        <v>0</v>
      </c>
      <c r="E69" s="17" t="s">
        <v>26</v>
      </c>
      <c r="F69" s="8">
        <v>-15000</v>
      </c>
      <c r="G69" s="10" t="s">
        <v>10</v>
      </c>
      <c r="H69" s="29" t="s">
        <v>20</v>
      </c>
      <c r="I69" s="15" t="s">
        <v>41</v>
      </c>
      <c r="J69" s="27" cm="1">
        <f t="array" ref="J69:J70">MMULT(B69:C70,F69:F70)</f>
        <v>-9.9361005319298741</v>
      </c>
      <c r="K69" s="22" t="s">
        <v>9</v>
      </c>
      <c r="W69" s="11"/>
      <c r="X69" s="11"/>
      <c r="Y69" s="11"/>
      <c r="Z69" s="11"/>
      <c r="AA69" s="11"/>
    </row>
    <row r="70" spans="2:27" x14ac:dyDescent="0.45">
      <c r="B70" s="26">
        <v>-6.7085007147149062E-3</v>
      </c>
      <c r="C70" s="26">
        <v>6.5176364628855279E-3</v>
      </c>
      <c r="D70" s="29"/>
      <c r="E70" s="17" t="s">
        <v>27</v>
      </c>
      <c r="F70" s="8">
        <v>15000</v>
      </c>
      <c r="G70" s="10" t="s">
        <v>10</v>
      </c>
      <c r="H70" s="29"/>
      <c r="I70" s="15" t="s">
        <v>42</v>
      </c>
      <c r="J70" s="27">
        <v>198.39205766400653</v>
      </c>
      <c r="K70" s="22" t="s">
        <v>9</v>
      </c>
      <c r="W70" s="11"/>
      <c r="X70" s="11"/>
      <c r="Y70" s="11"/>
      <c r="Z70" s="11"/>
      <c r="AA70" s="11"/>
    </row>
    <row r="71" spans="2:27" x14ac:dyDescent="0.45">
      <c r="B71" s="23"/>
      <c r="C71" s="24"/>
      <c r="D71" s="24"/>
      <c r="E71" s="24"/>
      <c r="F71" s="24"/>
      <c r="G71" s="24"/>
      <c r="H71" s="24"/>
      <c r="I71" s="24"/>
      <c r="J71" s="24"/>
      <c r="K71" s="25"/>
      <c r="W71" s="11"/>
      <c r="X71" s="11"/>
      <c r="Y71" s="11"/>
      <c r="Z71" s="11"/>
      <c r="AA71" s="11"/>
    </row>
    <row r="72" spans="2:27" x14ac:dyDescent="0.45">
      <c r="N72" s="11"/>
      <c r="O72" s="13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2:27" x14ac:dyDescent="0.45"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2:27" x14ac:dyDescent="0.45"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2:27" x14ac:dyDescent="0.45"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</sheetData>
  <mergeCells count="45">
    <mergeCell ref="A4:C4"/>
    <mergeCell ref="B46:C46"/>
    <mergeCell ref="H39:H40"/>
    <mergeCell ref="D39:D40"/>
    <mergeCell ref="H43:H44"/>
    <mergeCell ref="A26:C26"/>
    <mergeCell ref="B42:C42"/>
    <mergeCell ref="E38:G38"/>
    <mergeCell ref="E46:G46"/>
    <mergeCell ref="B37:K37"/>
    <mergeCell ref="I38:K38"/>
    <mergeCell ref="B38:C38"/>
    <mergeCell ref="A8:C8"/>
    <mergeCell ref="D57:D58"/>
    <mergeCell ref="H57:H58"/>
    <mergeCell ref="B60:C60"/>
    <mergeCell ref="E60:G60"/>
    <mergeCell ref="I60:K60"/>
    <mergeCell ref="B55:K55"/>
    <mergeCell ref="B56:C56"/>
    <mergeCell ref="E56:G56"/>
    <mergeCell ref="I56:K56"/>
    <mergeCell ref="I42:K42"/>
    <mergeCell ref="I46:K46"/>
    <mergeCell ref="E42:G42"/>
    <mergeCell ref="D43:D44"/>
    <mergeCell ref="H47:H48"/>
    <mergeCell ref="D47:D48"/>
    <mergeCell ref="H51:H52"/>
    <mergeCell ref="I50:K50"/>
    <mergeCell ref="E50:G50"/>
    <mergeCell ref="D51:D52"/>
    <mergeCell ref="B50:C50"/>
    <mergeCell ref="I68:K68"/>
    <mergeCell ref="D61:D62"/>
    <mergeCell ref="H61:H62"/>
    <mergeCell ref="B64:C64"/>
    <mergeCell ref="E64:G64"/>
    <mergeCell ref="I64:K64"/>
    <mergeCell ref="D69:D70"/>
    <mergeCell ref="H69:H70"/>
    <mergeCell ref="D65:D66"/>
    <mergeCell ref="H65:H66"/>
    <mergeCell ref="B68:C68"/>
    <mergeCell ref="E68:G68"/>
  </mergeCells>
  <conditionalFormatting sqref="B19">
    <cfRule type="cellIs" dxfId="3" priority="1" operator="lessThan">
      <formula>$B$10-$B$9</formula>
    </cfRule>
    <cfRule type="cellIs" dxfId="2" priority="2" operator="greaterThan">
      <formula>$B$10+$B$9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7A87-9D19-41D9-B82C-C8C25F008FC9}">
  <dimension ref="A2:AA69"/>
  <sheetViews>
    <sheetView tabSelected="1" topLeftCell="A4" workbookViewId="0">
      <selection activeCell="M11" sqref="M11"/>
    </sheetView>
  </sheetViews>
  <sheetFormatPr defaultColWidth="10.85546875" defaultRowHeight="15.9" x14ac:dyDescent="0.45"/>
  <sheetData>
    <row r="2" spans="1:5" ht="26.15" x14ac:dyDescent="0.7">
      <c r="A2" s="28" t="s">
        <v>55</v>
      </c>
    </row>
    <row r="3" spans="1:5" ht="26.15" x14ac:dyDescent="0.7">
      <c r="A3" s="28"/>
    </row>
    <row r="4" spans="1:5" x14ac:dyDescent="0.45">
      <c r="A4" s="41" t="s">
        <v>18</v>
      </c>
      <c r="B4" s="41"/>
      <c r="C4" s="41"/>
      <c r="D4" s="4"/>
      <c r="E4" s="4"/>
    </row>
    <row r="5" spans="1:5" x14ac:dyDescent="0.45">
      <c r="A5" s="5" t="s">
        <v>0</v>
      </c>
      <c r="B5" s="3">
        <v>0</v>
      </c>
      <c r="C5" t="s">
        <v>3</v>
      </c>
    </row>
    <row r="6" spans="1:5" x14ac:dyDescent="0.45">
      <c r="A6" s="5" t="s">
        <v>1</v>
      </c>
      <c r="B6" s="3">
        <v>300</v>
      </c>
      <c r="C6" t="s">
        <v>3</v>
      </c>
    </row>
    <row r="7" spans="1:5" x14ac:dyDescent="0.45">
      <c r="B7" s="6"/>
    </row>
    <row r="8" spans="1:5" x14ac:dyDescent="0.45">
      <c r="A8" s="41" t="s">
        <v>45</v>
      </c>
      <c r="B8" s="41"/>
      <c r="C8" s="41"/>
    </row>
    <row r="9" spans="1:5" x14ac:dyDescent="0.45">
      <c r="A9" s="5" t="s">
        <v>37</v>
      </c>
      <c r="B9" s="3">
        <v>137.5</v>
      </c>
      <c r="C9" t="s">
        <v>3</v>
      </c>
    </row>
    <row r="10" spans="1:5" x14ac:dyDescent="0.45">
      <c r="A10" s="5" t="s">
        <v>38</v>
      </c>
      <c r="B10" s="3">
        <v>250</v>
      </c>
      <c r="C10" t="s">
        <v>3</v>
      </c>
    </row>
    <row r="11" spans="1:5" x14ac:dyDescent="0.45">
      <c r="A11" s="5" t="s">
        <v>46</v>
      </c>
      <c r="B11" s="3">
        <v>30</v>
      </c>
      <c r="C11" t="s">
        <v>3</v>
      </c>
    </row>
    <row r="13" spans="1:5" x14ac:dyDescent="0.45">
      <c r="A13" s="5" t="s">
        <v>16</v>
      </c>
      <c r="B13">
        <f>SQRT(B5^2+B6^2)</f>
        <v>300</v>
      </c>
      <c r="C13" t="s">
        <v>3</v>
      </c>
    </row>
    <row r="14" spans="1:5" x14ac:dyDescent="0.45">
      <c r="A14" s="5" t="s">
        <v>33</v>
      </c>
      <c r="B14" s="1">
        <f>ATAN2(B5,B6)</f>
        <v>1.5707963267948966</v>
      </c>
      <c r="C14" t="s">
        <v>2</v>
      </c>
      <c r="D14" s="2">
        <f>DEGREES(B14)</f>
        <v>90</v>
      </c>
      <c r="E14" t="s">
        <v>4</v>
      </c>
    </row>
    <row r="15" spans="1:5" x14ac:dyDescent="0.45">
      <c r="A15" s="5" t="s">
        <v>34</v>
      </c>
      <c r="B15" s="1">
        <f>ACOS((B10^2-B13^2-B9^2)/(-2*B13*B9))</f>
        <v>0.97338991014954634</v>
      </c>
      <c r="C15" t="s">
        <v>2</v>
      </c>
      <c r="D15" s="2">
        <f>DEGREES(B15)</f>
        <v>55.771133672187418</v>
      </c>
      <c r="E15" t="s">
        <v>4</v>
      </c>
    </row>
    <row r="16" spans="1:5" x14ac:dyDescent="0.45">
      <c r="A16" s="5" t="s">
        <v>47</v>
      </c>
      <c r="B16" s="1"/>
      <c r="D16" s="2"/>
    </row>
    <row r="17" spans="1:11" x14ac:dyDescent="0.45">
      <c r="A17" s="5" t="s">
        <v>35</v>
      </c>
      <c r="B17" s="1">
        <f>B14+B15</f>
        <v>2.544186236944443</v>
      </c>
      <c r="C17" t="s">
        <v>2</v>
      </c>
      <c r="D17" s="2">
        <f t="shared" ref="D17:D18" si="0">DEGREES(B17)</f>
        <v>145.77113367218743</v>
      </c>
      <c r="E17" t="s">
        <v>4</v>
      </c>
    </row>
    <row r="18" spans="1:11" x14ac:dyDescent="0.45">
      <c r="A18" s="5" t="s">
        <v>36</v>
      </c>
      <c r="B18" s="1">
        <f>B14-B15</f>
        <v>0.59740641664535021</v>
      </c>
      <c r="C18" t="s">
        <v>2</v>
      </c>
      <c r="D18" s="2">
        <f t="shared" si="0"/>
        <v>34.228866327812582</v>
      </c>
      <c r="E18" t="s">
        <v>4</v>
      </c>
    </row>
    <row r="21" spans="1:11" x14ac:dyDescent="0.45">
      <c r="A21" s="41" t="s">
        <v>19</v>
      </c>
      <c r="B21" s="41"/>
      <c r="C21" s="41"/>
    </row>
    <row r="22" spans="1:11" x14ac:dyDescent="0.45">
      <c r="B22" t="s">
        <v>0</v>
      </c>
      <c r="C22" t="s">
        <v>1</v>
      </c>
    </row>
    <row r="23" spans="1:11" x14ac:dyDescent="0.45">
      <c r="A23" t="s">
        <v>8</v>
      </c>
      <c r="B23" s="1">
        <v>0</v>
      </c>
      <c r="C23" s="1">
        <v>0</v>
      </c>
      <c r="D23" t="s">
        <v>3</v>
      </c>
    </row>
    <row r="24" spans="1:11" x14ac:dyDescent="0.45">
      <c r="A24" t="s">
        <v>5</v>
      </c>
      <c r="B24" s="1">
        <f>B9*COS(B17)</f>
        <v>-113.68462664730663</v>
      </c>
      <c r="C24" s="1">
        <f>B9*SIN(B17)</f>
        <v>77.34375</v>
      </c>
      <c r="D24" t="s">
        <v>3</v>
      </c>
    </row>
    <row r="25" spans="1:11" x14ac:dyDescent="0.45">
      <c r="A25" t="s">
        <v>6</v>
      </c>
      <c r="B25" s="1">
        <f>B9*COS(B18)</f>
        <v>113.68462664730663</v>
      </c>
      <c r="C25" s="1">
        <f>B9*SIN(B18)</f>
        <v>77.34375</v>
      </c>
      <c r="D25" t="s">
        <v>3</v>
      </c>
    </row>
    <row r="26" spans="1:11" x14ac:dyDescent="0.45">
      <c r="A26" t="s">
        <v>7</v>
      </c>
      <c r="B26" s="1">
        <f>B5</f>
        <v>0</v>
      </c>
      <c r="C26" s="1">
        <f>B6</f>
        <v>300</v>
      </c>
      <c r="D26" t="s">
        <v>3</v>
      </c>
    </row>
    <row r="31" spans="1:11" x14ac:dyDescent="0.45">
      <c r="B31" s="35" t="s">
        <v>44</v>
      </c>
      <c r="C31" s="36"/>
      <c r="D31" s="36"/>
      <c r="E31" s="36"/>
      <c r="F31" s="36"/>
      <c r="G31" s="36"/>
      <c r="H31" s="36"/>
      <c r="I31" s="36"/>
      <c r="J31" s="36"/>
      <c r="K31" s="37"/>
    </row>
    <row r="32" spans="1:11" x14ac:dyDescent="0.45">
      <c r="B32" s="30" t="s">
        <v>13</v>
      </c>
      <c r="C32" s="31"/>
      <c r="D32" s="10"/>
      <c r="E32" s="32" t="s">
        <v>32</v>
      </c>
      <c r="F32" s="32"/>
      <c r="G32" s="32"/>
      <c r="H32" s="10"/>
      <c r="I32" s="32" t="s">
        <v>21</v>
      </c>
      <c r="J32" s="32"/>
      <c r="K32" s="33"/>
    </row>
    <row r="33" spans="2:20" x14ac:dyDescent="0.45">
      <c r="B33" s="26">
        <v>0.5</v>
      </c>
      <c r="C33" s="26">
        <v>0.5</v>
      </c>
      <c r="D33" s="38" t="s">
        <v>0</v>
      </c>
      <c r="E33" s="17" t="s">
        <v>22</v>
      </c>
      <c r="F33" s="7">
        <v>0</v>
      </c>
      <c r="G33" s="10" t="s">
        <v>11</v>
      </c>
      <c r="H33" s="29" t="s">
        <v>20</v>
      </c>
      <c r="I33" s="17" t="s">
        <v>24</v>
      </c>
      <c r="J33" s="27">
        <f t="array" ref="J33:J34">MMULT(B33:C34,F33:F34)</f>
        <v>0</v>
      </c>
      <c r="K33" s="18" t="s">
        <v>11</v>
      </c>
    </row>
    <row r="34" spans="2:20" x14ac:dyDescent="0.45">
      <c r="B34" s="26">
        <f>-0.5*B9*SIN(B15)-((B9^2)*SIN(B15)*COS(B15))/(2*SQRT(B10^2-(B9*SIN(B15))^2))</f>
        <v>-76.587537951869734</v>
      </c>
      <c r="C34" s="26">
        <f>0.5*B9*SIN(B15)+((B9^2)*SIN(B15)*COS(B15))/(2*SQRT(B10^2-(B9*SIN(B15))^2))</f>
        <v>76.587537951869734</v>
      </c>
      <c r="D34" s="38"/>
      <c r="E34" s="17" t="s">
        <v>23</v>
      </c>
      <c r="F34" s="7">
        <v>0</v>
      </c>
      <c r="G34" s="10" t="s">
        <v>11</v>
      </c>
      <c r="H34" s="29"/>
      <c r="I34" s="17" t="s">
        <v>25</v>
      </c>
      <c r="J34" s="27">
        <v>0</v>
      </c>
      <c r="K34" s="18" t="s">
        <v>12</v>
      </c>
    </row>
    <row r="35" spans="2:20" x14ac:dyDescent="0.45">
      <c r="B35" s="19"/>
      <c r="C35" s="10"/>
      <c r="D35" s="10"/>
      <c r="E35" s="10"/>
      <c r="F35" s="10"/>
      <c r="G35" s="10"/>
      <c r="H35" s="10"/>
      <c r="I35" s="10"/>
      <c r="J35" s="10"/>
      <c r="K35" s="18"/>
    </row>
    <row r="36" spans="2:20" x14ac:dyDescent="0.45">
      <c r="B36" s="40" t="s">
        <v>15</v>
      </c>
      <c r="C36" s="32"/>
      <c r="D36" s="20"/>
      <c r="E36" s="32" t="s">
        <v>21</v>
      </c>
      <c r="F36" s="32"/>
      <c r="G36" s="32"/>
      <c r="H36" s="10"/>
      <c r="I36" s="32" t="s">
        <v>32</v>
      </c>
      <c r="J36" s="32"/>
      <c r="K36" s="33"/>
    </row>
    <row r="37" spans="2:20" x14ac:dyDescent="0.45">
      <c r="B37" s="26">
        <f t="array" ref="B37:C38">MINVERSE(B33:C34)</f>
        <v>1</v>
      </c>
      <c r="C37" s="26">
        <v>-6.5284772610684693E-3</v>
      </c>
      <c r="D37" s="38" t="s">
        <v>0</v>
      </c>
      <c r="E37" s="17" t="s">
        <v>24</v>
      </c>
      <c r="F37" s="9">
        <v>0</v>
      </c>
      <c r="G37" s="10" t="s">
        <v>11</v>
      </c>
      <c r="H37" s="29" t="s">
        <v>20</v>
      </c>
      <c r="I37" s="17" t="s">
        <v>22</v>
      </c>
      <c r="J37" s="27">
        <f t="array" ref="J37:J38">MMULT(B37:C38,F37:F38)</f>
        <v>-261.13909044273879</v>
      </c>
      <c r="K37" s="18" t="s">
        <v>11</v>
      </c>
    </row>
    <row r="38" spans="2:20" x14ac:dyDescent="0.45">
      <c r="B38" s="26">
        <v>1</v>
      </c>
      <c r="C38" s="26">
        <v>6.5284772610684693E-3</v>
      </c>
      <c r="D38" s="38"/>
      <c r="E38" s="17" t="s">
        <v>25</v>
      </c>
      <c r="F38" s="9">
        <v>40000</v>
      </c>
      <c r="G38" s="10" t="s">
        <v>12</v>
      </c>
      <c r="H38" s="29"/>
      <c r="I38" s="17" t="s">
        <v>23</v>
      </c>
      <c r="J38" s="27">
        <v>261.13909044273879</v>
      </c>
      <c r="K38" s="18" t="s">
        <v>11</v>
      </c>
    </row>
    <row r="39" spans="2:20" x14ac:dyDescent="0.45">
      <c r="B39" s="21"/>
      <c r="C39" s="11"/>
      <c r="D39" s="11"/>
      <c r="E39" s="10"/>
      <c r="F39" s="10"/>
      <c r="G39" s="10"/>
      <c r="H39" s="10"/>
      <c r="I39" s="10"/>
      <c r="J39" s="10"/>
      <c r="K39" s="18"/>
    </row>
    <row r="40" spans="2:20" x14ac:dyDescent="0.45">
      <c r="B40" s="30" t="s">
        <v>14</v>
      </c>
      <c r="C40" s="31"/>
      <c r="D40" s="20"/>
      <c r="E40" s="32" t="s">
        <v>28</v>
      </c>
      <c r="F40" s="32"/>
      <c r="G40" s="32"/>
      <c r="H40" s="10"/>
      <c r="I40" s="32" t="s">
        <v>31</v>
      </c>
      <c r="J40" s="32"/>
      <c r="K40" s="33"/>
    </row>
    <row r="41" spans="2:20" x14ac:dyDescent="0.45">
      <c r="B41" s="26">
        <f t="array" ref="B41:C42">TRANSPOSE(B33:C34)</f>
        <v>0.5</v>
      </c>
      <c r="C41" s="26">
        <v>-76.587537951869734</v>
      </c>
      <c r="D41" s="39" t="s">
        <v>0</v>
      </c>
      <c r="E41" s="15" t="s">
        <v>29</v>
      </c>
      <c r="F41" s="9">
        <v>0</v>
      </c>
      <c r="G41" s="11" t="s">
        <v>9</v>
      </c>
      <c r="H41" s="29" t="s">
        <v>20</v>
      </c>
      <c r="I41" s="17" t="s">
        <v>26</v>
      </c>
      <c r="J41" s="27">
        <f t="array" ref="J41:J42">MMULT(B41:C42,F41:F42)</f>
        <v>-7658.7537951869735</v>
      </c>
      <c r="K41" s="18" t="s">
        <v>10</v>
      </c>
    </row>
    <row r="42" spans="2:20" x14ac:dyDescent="0.45">
      <c r="B42" s="26">
        <v>0.5</v>
      </c>
      <c r="C42" s="26">
        <v>76.587537951869734</v>
      </c>
      <c r="D42" s="39"/>
      <c r="E42" s="15" t="s">
        <v>30</v>
      </c>
      <c r="F42" s="9">
        <v>100</v>
      </c>
      <c r="G42" s="11" t="s">
        <v>9</v>
      </c>
      <c r="H42" s="29"/>
      <c r="I42" s="17" t="s">
        <v>27</v>
      </c>
      <c r="J42" s="27">
        <v>7658.7537951869735</v>
      </c>
      <c r="K42" s="18" t="s">
        <v>10</v>
      </c>
    </row>
    <row r="43" spans="2:20" x14ac:dyDescent="0.45">
      <c r="B43" s="21"/>
      <c r="C43" s="14"/>
      <c r="D43" s="11"/>
      <c r="E43" s="10"/>
      <c r="F43" s="10"/>
      <c r="G43" s="10"/>
      <c r="H43" s="10"/>
      <c r="I43" s="10"/>
      <c r="J43" s="10"/>
      <c r="K43" s="18"/>
    </row>
    <row r="44" spans="2:20" x14ac:dyDescent="0.45">
      <c r="B44" s="30" t="s">
        <v>17</v>
      </c>
      <c r="C44" s="31"/>
      <c r="D44" s="20"/>
      <c r="E44" s="32" t="s">
        <v>31</v>
      </c>
      <c r="F44" s="32"/>
      <c r="G44" s="32"/>
      <c r="H44" s="10"/>
      <c r="I44" s="32" t="s">
        <v>28</v>
      </c>
      <c r="J44" s="32"/>
      <c r="K44" s="33"/>
    </row>
    <row r="45" spans="2:20" x14ac:dyDescent="0.45">
      <c r="B45" s="26">
        <f t="array" ref="B45:C46">MINVERSE(B41:C42)</f>
        <v>1</v>
      </c>
      <c r="C45" s="26">
        <v>0.99999999999999989</v>
      </c>
      <c r="D45" s="39" t="s">
        <v>0</v>
      </c>
      <c r="E45" s="17" t="s">
        <v>26</v>
      </c>
      <c r="F45" s="8">
        <v>-15000</v>
      </c>
      <c r="G45" s="10" t="s">
        <v>10</v>
      </c>
      <c r="H45" s="29" t="s">
        <v>20</v>
      </c>
      <c r="I45" s="15" t="s">
        <v>29</v>
      </c>
      <c r="J45" s="27">
        <f t="array" ref="J45:J46">MMULT(B45:C46,F45:F46)</f>
        <v>-1.8189894035458565E-12</v>
      </c>
      <c r="K45" s="22" t="s">
        <v>9</v>
      </c>
    </row>
    <row r="46" spans="2:20" x14ac:dyDescent="0.45">
      <c r="B46" s="26">
        <v>-6.5284772610684693E-3</v>
      </c>
      <c r="C46" s="26">
        <v>6.5284772610684693E-3</v>
      </c>
      <c r="D46" s="39"/>
      <c r="E46" s="17" t="s">
        <v>27</v>
      </c>
      <c r="F46" s="8">
        <v>15000</v>
      </c>
      <c r="G46" s="10" t="s">
        <v>10</v>
      </c>
      <c r="H46" s="29"/>
      <c r="I46" s="15" t="s">
        <v>30</v>
      </c>
      <c r="J46" s="27">
        <v>195.85431783205408</v>
      </c>
      <c r="K46" s="22" t="s">
        <v>9</v>
      </c>
    </row>
    <row r="47" spans="2:20" x14ac:dyDescent="0.45">
      <c r="B47" s="23"/>
      <c r="C47" s="24"/>
      <c r="D47" s="24"/>
      <c r="E47" s="24"/>
      <c r="F47" s="24"/>
      <c r="G47" s="24"/>
      <c r="H47" s="24"/>
      <c r="I47" s="24"/>
      <c r="J47" s="24"/>
      <c r="K47" s="25"/>
    </row>
    <row r="48" spans="2:20" x14ac:dyDescent="0.45">
      <c r="L48" s="6"/>
      <c r="M48" s="6"/>
      <c r="N48" s="6"/>
      <c r="O48" s="6"/>
      <c r="P48" s="6"/>
      <c r="Q48" s="6"/>
      <c r="R48" s="6"/>
      <c r="S48" s="6"/>
      <c r="T48" s="6"/>
    </row>
    <row r="49" spans="2:27" x14ac:dyDescent="0.45">
      <c r="B49" s="35" t="s">
        <v>43</v>
      </c>
      <c r="C49" s="36"/>
      <c r="D49" s="36"/>
      <c r="E49" s="36"/>
      <c r="F49" s="36"/>
      <c r="G49" s="36"/>
      <c r="H49" s="36"/>
      <c r="I49" s="36"/>
      <c r="J49" s="36"/>
      <c r="K49" s="37"/>
    </row>
    <row r="50" spans="2:27" x14ac:dyDescent="0.45">
      <c r="B50" s="30" t="s">
        <v>13</v>
      </c>
      <c r="C50" s="31"/>
      <c r="D50" s="10"/>
      <c r="E50" s="32" t="s">
        <v>32</v>
      </c>
      <c r="F50" s="32"/>
      <c r="G50" s="32"/>
      <c r="H50" s="10"/>
      <c r="I50" s="32" t="s">
        <v>21</v>
      </c>
      <c r="J50" s="32"/>
      <c r="K50" s="33"/>
      <c r="W50" s="11"/>
      <c r="X50" s="11"/>
      <c r="Y50" s="11"/>
      <c r="Z50" s="11"/>
      <c r="AA50" s="11"/>
    </row>
    <row r="51" spans="2:27" x14ac:dyDescent="0.45">
      <c r="B51" s="26">
        <f>COS((B17+B18)/2)*(-0.5*B9*SIN(B15)-((B9^2)*SIN(B15)*COS(B15))/(2*SQRT((B10^2)-(B9^2)*SIN(B15)^2)))-0.5*SIN((B17+B18)/2)*(B9*COS(B15)+SQRT((B10^2)-(B9^2)*SIN(B15)^2))</f>
        <v>-150</v>
      </c>
      <c r="C51" s="26">
        <f>COS((B17+B18)/2)*(0.5*B9*SIN(B15)+((B9^2)*SIN(B15)*COS(B15))/(2*SQRT((B10^2)-(B9^2)*SIN(B15)^2)))-0.5*SIN((B17+B18)/2)*(B9*COS(B15)+SQRT((B10^2)-(B9^2)*SIN(B15)^2))</f>
        <v>-150</v>
      </c>
      <c r="D51" s="34" t="s">
        <v>0</v>
      </c>
      <c r="E51" s="17" t="s">
        <v>22</v>
      </c>
      <c r="F51" s="7">
        <v>0</v>
      </c>
      <c r="G51" s="10" t="s">
        <v>11</v>
      </c>
      <c r="H51" s="29" t="s">
        <v>20</v>
      </c>
      <c r="I51" s="17" t="s">
        <v>39</v>
      </c>
      <c r="J51" s="27">
        <f t="array" ref="J51:J52">MMULT(B51:C52,F51:F52)</f>
        <v>0</v>
      </c>
      <c r="K51" s="18" t="s">
        <v>12</v>
      </c>
      <c r="W51" s="11"/>
      <c r="X51" s="11"/>
      <c r="Y51" s="11"/>
      <c r="Z51" s="11"/>
      <c r="AA51" s="11"/>
    </row>
    <row r="52" spans="2:27" x14ac:dyDescent="0.45">
      <c r="B52" s="26">
        <f>SIN((B17+B18)/2)*(-0.5*B9*SIN(B15)-(B9^2*SIN(B15)*COS(B15))/(2*SQRT(B10^2-B9^2*SIN(B15)^2)))+0.5*COS((B17+B18)/2)*(B9*COS(B15)+SQRT(B10^2-B9^2*SIN(B15)^2))</f>
        <v>-76.58753795186972</v>
      </c>
      <c r="C52" s="26">
        <f>SIN((B17+B18)/2)*(0.5*B9*SIN(B15)+(B9^2*SIN(B15)*COS(B15))/(2*SQRT(B10^2-B9^2*SIN(B15)^2)))+0.5*COS((B17+B18)/2)*(B9*COS(B15)+SQRT(B10^2-B9^2*SIN(B15)^2))</f>
        <v>76.587537951869749</v>
      </c>
      <c r="D52" s="34"/>
      <c r="E52" s="17" t="s">
        <v>23</v>
      </c>
      <c r="F52" s="7">
        <v>0</v>
      </c>
      <c r="G52" s="10" t="s">
        <v>11</v>
      </c>
      <c r="H52" s="29"/>
      <c r="I52" s="17" t="s">
        <v>40</v>
      </c>
      <c r="J52" s="27">
        <v>0</v>
      </c>
      <c r="K52" s="18" t="s">
        <v>12</v>
      </c>
      <c r="W52" s="16"/>
      <c r="X52" s="16"/>
      <c r="Y52" s="11"/>
      <c r="Z52" s="11"/>
      <c r="AA52" s="11"/>
    </row>
    <row r="53" spans="2:27" x14ac:dyDescent="0.45">
      <c r="B53" s="19"/>
      <c r="C53" s="10"/>
      <c r="D53" s="10"/>
      <c r="E53" s="10"/>
      <c r="F53" s="10"/>
      <c r="G53" s="10"/>
      <c r="H53" s="10"/>
      <c r="I53" s="10"/>
      <c r="J53" s="10"/>
      <c r="K53" s="18"/>
      <c r="W53" s="16"/>
      <c r="X53" s="16"/>
      <c r="Y53" s="11"/>
      <c r="Z53" s="11"/>
      <c r="AA53" s="11"/>
    </row>
    <row r="54" spans="2:27" x14ac:dyDescent="0.45">
      <c r="B54" s="40" t="s">
        <v>15</v>
      </c>
      <c r="C54" s="32"/>
      <c r="D54" s="20"/>
      <c r="E54" s="32" t="s">
        <v>21</v>
      </c>
      <c r="F54" s="32"/>
      <c r="G54" s="32"/>
      <c r="H54" s="10"/>
      <c r="I54" s="32" t="s">
        <v>32</v>
      </c>
      <c r="J54" s="32"/>
      <c r="K54" s="33"/>
      <c r="W54" s="12"/>
      <c r="X54" s="12"/>
      <c r="Y54" s="11"/>
      <c r="Z54" s="11"/>
      <c r="AA54" s="11"/>
    </row>
    <row r="55" spans="2:27" x14ac:dyDescent="0.45">
      <c r="B55" s="26">
        <f t="array" ref="B55:C56">MINVERSE(B51:C52)</f>
        <v>-3.333333333333334E-3</v>
      </c>
      <c r="C55" s="26">
        <v>-6.5284772610684693E-3</v>
      </c>
      <c r="D55" s="34" t="s">
        <v>0</v>
      </c>
      <c r="E55" s="17" t="s">
        <v>39</v>
      </c>
      <c r="F55" s="9">
        <v>0</v>
      </c>
      <c r="G55" s="10" t="s">
        <v>12</v>
      </c>
      <c r="H55" s="29" t="s">
        <v>20</v>
      </c>
      <c r="I55" s="17" t="s">
        <v>22</v>
      </c>
      <c r="J55" s="27">
        <f t="array" ref="J55:J56">MMULT(B55:C56,F55:F56)</f>
        <v>-0.26113909044273875</v>
      </c>
      <c r="K55" s="18" t="s">
        <v>11</v>
      </c>
      <c r="W55" s="12"/>
      <c r="X55" s="12"/>
      <c r="Y55" s="11"/>
      <c r="Z55" s="11"/>
      <c r="AA55" s="11"/>
    </row>
    <row r="56" spans="2:27" x14ac:dyDescent="0.45">
      <c r="B56" s="26">
        <v>-3.3333333333333327E-3</v>
      </c>
      <c r="C56" s="26">
        <v>6.5284772610684693E-3</v>
      </c>
      <c r="D56" s="34"/>
      <c r="E56" s="17" t="s">
        <v>40</v>
      </c>
      <c r="F56" s="9">
        <v>40</v>
      </c>
      <c r="G56" s="10" t="s">
        <v>12</v>
      </c>
      <c r="H56" s="29"/>
      <c r="I56" s="17" t="s">
        <v>23</v>
      </c>
      <c r="J56" s="27">
        <v>0.26113909044273875</v>
      </c>
      <c r="K56" s="18" t="s">
        <v>11</v>
      </c>
      <c r="W56" s="11"/>
      <c r="X56" s="11"/>
      <c r="Y56" s="11"/>
      <c r="Z56" s="11"/>
      <c r="AA56" s="11"/>
    </row>
    <row r="57" spans="2:27" x14ac:dyDescent="0.45">
      <c r="B57" s="21"/>
      <c r="C57" s="11"/>
      <c r="D57" s="11"/>
      <c r="E57" s="10"/>
      <c r="F57" s="10"/>
      <c r="G57" s="10"/>
      <c r="H57" s="10"/>
      <c r="I57" s="10"/>
      <c r="J57" s="10"/>
      <c r="K57" s="18"/>
      <c r="W57" s="11"/>
      <c r="X57" s="11"/>
      <c r="Y57" s="11"/>
      <c r="Z57" s="11"/>
      <c r="AA57" s="11"/>
    </row>
    <row r="58" spans="2:27" x14ac:dyDescent="0.45">
      <c r="B58" s="30" t="s">
        <v>14</v>
      </c>
      <c r="C58" s="31"/>
      <c r="D58" s="20"/>
      <c r="E58" s="32" t="s">
        <v>28</v>
      </c>
      <c r="F58" s="32"/>
      <c r="G58" s="32"/>
      <c r="H58" s="10"/>
      <c r="I58" s="32" t="s">
        <v>31</v>
      </c>
      <c r="J58" s="32"/>
      <c r="K58" s="33"/>
      <c r="W58" s="11"/>
      <c r="X58" s="11"/>
      <c r="Y58" s="11"/>
      <c r="Z58" s="11"/>
      <c r="AA58" s="11"/>
    </row>
    <row r="59" spans="2:27" x14ac:dyDescent="0.45">
      <c r="B59" s="26">
        <f t="array" ref="B59:C60">TRANSPOSE(B51:C52)</f>
        <v>-150</v>
      </c>
      <c r="C59" s="26">
        <v>-76.58753795186972</v>
      </c>
      <c r="D59" s="29" t="s">
        <v>0</v>
      </c>
      <c r="E59" s="15" t="s">
        <v>41</v>
      </c>
      <c r="F59" s="9">
        <v>0</v>
      </c>
      <c r="G59" s="11" t="s">
        <v>9</v>
      </c>
      <c r="H59" s="29" t="s">
        <v>20</v>
      </c>
      <c r="I59" s="17" t="s">
        <v>26</v>
      </c>
      <c r="J59" s="27">
        <f t="array" ref="J59:J60">MMULT(B59:C60,F59:F60)</f>
        <v>15317.507590373943</v>
      </c>
      <c r="K59" s="18" t="s">
        <v>10</v>
      </c>
      <c r="W59" s="11"/>
      <c r="X59" s="11"/>
      <c r="Y59" s="11"/>
      <c r="Z59" s="11"/>
      <c r="AA59" s="11"/>
    </row>
    <row r="60" spans="2:27" x14ac:dyDescent="0.45">
      <c r="B60" s="26">
        <v>-150</v>
      </c>
      <c r="C60" s="26">
        <v>76.587537951869749</v>
      </c>
      <c r="D60" s="29"/>
      <c r="E60" s="15" t="s">
        <v>42</v>
      </c>
      <c r="F60" s="9">
        <v>-200</v>
      </c>
      <c r="G60" s="11" t="s">
        <v>9</v>
      </c>
      <c r="H60" s="29"/>
      <c r="I60" s="17" t="s">
        <v>27</v>
      </c>
      <c r="J60" s="27">
        <v>-15317.507590373949</v>
      </c>
      <c r="K60" s="18" t="s">
        <v>10</v>
      </c>
      <c r="W60" s="11"/>
      <c r="X60" s="11"/>
      <c r="Y60" s="11"/>
      <c r="Z60" s="11"/>
      <c r="AA60" s="11"/>
    </row>
    <row r="61" spans="2:27" x14ac:dyDescent="0.45">
      <c r="B61" s="21"/>
      <c r="C61" s="14"/>
      <c r="D61" s="11"/>
      <c r="E61" s="10"/>
      <c r="F61" s="10"/>
      <c r="G61" s="10"/>
      <c r="H61" s="10"/>
      <c r="I61" s="10"/>
      <c r="J61" s="10"/>
      <c r="K61" s="18"/>
      <c r="W61" s="11"/>
      <c r="X61" s="11"/>
      <c r="Y61" s="11"/>
      <c r="Z61" s="11"/>
      <c r="AA61" s="11"/>
    </row>
    <row r="62" spans="2:27" x14ac:dyDescent="0.45">
      <c r="B62" s="30" t="s">
        <v>17</v>
      </c>
      <c r="C62" s="31"/>
      <c r="D62" s="20"/>
      <c r="E62" s="32" t="s">
        <v>31</v>
      </c>
      <c r="F62" s="32"/>
      <c r="G62" s="32"/>
      <c r="H62" s="10"/>
      <c r="I62" s="32" t="s">
        <v>28</v>
      </c>
      <c r="J62" s="32"/>
      <c r="K62" s="33"/>
      <c r="W62" s="11"/>
      <c r="X62" s="11"/>
      <c r="Y62" s="11"/>
      <c r="Z62" s="11"/>
      <c r="AA62" s="11"/>
    </row>
    <row r="63" spans="2:27" x14ac:dyDescent="0.45">
      <c r="B63" s="26">
        <f t="array" ref="B63:C64">MINVERSE(B59:C60)</f>
        <v>-3.333333333333334E-3</v>
      </c>
      <c r="C63" s="26">
        <v>-3.3333333333333327E-3</v>
      </c>
      <c r="D63" s="29" t="s">
        <v>0</v>
      </c>
      <c r="E63" s="17" t="s">
        <v>26</v>
      </c>
      <c r="F63" s="8">
        <v>-15000</v>
      </c>
      <c r="G63" s="10" t="s">
        <v>10</v>
      </c>
      <c r="H63" s="29" t="s">
        <v>20</v>
      </c>
      <c r="I63" s="15" t="s">
        <v>41</v>
      </c>
      <c r="J63" s="27">
        <f t="array" ref="J63:J64">MMULT(B63:C64,F63:F64)</f>
        <v>1.4210854715202004E-14</v>
      </c>
      <c r="K63" s="22" t="s">
        <v>9</v>
      </c>
      <c r="W63" s="11"/>
      <c r="X63" s="11"/>
      <c r="Y63" s="11"/>
      <c r="Z63" s="11"/>
      <c r="AA63" s="11"/>
    </row>
    <row r="64" spans="2:27" x14ac:dyDescent="0.45">
      <c r="B64" s="26">
        <v>-6.5284772610684693E-3</v>
      </c>
      <c r="C64" s="26">
        <v>6.5284772610684693E-3</v>
      </c>
      <c r="D64" s="29"/>
      <c r="E64" s="17" t="s">
        <v>27</v>
      </c>
      <c r="F64" s="8">
        <v>15000</v>
      </c>
      <c r="G64" s="10" t="s">
        <v>10</v>
      </c>
      <c r="H64" s="29"/>
      <c r="I64" s="15" t="s">
        <v>42</v>
      </c>
      <c r="J64" s="27">
        <v>195.85431783205408</v>
      </c>
      <c r="K64" s="22" t="s">
        <v>9</v>
      </c>
      <c r="W64" s="11"/>
      <c r="X64" s="11"/>
      <c r="Y64" s="11"/>
      <c r="Z64" s="11"/>
      <c r="AA64" s="11"/>
    </row>
    <row r="65" spans="2:27" x14ac:dyDescent="0.45">
      <c r="B65" s="23"/>
      <c r="C65" s="24"/>
      <c r="D65" s="24"/>
      <c r="E65" s="24"/>
      <c r="F65" s="24"/>
      <c r="G65" s="24"/>
      <c r="H65" s="24"/>
      <c r="I65" s="24"/>
      <c r="J65" s="24"/>
      <c r="K65" s="25"/>
      <c r="W65" s="11"/>
      <c r="X65" s="11"/>
      <c r="Y65" s="11"/>
      <c r="Z65" s="11"/>
      <c r="AA65" s="11"/>
    </row>
    <row r="66" spans="2:27" x14ac:dyDescent="0.45">
      <c r="N66" s="11"/>
      <c r="O66" s="13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2:27" x14ac:dyDescent="0.45"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2:27" x14ac:dyDescent="0.45"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2:27" x14ac:dyDescent="0.45"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</sheetData>
  <mergeCells count="45">
    <mergeCell ref="A4:C4"/>
    <mergeCell ref="A8:C8"/>
    <mergeCell ref="A21:C21"/>
    <mergeCell ref="B31:K31"/>
    <mergeCell ref="B32:C32"/>
    <mergeCell ref="E32:G32"/>
    <mergeCell ref="I32:K32"/>
    <mergeCell ref="B44:C44"/>
    <mergeCell ref="E44:G44"/>
    <mergeCell ref="I44:K44"/>
    <mergeCell ref="D33:D34"/>
    <mergeCell ref="H33:H34"/>
    <mergeCell ref="B36:C36"/>
    <mergeCell ref="E36:G36"/>
    <mergeCell ref="I36:K36"/>
    <mergeCell ref="D37:D38"/>
    <mergeCell ref="H37:H38"/>
    <mergeCell ref="B40:C40"/>
    <mergeCell ref="E40:G40"/>
    <mergeCell ref="I40:K40"/>
    <mergeCell ref="D41:D42"/>
    <mergeCell ref="H41:H42"/>
    <mergeCell ref="D55:D56"/>
    <mergeCell ref="H55:H56"/>
    <mergeCell ref="D45:D46"/>
    <mergeCell ref="H45:H46"/>
    <mergeCell ref="B49:K49"/>
    <mergeCell ref="B50:C50"/>
    <mergeCell ref="E50:G50"/>
    <mergeCell ref="I50:K50"/>
    <mergeCell ref="D51:D52"/>
    <mergeCell ref="H51:H52"/>
    <mergeCell ref="B54:C54"/>
    <mergeCell ref="E54:G54"/>
    <mergeCell ref="I54:K54"/>
    <mergeCell ref="D63:D64"/>
    <mergeCell ref="H63:H64"/>
    <mergeCell ref="B58:C58"/>
    <mergeCell ref="E58:G58"/>
    <mergeCell ref="I58:K58"/>
    <mergeCell ref="D59:D60"/>
    <mergeCell ref="H59:H60"/>
    <mergeCell ref="B62:C62"/>
    <mergeCell ref="E62:G62"/>
    <mergeCell ref="I62:K62"/>
  </mergeCells>
  <conditionalFormatting sqref="B13">
    <cfRule type="cellIs" dxfId="1" priority="1" operator="lessThan">
      <formula>$B$10-$B$9</formula>
    </cfRule>
    <cfRule type="cellIs" dxfId="0" priority="2" operator="greaterThan">
      <formula>$B$10+$B$9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Including Toe</vt:lpstr>
      <vt:lpstr>Excluding Toe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 Mailer</cp:lastModifiedBy>
  <dcterms:created xsi:type="dcterms:W3CDTF">2019-12-14T15:28:07Z</dcterms:created>
  <dcterms:modified xsi:type="dcterms:W3CDTF">2020-01-10T11:30:58Z</dcterms:modified>
</cp:coreProperties>
</file>