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ropbox\INTELSTPRO\Declaraciones\JULIO 2025\"/>
    </mc:Choice>
  </mc:AlternateContent>
  <xr:revisionPtr revIDLastSave="0" documentId="13_ncr:1_{14837A9D-5590-40A3-827A-9A5DABEFB93B}" xr6:coauthVersionLast="45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Ventas" sheetId="5" r:id="rId1"/>
    <sheet name="Compras" sheetId="7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G8" i="5"/>
  <c r="F7" i="5"/>
  <c r="G7" i="5" s="1"/>
  <c r="G21" i="7" l="1"/>
  <c r="E18" i="7"/>
  <c r="J18" i="7" s="1"/>
  <c r="E17" i="7"/>
  <c r="J17" i="7" s="1"/>
  <c r="E16" i="7"/>
  <c r="J16" i="7"/>
  <c r="J15" i="7"/>
  <c r="L15" i="7" s="1"/>
  <c r="J14" i="7"/>
  <c r="L14" i="7" s="1"/>
  <c r="E21" i="7" l="1"/>
  <c r="G39" i="7"/>
  <c r="J11" i="7" l="1"/>
  <c r="L11" i="7" s="1"/>
  <c r="J13" i="7"/>
  <c r="L13" i="7" s="1"/>
  <c r="J12" i="7"/>
  <c r="L12" i="7" s="1"/>
  <c r="J10" i="7"/>
  <c r="L10" i="7" s="1"/>
  <c r="J9" i="7"/>
  <c r="J8" i="7"/>
  <c r="L8" i="7" s="1"/>
  <c r="J7" i="7"/>
  <c r="L7" i="7" s="1"/>
  <c r="J6" i="7"/>
  <c r="L6" i="7" s="1"/>
  <c r="J5" i="7"/>
  <c r="L5" i="7" s="1"/>
  <c r="J4" i="7"/>
  <c r="L4" i="7" s="1"/>
  <c r="J3" i="7"/>
  <c r="L3" i="7" l="1"/>
  <c r="J21" i="7"/>
  <c r="L9" i="7"/>
  <c r="G36" i="7" l="1"/>
  <c r="G25" i="7" l="1"/>
  <c r="E10" i="5" l="1"/>
  <c r="G38" i="7" l="1"/>
  <c r="L21" i="7" l="1"/>
  <c r="G32" i="7"/>
  <c r="F3" i="5"/>
  <c r="F4" i="5"/>
  <c r="G4" i="5" s="1"/>
  <c r="F5" i="5"/>
  <c r="F6" i="5"/>
  <c r="G6" i="5" s="1"/>
  <c r="F9" i="5"/>
  <c r="G9" i="5" s="1"/>
  <c r="G28" i="7"/>
  <c r="G26" i="7"/>
  <c r="C4" i="5"/>
  <c r="K4" i="5" s="1"/>
  <c r="K3" i="5"/>
  <c r="A9" i="5"/>
  <c r="A10" i="5" s="1"/>
  <c r="G5" i="5" l="1"/>
  <c r="F10" i="5"/>
  <c r="C5" i="5"/>
  <c r="G3" i="5"/>
  <c r="G29" i="7"/>
  <c r="G22" i="7"/>
  <c r="G27" i="7" s="1"/>
  <c r="G10" i="5" l="1"/>
  <c r="G31" i="7"/>
  <c r="G33" i="7" s="1"/>
  <c r="K5" i="5"/>
  <c r="C6" i="5"/>
  <c r="C7" i="5" s="1"/>
  <c r="C8" i="5" l="1"/>
  <c r="C9" i="5" s="1"/>
  <c r="K7" i="5"/>
  <c r="K6" i="5"/>
  <c r="K8" i="5" l="1"/>
  <c r="K9" i="5" l="1"/>
</calcChain>
</file>

<file path=xl/sharedStrings.xml><?xml version="1.0" encoding="utf-8"?>
<sst xmlns="http://schemas.openxmlformats.org/spreadsheetml/2006/main" count="109" uniqueCount="62">
  <si>
    <t>N° Factura</t>
  </si>
  <si>
    <t>Fecha</t>
  </si>
  <si>
    <t>Valor</t>
  </si>
  <si>
    <t>Impuesto</t>
  </si>
  <si>
    <t>Total</t>
  </si>
  <si>
    <t>Proveedor</t>
  </si>
  <si>
    <t>Local</t>
  </si>
  <si>
    <t>Dólares</t>
  </si>
  <si>
    <t>Tipo</t>
  </si>
  <si>
    <t>Pendiente</t>
  </si>
  <si>
    <t>Servicio</t>
  </si>
  <si>
    <t>HIDALGO E HIDALGO HONDURAS S.A. DE C.V.</t>
  </si>
  <si>
    <t>ISV - VENTAS:</t>
  </si>
  <si>
    <t>ISV - COMPRAS:</t>
  </si>
  <si>
    <t>ISV NETO:</t>
  </si>
  <si>
    <t>ANULADA</t>
  </si>
  <si>
    <t>Cliente</t>
  </si>
  <si>
    <t>ALIMENTACIÓN</t>
  </si>
  <si>
    <t>FACT</t>
  </si>
  <si>
    <t>Ventas 15%:</t>
  </si>
  <si>
    <t>Exonerado 15%:</t>
  </si>
  <si>
    <t>Notas de Crédito:</t>
  </si>
  <si>
    <t>Total Ventas 15%:</t>
  </si>
  <si>
    <t>ISV 15</t>
  </si>
  <si>
    <t>ISV18</t>
  </si>
  <si>
    <t>GRAV 15%</t>
  </si>
  <si>
    <t>GRAV 18%</t>
  </si>
  <si>
    <t>Importaciones:</t>
  </si>
  <si>
    <t>Lempiras</t>
  </si>
  <si>
    <t>Compras 15%:</t>
  </si>
  <si>
    <t>RESUMEN DECLARACIÓN OFICINA VIRTUAL</t>
  </si>
  <si>
    <t>CORPORACION PETROLERA MONTECRISTO S.A DE C. V.</t>
  </si>
  <si>
    <t>COMBUSTIBLES</t>
  </si>
  <si>
    <t>D</t>
  </si>
  <si>
    <t>EXPLORA MUNDO HN S. DE R. L.</t>
  </si>
  <si>
    <t>G</t>
  </si>
  <si>
    <t>ACCESORIOS PARA COMPUTADORAS Y OFICINAS SA DE CV</t>
  </si>
  <si>
    <t>SUMINISTROS</t>
  </si>
  <si>
    <t>INDUSTRIAS TURISTICAS DE HONDURAS S. A. DE C. V.</t>
  </si>
  <si>
    <t>ALIMENTOS DE SULA S. DE R. L.</t>
  </si>
  <si>
    <t>IMPRESOS PERDOMO</t>
  </si>
  <si>
    <t>PAPELERÍA</t>
  </si>
  <si>
    <t>QUALITY INDUSTRIAL CONSTRUCTION S. DE R. L.</t>
  </si>
  <si>
    <t>EQUIPO USO EMPRESA</t>
  </si>
  <si>
    <t>EQUIPO</t>
  </si>
  <si>
    <t>Internacional</t>
  </si>
  <si>
    <t>24-13242-81355</t>
  </si>
  <si>
    <t>GOT LAPTOP PARTS</t>
  </si>
  <si>
    <t>GASPRO HONDURAS S. A.</t>
  </si>
  <si>
    <t>REINSTALACIÓN SISTEMA OPERATIVO</t>
  </si>
  <si>
    <t>SOPORTE TECNICO JULIO 2025</t>
  </si>
  <si>
    <t>2 DELL OPTIPLEX 7480 AIO i5|256GB|16GB|24"</t>
  </si>
  <si>
    <t>000-002-01-01061290</t>
  </si>
  <si>
    <t>SERCARGO LOGISTIC S. DE R. L.</t>
  </si>
  <si>
    <t>IMPORTACIONES</t>
  </si>
  <si>
    <t>IMPORTACIÓN: 2 DELL OPTIPLEX EXPLORA MUNDO</t>
  </si>
  <si>
    <t>05-13293-61328</t>
  </si>
  <si>
    <t>EBAY LLC</t>
  </si>
  <si>
    <t>REPUESTOS</t>
  </si>
  <si>
    <t>PUERTO DE CARGA SURFACE</t>
  </si>
  <si>
    <t>24-13289-71533</t>
  </si>
  <si>
    <t>CINTAS ADHESIVAS USO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</si>
</sst>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540A]* #,##0.00_ ;_-[$$-540A]* \-#,##0.00\ ;_-[$$-540A]* &quot;-&quot;??_ ;_-@_ "/>
    <numFmt numFmtId="165" formatCode="000\-000\-00\-00000000"/>
    <numFmt numFmtId="166" formatCode="000\-00\1\-0\1\-00000000"/>
    <numFmt numFmtId="167" formatCode="_-[$L-480A]* #,##0.00_-;\-[$L-480A]* #,##0.00_-;_-[$L-480A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43" fontId="0" fillId="0" borderId="0" xfId="1" applyFont="1"/>
    <xf numFmtId="0" fontId="2" fillId="0" borderId="0" xfId="0" applyFont="1"/>
    <xf numFmtId="43" fontId="2" fillId="0" borderId="0" xfId="1" applyFont="1"/>
    <xf numFmtId="0" fontId="2" fillId="0" borderId="0" xfId="1" applyNumberFormat="1" applyFont="1"/>
    <xf numFmtId="43" fontId="0" fillId="0" borderId="0" xfId="0" applyNumberFormat="1"/>
    <xf numFmtId="0" fontId="2" fillId="0" borderId="0" xfId="0" applyFont="1" applyAlignment="1">
      <alignment horizontal="right"/>
    </xf>
    <xf numFmtId="164" fontId="0" fillId="0" borderId="0" xfId="0" applyNumberFormat="1"/>
    <xf numFmtId="43" fontId="0" fillId="0" borderId="0" xfId="1" applyFont="1" applyAlignment="1">
      <alignment horizontal="right"/>
    </xf>
    <xf numFmtId="43" fontId="3" fillId="0" borderId="0" xfId="1" applyFont="1" applyFill="1"/>
    <xf numFmtId="43" fontId="0" fillId="0" borderId="0" xfId="0" applyNumberFormat="1" applyAlignment="1">
      <alignment horizontal="center"/>
    </xf>
    <xf numFmtId="0" fontId="5" fillId="0" borderId="0" xfId="0" applyFont="1"/>
    <xf numFmtId="43" fontId="5" fillId="0" borderId="0" xfId="1" applyFont="1"/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indent="1"/>
    </xf>
    <xf numFmtId="49" fontId="2" fillId="0" borderId="0" xfId="0" applyNumberFormat="1" applyFont="1" applyAlignment="1">
      <alignment horizontal="right" indent="1"/>
    </xf>
    <xf numFmtId="43" fontId="1" fillId="0" borderId="0" xfId="1" applyFont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/>
    <xf numFmtId="43" fontId="0" fillId="0" borderId="10" xfId="1" applyFont="1" applyBorder="1"/>
    <xf numFmtId="0" fontId="0" fillId="0" borderId="11" xfId="0" applyBorder="1"/>
    <xf numFmtId="43" fontId="0" fillId="0" borderId="4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1" xfId="1" applyFont="1" applyBorder="1"/>
    <xf numFmtId="43" fontId="2" fillId="2" borderId="9" xfId="1" applyFont="1" applyFill="1" applyBorder="1"/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43" fontId="2" fillId="2" borderId="14" xfId="1" applyFont="1" applyFill="1" applyBorder="1"/>
    <xf numFmtId="0" fontId="0" fillId="0" borderId="0" xfId="1" applyNumberFormat="1" applyFont="1" applyAlignment="1">
      <alignment horizontal="right"/>
    </xf>
    <xf numFmtId="164" fontId="0" fillId="0" borderId="0" xfId="1" applyNumberFormat="1" applyFont="1" applyBorder="1"/>
    <xf numFmtId="0" fontId="1" fillId="0" borderId="0" xfId="1" applyNumberFormat="1" applyFont="1"/>
    <xf numFmtId="166" fontId="0" fillId="0" borderId="12" xfId="0" applyNumberFormat="1" applyBorder="1"/>
    <xf numFmtId="166" fontId="0" fillId="0" borderId="13" xfId="0" applyNumberFormat="1" applyBorder="1"/>
    <xf numFmtId="166" fontId="0" fillId="0" borderId="0" xfId="0" applyNumberFormat="1"/>
    <xf numFmtId="0" fontId="0" fillId="0" borderId="0" xfId="2" applyNumberFormat="1" applyFont="1"/>
    <xf numFmtId="43" fontId="0" fillId="0" borderId="0" xfId="1" applyFont="1" applyBorder="1"/>
    <xf numFmtId="167" fontId="0" fillId="0" borderId="0" xfId="0" applyNumberFormat="1"/>
    <xf numFmtId="0" fontId="0" fillId="0" borderId="0" xfId="0" applyFill="1" applyBorder="1"/>
    <xf numFmtId="164" fontId="2" fillId="0" borderId="0" xfId="1" applyNumberFormat="1" applyFont="1"/>
    <xf numFmtId="166" fontId="0" fillId="0" borderId="14" xfId="0" applyNumberFormat="1" applyBorder="1"/>
    <xf numFmtId="43" fontId="2" fillId="0" borderId="0" xfId="1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zoomScaleNormal="100" workbookViewId="0">
      <selection activeCell="B3" sqref="B3"/>
    </sheetView>
  </sheetViews>
  <sheetFormatPr baseColWidth="10" defaultColWidth="10.7109375" defaultRowHeight="15" x14ac:dyDescent="0.25"/>
  <cols>
    <col min="1" max="1" width="2.85546875" customWidth="1"/>
    <col min="2" max="2" width="11" bestFit="1" customWidth="1"/>
    <col min="3" max="3" width="19.7109375" bestFit="1" customWidth="1"/>
    <col min="4" max="4" width="48.85546875" bestFit="1" customWidth="1"/>
    <col min="5" max="5" width="11.5703125" bestFit="1" customWidth="1"/>
    <col min="6" max="6" width="10.5703125" bestFit="1" customWidth="1"/>
    <col min="7" max="7" width="11.5703125" bestFit="1" customWidth="1"/>
    <col min="8" max="9" width="11.5703125" customWidth="1"/>
    <col min="10" max="10" width="3.140625" customWidth="1"/>
    <col min="11" max="11" width="68" bestFit="1" customWidth="1"/>
    <col min="12" max="12" width="60.28515625" bestFit="1" customWidth="1"/>
  </cols>
  <sheetData>
    <row r="1" spans="1:12" ht="15.75" thickBot="1" x14ac:dyDescent="0.3"/>
    <row r="2" spans="1:12" ht="15.75" thickBot="1" x14ac:dyDescent="0.3">
      <c r="B2" s="18" t="s">
        <v>1</v>
      </c>
      <c r="C2" s="19" t="s">
        <v>0</v>
      </c>
      <c r="D2" s="19" t="s">
        <v>16</v>
      </c>
      <c r="E2" s="19" t="s">
        <v>2</v>
      </c>
      <c r="F2" s="19" t="s">
        <v>3</v>
      </c>
      <c r="G2" s="19" t="s">
        <v>4</v>
      </c>
      <c r="H2" s="19"/>
      <c r="I2" s="19"/>
      <c r="J2" s="19"/>
      <c r="K2" s="19"/>
      <c r="L2" s="20"/>
    </row>
    <row r="3" spans="1:12" x14ac:dyDescent="0.25">
      <c r="A3" s="12"/>
      <c r="B3" s="21">
        <v>45840</v>
      </c>
      <c r="C3" s="44">
        <v>1152</v>
      </c>
      <c r="D3" s="22" t="s">
        <v>48</v>
      </c>
      <c r="E3" s="30">
        <v>700</v>
      </c>
      <c r="F3" s="37">
        <f>ROUND(E3*15%,2)</f>
        <v>105</v>
      </c>
      <c r="G3" s="31">
        <f>F3+E3</f>
        <v>805</v>
      </c>
      <c r="H3" s="48"/>
      <c r="I3" s="42" t="s">
        <v>18</v>
      </c>
      <c r="J3" s="22"/>
      <c r="K3" s="22" t="str">
        <f>IF(C3&lt;&gt;"",CONCATENATE(TEXT(C3,"000-000-01-00000000")," ",D3),"")</f>
        <v>000-000-01-00001152 GASPRO HONDURAS S. A.</v>
      </c>
      <c r="L3" s="23" t="s">
        <v>49</v>
      </c>
    </row>
    <row r="4" spans="1:12" x14ac:dyDescent="0.25">
      <c r="A4" s="12"/>
      <c r="B4" s="24">
        <v>45853</v>
      </c>
      <c r="C4" s="45">
        <f>C3+1</f>
        <v>1153</v>
      </c>
      <c r="D4" t="s">
        <v>15</v>
      </c>
      <c r="E4" s="32">
        <v>0</v>
      </c>
      <c r="F4" s="38">
        <f t="shared" ref="F4:F8" si="0">ROUND(E4*15%,2)</f>
        <v>0</v>
      </c>
      <c r="G4" s="33">
        <f t="shared" ref="G4:G8" si="1">F4+E4</f>
        <v>0</v>
      </c>
      <c r="H4" s="48"/>
      <c r="I4" s="42" t="s">
        <v>18</v>
      </c>
      <c r="K4" t="str">
        <f t="shared" ref="K4:K9" si="2">IF(C4&lt;&gt;"",CONCATENATE(TEXT(C4,"000-000-01-00000000")," ",D4),"")</f>
        <v>000-000-01-00001153 ANULADA</v>
      </c>
      <c r="L4" s="25"/>
    </row>
    <row r="5" spans="1:12" x14ac:dyDescent="0.25">
      <c r="A5" s="12"/>
      <c r="B5" s="24">
        <v>45853</v>
      </c>
      <c r="C5" s="45">
        <f t="shared" ref="C5:C8" si="3">C4+1</f>
        <v>1154</v>
      </c>
      <c r="D5" t="s">
        <v>15</v>
      </c>
      <c r="E5" s="32">
        <v>0</v>
      </c>
      <c r="F5" s="38">
        <f t="shared" si="0"/>
        <v>0</v>
      </c>
      <c r="G5" s="33">
        <f t="shared" si="1"/>
        <v>0</v>
      </c>
      <c r="H5" s="48"/>
      <c r="I5" s="42" t="s">
        <v>18</v>
      </c>
      <c r="K5" t="str">
        <f t="shared" si="2"/>
        <v>000-000-01-00001154 ANULADA</v>
      </c>
      <c r="L5" s="25"/>
    </row>
    <row r="6" spans="1:12" x14ac:dyDescent="0.25">
      <c r="A6" s="12"/>
      <c r="B6" s="24">
        <v>45853</v>
      </c>
      <c r="C6" s="45">
        <f t="shared" si="3"/>
        <v>1155</v>
      </c>
      <c r="D6" t="s">
        <v>34</v>
      </c>
      <c r="E6" s="32">
        <v>27235.62</v>
      </c>
      <c r="F6" s="38">
        <f t="shared" si="0"/>
        <v>4085.34</v>
      </c>
      <c r="G6" s="33">
        <f t="shared" si="1"/>
        <v>31320.959999999999</v>
      </c>
      <c r="H6" s="48"/>
      <c r="I6" s="42" t="s">
        <v>18</v>
      </c>
      <c r="K6" t="str">
        <f t="shared" si="2"/>
        <v>000-000-01-00001155 EXPLORA MUNDO HN S. DE R. L.</v>
      </c>
      <c r="L6" s="25"/>
    </row>
    <row r="7" spans="1:12" x14ac:dyDescent="0.25">
      <c r="A7" s="12"/>
      <c r="B7" s="24">
        <v>45853</v>
      </c>
      <c r="C7" s="45">
        <f t="shared" si="3"/>
        <v>1156</v>
      </c>
      <c r="D7" s="50" t="s">
        <v>11</v>
      </c>
      <c r="E7" s="32">
        <v>6580.06</v>
      </c>
      <c r="F7" s="38">
        <f t="shared" si="0"/>
        <v>987.01</v>
      </c>
      <c r="G7" s="33">
        <f t="shared" si="1"/>
        <v>7567.0700000000006</v>
      </c>
      <c r="H7" s="48"/>
      <c r="I7" s="42" t="s">
        <v>18</v>
      </c>
      <c r="K7" t="str">
        <f t="shared" si="2"/>
        <v>000-000-01-00001156 HIDALGO E HIDALGO HONDURAS S.A. DE C.V.</v>
      </c>
      <c r="L7" s="25" t="s">
        <v>50</v>
      </c>
    </row>
    <row r="8" spans="1:12" x14ac:dyDescent="0.25">
      <c r="A8" s="12"/>
      <c r="B8" s="24">
        <v>45853</v>
      </c>
      <c r="C8" s="45">
        <f t="shared" si="3"/>
        <v>1157</v>
      </c>
      <c r="D8" s="50" t="s">
        <v>15</v>
      </c>
      <c r="E8" s="32">
        <v>0</v>
      </c>
      <c r="F8" s="38">
        <f t="shared" si="0"/>
        <v>0</v>
      </c>
      <c r="G8" s="33">
        <f t="shared" si="1"/>
        <v>0</v>
      </c>
      <c r="H8" s="48"/>
      <c r="I8" s="42" t="s">
        <v>18</v>
      </c>
      <c r="K8" t="str">
        <f t="shared" si="2"/>
        <v>000-000-01-00001157 ANULADA</v>
      </c>
      <c r="L8" s="25"/>
    </row>
    <row r="9" spans="1:12" ht="15.75" thickBot="1" x14ac:dyDescent="0.3">
      <c r="A9" s="12">
        <f>IF(D9="ANULADA",0,E9)</f>
        <v>0</v>
      </c>
      <c r="B9" s="26">
        <v>45853</v>
      </c>
      <c r="C9" s="52">
        <f>C8+1</f>
        <v>1158</v>
      </c>
      <c r="D9" s="27" t="s">
        <v>15</v>
      </c>
      <c r="E9" s="34">
        <v>0</v>
      </c>
      <c r="F9" s="39">
        <f>ROUND(E9*15%,2)</f>
        <v>0</v>
      </c>
      <c r="G9" s="35">
        <f>F9+E9</f>
        <v>0</v>
      </c>
      <c r="H9" s="28"/>
      <c r="I9" s="28" t="s">
        <v>18</v>
      </c>
      <c r="J9" s="27"/>
      <c r="K9" s="27" t="str">
        <f t="shared" si="2"/>
        <v>000-000-01-00001158 ANULADA</v>
      </c>
      <c r="L9" s="29" t="s">
        <v>51</v>
      </c>
    </row>
    <row r="10" spans="1:12" ht="15.75" thickBot="1" x14ac:dyDescent="0.3">
      <c r="A10" s="13">
        <f>SUM(A3:A9)</f>
        <v>0</v>
      </c>
      <c r="D10" s="11"/>
      <c r="E10" s="36">
        <f>SUM(E3:E9)</f>
        <v>34515.68</v>
      </c>
      <c r="F10" s="40">
        <f>SUM(F3:F9)</f>
        <v>5177.3500000000004</v>
      </c>
      <c r="G10" s="40">
        <f>SUM(G3:G9)</f>
        <v>39693.03</v>
      </c>
      <c r="I10" s="2"/>
    </row>
    <row r="11" spans="1:12" x14ac:dyDescent="0.25">
      <c r="D11" s="46"/>
      <c r="F11" s="6"/>
    </row>
    <row r="12" spans="1:12" x14ac:dyDescent="0.25">
      <c r="E12" s="6"/>
    </row>
    <row r="13" spans="1:12" x14ac:dyDescent="0.25">
      <c r="D13" s="6"/>
    </row>
    <row r="14" spans="1:12" x14ac:dyDescent="0.25">
      <c r="D14" s="6"/>
      <c r="E14" s="6"/>
    </row>
    <row r="15" spans="1:12" x14ac:dyDescent="0.25">
      <c r="E15" s="6"/>
      <c r="G15" s="6"/>
      <c r="H15" s="6"/>
    </row>
    <row r="16" spans="1:12" x14ac:dyDescent="0.25">
      <c r="E16" s="6"/>
    </row>
    <row r="17" spans="5:5" x14ac:dyDescent="0.25">
      <c r="E17" s="6"/>
    </row>
    <row r="18" spans="5:5" x14ac:dyDescent="0.25">
      <c r="E18" s="6"/>
    </row>
    <row r="19" spans="5:5" x14ac:dyDescent="0.25">
      <c r="E19" s="6"/>
    </row>
  </sheetData>
  <phoneticPr fontId="4" type="noConversion"/>
  <conditionalFormatting sqref="D3:D10">
    <cfRule type="containsText" dxfId="8" priority="5" operator="containsText" text="ANULAD">
      <formula>NOT(ISERROR(SEARCH("ANULAD",D3)))</formula>
    </cfRule>
  </conditionalFormatting>
  <conditionalFormatting sqref="D10">
    <cfRule type="containsText" dxfId="7" priority="3" operator="containsText" text="ERROR">
      <formula>NOT(ISERROR(SEARCH("ERROR",D10)))</formula>
    </cfRule>
    <cfRule type="containsText" dxfId="6" priority="4" operator="containsText" text="OK">
      <formula>NOT(ISERROR(SEARCH("OK",D10)))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"/>
  <sheetViews>
    <sheetView tabSelected="1" topLeftCell="C1" zoomScaleNormal="100" workbookViewId="0">
      <pane ySplit="2" topLeftCell="A3" activePane="bottomLeft" state="frozen"/>
      <selection pane="bottomLeft" activeCell="L18" sqref="L18"/>
    </sheetView>
  </sheetViews>
  <sheetFormatPr baseColWidth="10" defaultColWidth="10.7109375" defaultRowHeight="15" x14ac:dyDescent="0.25"/>
  <cols>
    <col min="1" max="1" width="12.7109375" bestFit="1" customWidth="1"/>
    <col min="3" max="3" width="24.7109375" style="15" bestFit="1" customWidth="1"/>
    <col min="4" max="4" width="63.7109375" bestFit="1" customWidth="1"/>
    <col min="5" max="5" width="16.5703125" style="2" bestFit="1" customWidth="1"/>
    <col min="6" max="6" width="16.5703125" style="2" hidden="1" customWidth="1"/>
    <col min="7" max="7" width="11.5703125" style="2"/>
    <col min="8" max="8" width="10.7109375" style="2" customWidth="1"/>
    <col min="9" max="10" width="11.5703125" style="2"/>
    <col min="11" max="11" width="39.85546875" bestFit="1" customWidth="1"/>
    <col min="12" max="12" width="11.42578125" bestFit="1" customWidth="1"/>
    <col min="13" max="13" width="4.42578125" customWidth="1"/>
    <col min="14" max="14" width="58.140625" bestFit="1" customWidth="1"/>
    <col min="17" max="17" width="11.85546875" bestFit="1" customWidth="1"/>
    <col min="19" max="19" width="11.5703125" bestFit="1" customWidth="1"/>
  </cols>
  <sheetData>
    <row r="1" spans="1:14" x14ac:dyDescent="0.25">
      <c r="L1">
        <v>26.19</v>
      </c>
    </row>
    <row r="2" spans="1:14" x14ac:dyDescent="0.25">
      <c r="A2" s="3" t="s">
        <v>8</v>
      </c>
      <c r="B2" s="3" t="s">
        <v>1</v>
      </c>
      <c r="C2" s="16" t="s">
        <v>0</v>
      </c>
      <c r="D2" s="3" t="s">
        <v>5</v>
      </c>
      <c r="E2" s="4" t="s">
        <v>25</v>
      </c>
      <c r="F2" s="4" t="s">
        <v>26</v>
      </c>
      <c r="G2" s="4" t="s">
        <v>23</v>
      </c>
      <c r="H2" s="4" t="s">
        <v>24</v>
      </c>
      <c r="I2" s="4" t="s">
        <v>10</v>
      </c>
      <c r="J2" s="4" t="s">
        <v>4</v>
      </c>
      <c r="K2" s="5" t="s">
        <v>8</v>
      </c>
      <c r="L2" s="4" t="s">
        <v>7</v>
      </c>
      <c r="M2" s="4"/>
    </row>
    <row r="3" spans="1:14" x14ac:dyDescent="0.25">
      <c r="A3" t="s">
        <v>6</v>
      </c>
      <c r="B3" s="1">
        <v>45839</v>
      </c>
      <c r="C3" s="14">
        <v>110020102616502</v>
      </c>
      <c r="D3" t="s">
        <v>31</v>
      </c>
      <c r="E3" s="17">
        <v>1330</v>
      </c>
      <c r="F3" s="17">
        <v>0</v>
      </c>
      <c r="G3" s="17">
        <v>0</v>
      </c>
      <c r="H3" s="17">
        <v>0</v>
      </c>
      <c r="I3" s="17">
        <v>0</v>
      </c>
      <c r="J3" s="10">
        <f t="shared" ref="J3:J15" si="0">E3+F3+G3+H3+I3</f>
        <v>1330</v>
      </c>
      <c r="K3" s="43" t="s">
        <v>32</v>
      </c>
      <c r="L3" s="6">
        <f t="shared" ref="L3:L15" si="1">J3/$L$1</f>
        <v>50.782741504390984</v>
      </c>
      <c r="M3" s="4" t="s">
        <v>33</v>
      </c>
    </row>
    <row r="4" spans="1:14" x14ac:dyDescent="0.25">
      <c r="A4" t="s">
        <v>6</v>
      </c>
      <c r="B4" s="1">
        <v>45843</v>
      </c>
      <c r="C4" s="14">
        <v>70010100168351</v>
      </c>
      <c r="D4" t="s">
        <v>39</v>
      </c>
      <c r="E4" s="17">
        <v>351.3</v>
      </c>
      <c r="F4" s="17">
        <v>0</v>
      </c>
      <c r="G4" s="17">
        <v>52.7</v>
      </c>
      <c r="H4" s="17">
        <v>0</v>
      </c>
      <c r="I4" s="17">
        <v>0</v>
      </c>
      <c r="J4" s="10">
        <f t="shared" si="0"/>
        <v>404</v>
      </c>
      <c r="K4" s="43" t="s">
        <v>17</v>
      </c>
      <c r="L4" s="6">
        <f t="shared" si="1"/>
        <v>15.425735013363878</v>
      </c>
      <c r="M4" s="4"/>
    </row>
    <row r="5" spans="1:14" x14ac:dyDescent="0.25">
      <c r="A5" t="s">
        <v>6</v>
      </c>
      <c r="B5" s="1">
        <v>45857</v>
      </c>
      <c r="C5" s="14">
        <v>110020102622768</v>
      </c>
      <c r="D5" t="s">
        <v>31</v>
      </c>
      <c r="E5" s="17">
        <v>1319.18</v>
      </c>
      <c r="F5" s="17">
        <v>0</v>
      </c>
      <c r="G5" s="17">
        <v>0</v>
      </c>
      <c r="H5" s="17">
        <v>0</v>
      </c>
      <c r="I5" s="17">
        <v>0</v>
      </c>
      <c r="J5" s="10">
        <f t="shared" si="0"/>
        <v>1319.18</v>
      </c>
      <c r="K5" s="43" t="s">
        <v>32</v>
      </c>
      <c r="L5" s="6">
        <f t="shared" si="1"/>
        <v>50.369606720122185</v>
      </c>
      <c r="M5" s="4" t="s">
        <v>35</v>
      </c>
    </row>
    <row r="6" spans="1:14" x14ac:dyDescent="0.25">
      <c r="A6" t="s">
        <v>6</v>
      </c>
      <c r="B6" s="1">
        <v>45859</v>
      </c>
      <c r="C6" s="14">
        <v>110020102623424</v>
      </c>
      <c r="D6" t="s">
        <v>31</v>
      </c>
      <c r="E6" s="17">
        <v>1497.37</v>
      </c>
      <c r="F6" s="17">
        <v>0</v>
      </c>
      <c r="G6" s="17">
        <v>0</v>
      </c>
      <c r="H6" s="17">
        <v>0</v>
      </c>
      <c r="I6" s="17">
        <v>0</v>
      </c>
      <c r="J6" s="10">
        <f t="shared" si="0"/>
        <v>1497.37</v>
      </c>
      <c r="K6" s="43" t="s">
        <v>32</v>
      </c>
      <c r="L6" s="6">
        <f t="shared" si="1"/>
        <v>57.173348606338287</v>
      </c>
      <c r="M6" s="4" t="s">
        <v>33</v>
      </c>
    </row>
    <row r="7" spans="1:14" x14ac:dyDescent="0.25">
      <c r="A7" t="s">
        <v>6</v>
      </c>
      <c r="B7" s="1">
        <v>45854</v>
      </c>
      <c r="C7" s="14">
        <v>110020102621684</v>
      </c>
      <c r="D7" t="s">
        <v>31</v>
      </c>
      <c r="E7" s="17">
        <v>500</v>
      </c>
      <c r="F7" s="17">
        <v>0</v>
      </c>
      <c r="G7" s="17">
        <v>0</v>
      </c>
      <c r="H7" s="17">
        <v>0</v>
      </c>
      <c r="I7" s="17">
        <v>0</v>
      </c>
      <c r="J7" s="10">
        <f t="shared" si="0"/>
        <v>500</v>
      </c>
      <c r="K7" s="43" t="s">
        <v>32</v>
      </c>
      <c r="L7" s="6">
        <f t="shared" si="1"/>
        <v>19.091256204658265</v>
      </c>
      <c r="M7" s="4" t="s">
        <v>33</v>
      </c>
    </row>
    <row r="8" spans="1:14" x14ac:dyDescent="0.25">
      <c r="A8" t="s">
        <v>6</v>
      </c>
      <c r="B8" s="1">
        <v>45854</v>
      </c>
      <c r="C8" s="14">
        <v>20100465467</v>
      </c>
      <c r="D8" t="s">
        <v>31</v>
      </c>
      <c r="E8" s="17">
        <v>25215.65</v>
      </c>
      <c r="F8" s="17">
        <v>0</v>
      </c>
      <c r="G8" s="17">
        <v>3782.35</v>
      </c>
      <c r="H8" s="17">
        <v>0</v>
      </c>
      <c r="I8" s="17">
        <v>0</v>
      </c>
      <c r="J8" s="10">
        <f t="shared" si="0"/>
        <v>28998</v>
      </c>
      <c r="K8" s="43" t="s">
        <v>32</v>
      </c>
      <c r="L8" s="6">
        <f t="shared" si="1"/>
        <v>1107.2164948453608</v>
      </c>
      <c r="M8" s="4" t="s">
        <v>35</v>
      </c>
    </row>
    <row r="9" spans="1:14" x14ac:dyDescent="0.25">
      <c r="A9" t="s">
        <v>6</v>
      </c>
      <c r="B9" s="1">
        <v>45845</v>
      </c>
      <c r="C9" s="14" t="s">
        <v>52</v>
      </c>
      <c r="D9" t="s">
        <v>53</v>
      </c>
      <c r="E9" s="17">
        <v>3578.21</v>
      </c>
      <c r="F9" s="17">
        <v>0</v>
      </c>
      <c r="G9" s="17">
        <v>536.73</v>
      </c>
      <c r="H9" s="17">
        <v>0</v>
      </c>
      <c r="I9" s="17">
        <v>0</v>
      </c>
      <c r="J9" s="10">
        <f t="shared" si="0"/>
        <v>4114.9400000000005</v>
      </c>
      <c r="K9" s="43" t="s">
        <v>54</v>
      </c>
      <c r="L9" s="6">
        <f t="shared" si="1"/>
        <v>157.11874761359297</v>
      </c>
      <c r="M9" s="4"/>
      <c r="N9" t="s">
        <v>55</v>
      </c>
    </row>
    <row r="10" spans="1:14" x14ac:dyDescent="0.25">
      <c r="A10" t="s">
        <v>6</v>
      </c>
      <c r="B10" s="1"/>
      <c r="C10" s="14">
        <v>80030101108044</v>
      </c>
      <c r="D10" t="s">
        <v>38</v>
      </c>
      <c r="E10" s="17"/>
      <c r="F10" s="17">
        <v>0</v>
      </c>
      <c r="G10" s="17">
        <v>0</v>
      </c>
      <c r="H10" s="17">
        <v>0</v>
      </c>
      <c r="I10" s="17">
        <v>0</v>
      </c>
      <c r="J10" s="10">
        <f t="shared" si="0"/>
        <v>0</v>
      </c>
      <c r="K10" s="43" t="s">
        <v>17</v>
      </c>
      <c r="L10" s="6">
        <f t="shared" si="1"/>
        <v>0</v>
      </c>
      <c r="M10" s="4"/>
    </row>
    <row r="11" spans="1:14" x14ac:dyDescent="0.25">
      <c r="A11" t="s">
        <v>6</v>
      </c>
      <c r="B11" s="1"/>
      <c r="C11" s="14">
        <v>20040100356123</v>
      </c>
      <c r="D11" t="s">
        <v>36</v>
      </c>
      <c r="E11" s="17"/>
      <c r="F11" s="17">
        <v>0</v>
      </c>
      <c r="G11" s="17">
        <v>0</v>
      </c>
      <c r="H11" s="17">
        <v>0</v>
      </c>
      <c r="I11" s="17">
        <v>0</v>
      </c>
      <c r="J11" s="10">
        <f t="shared" si="0"/>
        <v>0</v>
      </c>
      <c r="K11" s="43" t="s">
        <v>37</v>
      </c>
      <c r="L11" s="6">
        <f t="shared" si="1"/>
        <v>0</v>
      </c>
      <c r="M11" s="4"/>
    </row>
    <row r="12" spans="1:14" x14ac:dyDescent="0.25">
      <c r="A12" t="s">
        <v>6</v>
      </c>
      <c r="B12" s="1"/>
      <c r="C12" s="14">
        <v>70010100165817</v>
      </c>
      <c r="D12" t="s">
        <v>39</v>
      </c>
      <c r="E12" s="17"/>
      <c r="F12" s="17">
        <v>0</v>
      </c>
      <c r="G12" s="17">
        <v>0</v>
      </c>
      <c r="H12" s="17">
        <v>0</v>
      </c>
      <c r="I12" s="17">
        <v>0</v>
      </c>
      <c r="J12" s="10">
        <f t="shared" si="0"/>
        <v>0</v>
      </c>
      <c r="K12" s="43" t="s">
        <v>17</v>
      </c>
      <c r="L12" s="6">
        <f t="shared" si="1"/>
        <v>0</v>
      </c>
      <c r="M12" s="4"/>
    </row>
    <row r="13" spans="1:14" x14ac:dyDescent="0.25">
      <c r="A13" t="s">
        <v>6</v>
      </c>
      <c r="B13" s="1"/>
      <c r="C13" s="14">
        <v>10100004022</v>
      </c>
      <c r="D13" t="s">
        <v>40</v>
      </c>
      <c r="E13" s="17"/>
      <c r="F13" s="17">
        <v>0</v>
      </c>
      <c r="G13" s="17">
        <v>0</v>
      </c>
      <c r="H13" s="17">
        <v>0</v>
      </c>
      <c r="I13" s="17">
        <v>0</v>
      </c>
      <c r="J13" s="10">
        <f t="shared" si="0"/>
        <v>0</v>
      </c>
      <c r="K13" s="43" t="s">
        <v>41</v>
      </c>
      <c r="L13" s="6">
        <f t="shared" si="1"/>
        <v>0</v>
      </c>
      <c r="M13" s="4"/>
    </row>
    <row r="14" spans="1:14" x14ac:dyDescent="0.25">
      <c r="A14" t="s">
        <v>6</v>
      </c>
      <c r="B14" s="1"/>
      <c r="C14" s="14">
        <v>110020102614185</v>
      </c>
      <c r="D14" t="s">
        <v>31</v>
      </c>
      <c r="E14" s="17"/>
      <c r="F14" s="17"/>
      <c r="G14" s="17">
        <v>0</v>
      </c>
      <c r="H14" s="17">
        <v>0</v>
      </c>
      <c r="I14" s="17">
        <v>0</v>
      </c>
      <c r="J14" s="10">
        <f t="shared" si="0"/>
        <v>0</v>
      </c>
      <c r="K14" s="43" t="s">
        <v>32</v>
      </c>
      <c r="L14" s="6">
        <f t="shared" si="1"/>
        <v>0</v>
      </c>
      <c r="M14" s="4" t="s">
        <v>33</v>
      </c>
    </row>
    <row r="15" spans="1:14" x14ac:dyDescent="0.25">
      <c r="A15" t="s">
        <v>6</v>
      </c>
      <c r="B15" s="1"/>
      <c r="C15" s="14">
        <v>10100051623</v>
      </c>
      <c r="D15" t="s">
        <v>42</v>
      </c>
      <c r="E15" s="17"/>
      <c r="F15" s="17"/>
      <c r="G15" s="17">
        <v>0</v>
      </c>
      <c r="H15" s="17">
        <v>0</v>
      </c>
      <c r="I15" s="17">
        <v>0</v>
      </c>
      <c r="J15" s="10">
        <f t="shared" si="0"/>
        <v>0</v>
      </c>
      <c r="K15" s="43" t="s">
        <v>43</v>
      </c>
      <c r="L15" s="6">
        <f t="shared" si="1"/>
        <v>0</v>
      </c>
      <c r="M15" s="4"/>
    </row>
    <row r="16" spans="1:14" x14ac:dyDescent="0.25">
      <c r="A16" t="s">
        <v>45</v>
      </c>
      <c r="B16" s="1"/>
      <c r="C16" s="14" t="s">
        <v>56</v>
      </c>
      <c r="D16" t="s">
        <v>57</v>
      </c>
      <c r="E16" s="17">
        <f>L16*$L$1</f>
        <v>1684.5408</v>
      </c>
      <c r="F16" s="17"/>
      <c r="G16" s="17">
        <v>0</v>
      </c>
      <c r="H16" s="17">
        <v>0</v>
      </c>
      <c r="I16" s="17">
        <v>0</v>
      </c>
      <c r="J16" s="10">
        <f t="shared" ref="J16" si="2">E16+F16+G16+H16+I16</f>
        <v>1684.5408</v>
      </c>
      <c r="K16" s="43" t="s">
        <v>58</v>
      </c>
      <c r="L16" s="6">
        <v>64.319999999999993</v>
      </c>
      <c r="M16" s="4"/>
      <c r="N16" t="s">
        <v>59</v>
      </c>
    </row>
    <row r="17" spans="1:18" x14ac:dyDescent="0.25">
      <c r="A17" t="s">
        <v>45</v>
      </c>
      <c r="B17" s="1"/>
      <c r="C17" s="14" t="s">
        <v>60</v>
      </c>
      <c r="D17" t="s">
        <v>57</v>
      </c>
      <c r="E17" s="17">
        <f t="shared" ref="E17" si="3">L17*$L$1</f>
        <v>1057.5522000000001</v>
      </c>
      <c r="F17" s="17"/>
      <c r="G17" s="17">
        <v>0</v>
      </c>
      <c r="H17" s="17">
        <v>0</v>
      </c>
      <c r="I17" s="17">
        <v>0</v>
      </c>
      <c r="J17" s="10">
        <f t="shared" ref="J17" si="4">E17+F17+G17+H17+I17</f>
        <v>1057.5522000000001</v>
      </c>
      <c r="K17" s="43" t="s">
        <v>37</v>
      </c>
      <c r="L17" s="6">
        <v>40.380000000000003</v>
      </c>
      <c r="M17" s="4"/>
      <c r="N17" t="s">
        <v>61</v>
      </c>
    </row>
    <row r="18" spans="1:18" x14ac:dyDescent="0.25">
      <c r="A18" t="s">
        <v>45</v>
      </c>
      <c r="B18" s="1"/>
      <c r="C18" s="14" t="s">
        <v>46</v>
      </c>
      <c r="D18" t="s">
        <v>47</v>
      </c>
      <c r="E18" s="17">
        <f t="shared" ref="E18" si="5">L18*$L$1</f>
        <v>0</v>
      </c>
      <c r="F18" s="17"/>
      <c r="G18" s="17">
        <v>0</v>
      </c>
      <c r="H18" s="17">
        <v>0</v>
      </c>
      <c r="I18" s="17">
        <v>0</v>
      </c>
      <c r="J18" s="10">
        <f t="shared" ref="J18" si="6">E18+F18+G18+H18+I18</f>
        <v>0</v>
      </c>
      <c r="K18" s="43" t="s">
        <v>44</v>
      </c>
      <c r="L18" s="6"/>
      <c r="M18" s="4"/>
    </row>
    <row r="19" spans="1:18" x14ac:dyDescent="0.25">
      <c r="B19" s="1"/>
      <c r="C19" s="14"/>
      <c r="E19" s="17"/>
      <c r="F19" s="17"/>
      <c r="G19" s="17"/>
      <c r="H19" s="17"/>
      <c r="I19" s="17"/>
      <c r="J19" s="10"/>
      <c r="K19" s="43"/>
      <c r="L19" s="6"/>
      <c r="M19" s="4"/>
    </row>
    <row r="20" spans="1:18" x14ac:dyDescent="0.25">
      <c r="B20" s="1"/>
      <c r="C20" s="14"/>
      <c r="E20" s="17"/>
      <c r="F20" s="17"/>
      <c r="G20" s="17"/>
      <c r="H20" s="17"/>
      <c r="I20" s="17"/>
      <c r="J20" s="10"/>
      <c r="K20" s="43"/>
      <c r="L20" s="6"/>
      <c r="M20" s="4"/>
    </row>
    <row r="21" spans="1:18" x14ac:dyDescent="0.25">
      <c r="E21" s="4">
        <f>SUM(E3:E18)</f>
        <v>36533.803</v>
      </c>
      <c r="F21" s="4"/>
      <c r="G21" s="4">
        <f>SUM(G3:G18)</f>
        <v>4371.78</v>
      </c>
      <c r="H21" s="4"/>
      <c r="I21" s="4"/>
      <c r="J21" s="4">
        <f>SUM(J3:J18)</f>
        <v>40905.583000000006</v>
      </c>
      <c r="L21" s="51">
        <f>SUM(L3:L15)</f>
        <v>1457.1779305078276</v>
      </c>
      <c r="M21" s="6"/>
      <c r="N21" s="6"/>
    </row>
    <row r="22" spans="1:18" x14ac:dyDescent="0.25">
      <c r="C22" s="14"/>
      <c r="G22" s="2">
        <f>G21/0.15</f>
        <v>29145.200000000001</v>
      </c>
    </row>
    <row r="23" spans="1:18" x14ac:dyDescent="0.25">
      <c r="C23" s="14"/>
      <c r="K23" t="s">
        <v>9</v>
      </c>
      <c r="L23" s="2"/>
      <c r="M23" s="6"/>
      <c r="N23" s="6"/>
      <c r="O23" s="6"/>
      <c r="Q23" s="6"/>
    </row>
    <row r="24" spans="1:18" x14ac:dyDescent="0.25">
      <c r="C24" s="14"/>
      <c r="E24" s="53" t="s">
        <v>30</v>
      </c>
      <c r="F24" s="53"/>
      <c r="G24" s="53"/>
      <c r="H24" s="53"/>
      <c r="L24" s="2"/>
      <c r="M24" s="6"/>
      <c r="O24" s="1"/>
      <c r="P24" s="2"/>
      <c r="Q24" s="6"/>
    </row>
    <row r="25" spans="1:18" x14ac:dyDescent="0.25">
      <c r="C25" s="14"/>
      <c r="E25" s="9" t="s">
        <v>19</v>
      </c>
      <c r="F25" s="9"/>
      <c r="G25" s="2">
        <f>ROUND(SUMIF(Ventas!I:I,"FACT",Ventas!E:E),2)</f>
        <v>34515.68</v>
      </c>
      <c r="L25" s="6"/>
      <c r="M25" s="6"/>
      <c r="O25" s="1"/>
      <c r="P25" s="2"/>
      <c r="Q25" s="6"/>
    </row>
    <row r="26" spans="1:18" x14ac:dyDescent="0.25">
      <c r="C26" s="14"/>
      <c r="E26" s="9" t="s">
        <v>20</v>
      </c>
      <c r="F26" s="9"/>
      <c r="G26" s="2">
        <f>SUMIF(Ventas!I:I,"EXO",Ventas!E:E)</f>
        <v>0</v>
      </c>
      <c r="O26" s="1"/>
      <c r="P26" s="2"/>
      <c r="Q26" s="6"/>
    </row>
    <row r="27" spans="1:18" x14ac:dyDescent="0.25">
      <c r="C27" s="14"/>
      <c r="E27" s="9" t="s">
        <v>29</v>
      </c>
      <c r="G27" s="2">
        <f>G22</f>
        <v>29145.200000000001</v>
      </c>
      <c r="I27" s="47"/>
      <c r="P27" s="7"/>
      <c r="Q27" s="6"/>
      <c r="R27" s="6"/>
    </row>
    <row r="28" spans="1:18" x14ac:dyDescent="0.25">
      <c r="B28" s="1"/>
      <c r="C28" s="14"/>
      <c r="E28" s="2" t="s">
        <v>21</v>
      </c>
      <c r="G28" s="2">
        <f>SUMIF(Ventas!I:I,"NDC",Ventas!E:E)</f>
        <v>0</v>
      </c>
    </row>
    <row r="29" spans="1:18" x14ac:dyDescent="0.25">
      <c r="B29" s="1"/>
      <c r="C29" s="14"/>
      <c r="E29" s="2" t="s">
        <v>22</v>
      </c>
      <c r="G29" s="2">
        <f>G26+G25+G28</f>
        <v>34515.68</v>
      </c>
    </row>
    <row r="31" spans="1:18" x14ac:dyDescent="0.25">
      <c r="E31" s="41" t="s">
        <v>12</v>
      </c>
      <c r="F31" s="41"/>
      <c r="G31" s="2">
        <f>Ventas!F10</f>
        <v>5177.3500000000004</v>
      </c>
    </row>
    <row r="32" spans="1:18" x14ac:dyDescent="0.25">
      <c r="E32" s="41" t="s">
        <v>13</v>
      </c>
      <c r="F32" s="41"/>
      <c r="G32" s="2">
        <f>G21</f>
        <v>4371.78</v>
      </c>
      <c r="H32" s="4"/>
    </row>
    <row r="33" spans="5:7" x14ac:dyDescent="0.25">
      <c r="E33" s="41" t="s">
        <v>14</v>
      </c>
      <c r="F33" s="41"/>
      <c r="G33" s="4">
        <f>G31-G32</f>
        <v>805.57000000000062</v>
      </c>
    </row>
    <row r="36" spans="5:7" x14ac:dyDescent="0.25">
      <c r="E36" s="9" t="s">
        <v>27</v>
      </c>
      <c r="G36" s="2">
        <f>SUMIF(A:A,"Internacional",J:J)</f>
        <v>2742.0929999999998</v>
      </c>
    </row>
    <row r="38" spans="5:7" x14ac:dyDescent="0.25">
      <c r="E38" t="s">
        <v>28</v>
      </c>
      <c r="G38" s="49">
        <f>SUMIF(A:A,"Local",J:J)</f>
        <v>38163.490000000005</v>
      </c>
    </row>
    <row r="39" spans="5:7" x14ac:dyDescent="0.25">
      <c r="E39" t="s">
        <v>7</v>
      </c>
      <c r="G39" s="8">
        <f>SUMIF(A:A,"Internacional",L:L)</f>
        <v>104.69999999999999</v>
      </c>
    </row>
  </sheetData>
  <mergeCells count="1">
    <mergeCell ref="E24:H24"/>
  </mergeCells>
  <conditionalFormatting sqref="C22:C1048576 C1:C15">
    <cfRule type="duplicateValues" dxfId="5" priority="132"/>
    <cfRule type="duplicateValues" dxfId="4" priority="138"/>
  </conditionalFormatting>
  <conditionalFormatting sqref="C16:C20">
    <cfRule type="duplicateValues" dxfId="3" priority="355"/>
    <cfRule type="duplicateValues" dxfId="2" priority="356"/>
  </conditionalFormatting>
  <conditionalFormatting sqref="C16:C20">
    <cfRule type="duplicateValues" dxfId="1" priority="357"/>
  </conditionalFormatting>
  <conditionalFormatting sqref="C3:C15">
    <cfRule type="duplicateValues" dxfId="0" priority="358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Laínez</dc:creator>
  <cp:lastModifiedBy>Usuario</cp:lastModifiedBy>
  <dcterms:created xsi:type="dcterms:W3CDTF">2017-04-07T21:25:23Z</dcterms:created>
  <dcterms:modified xsi:type="dcterms:W3CDTF">2025-08-10T23:22:30Z</dcterms:modified>
</cp:coreProperties>
</file>