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680" yWindow="0" windowWidth="25660" windowHeight="16140" tabRatio="991" activeTab="3"/>
  </bookViews>
  <sheets>
    <sheet name="Alphanate" sheetId="1" r:id="rId1"/>
    <sheet name="Aubagio- naive" sheetId="2" state="hidden" r:id="rId2"/>
    <sheet name="Aubagio- switcher" sheetId="3" r:id="rId3"/>
    <sheet name="Breo-Advair (TS)" sheetId="4" r:id="rId4"/>
    <sheet name="Breo-Breo (TS)" sheetId="5" r:id="rId5"/>
    <sheet name="Breo-Dulera (TS)" sheetId="6" r:id="rId6"/>
    <sheet name="Breo-Spiriva (TS)" sheetId="7" r:id="rId7"/>
    <sheet name="Breo-Symbicort (TS)" sheetId="8" r:id="rId8"/>
    <sheet name="Bydureon" sheetId="9" state="hidden" r:id="rId9"/>
    <sheet name="Cialis-Cialis (TS)" sheetId="10" r:id="rId10"/>
    <sheet name="Cosentyx AS" sheetId="11" r:id="rId11"/>
    <sheet name="CTCA" sheetId="12" r:id="rId12"/>
    <sheet name="Duopa" sheetId="14" r:id="rId13"/>
    <sheet name="Dupixent" sheetId="60" r:id="rId14"/>
    <sheet name="Esbiret (unbranded)" sheetId="13" r:id="rId15"/>
    <sheet name="Gleevec (GIST)" sheetId="15" r:id="rId16"/>
    <sheet name="Gleevec (Treatment Seekers)" sheetId="16" r:id="rId17"/>
    <sheet name="Gilead (Treatment Seekers)" sheetId="17" r:id="rId18"/>
    <sheet name="Humira AS" sheetId="18" r:id="rId19"/>
    <sheet name="Humira CD" sheetId="19" r:id="rId20"/>
    <sheet name="Humira PsA" sheetId="20" r:id="rId21"/>
    <sheet name="Humira PsO" sheetId="21" r:id="rId22"/>
    <sheet name="HumiraPsO (Treatment Seekers)" sheetId="22" r:id="rId23"/>
    <sheet name="Humira R.A." sheetId="23" r:id="rId24"/>
    <sheet name="Humira UC" sheetId="24" r:id="rId25"/>
    <sheet name="Jadenu (Treatment Seekers) " sheetId="25" r:id="rId26"/>
    <sheet name="Jardiance(Treatment Seekers)" sheetId="27" r:id="rId27"/>
    <sheet name="Kisqali (Ribociclib)" sheetId="41" r:id="rId28"/>
    <sheet name="Latuda" sheetId="26" r:id="rId29"/>
    <sheet name="Lemtrada" sheetId="28" r:id="rId30"/>
    <sheet name="Lemtrada (TS)" sheetId="29" r:id="rId31"/>
    <sheet name="Linzess" sheetId="30" state="hidden" r:id="rId32"/>
    <sheet name="Linzess (TS)" sheetId="31" state="hidden" r:id="rId33"/>
    <sheet name="Livalo" sheetId="61" state="hidden" r:id="rId34"/>
    <sheet name="Ninlaro (Treatment Seekers)" sheetId="32" r:id="rId35"/>
    <sheet name="Ocrevus(Treatment Seeker)" sheetId="65" r:id="rId36"/>
    <sheet name="Ofev" sheetId="62" r:id="rId37"/>
    <sheet name="Otezla" sheetId="33" r:id="rId38"/>
    <sheet name="Otezla PSA(Treatment Seekers) " sheetId="34" r:id="rId39"/>
    <sheet name="Otezla PSO(Treatment Seekers)" sheetId="35" r:id="rId40"/>
    <sheet name="Promacta (Treatment Seekers)" sheetId="37" r:id="rId41"/>
    <sheet name="Qsymia (Treatment Seekers)" sheetId="36" state="hidden" r:id="rId42"/>
    <sheet name="Restasis" sheetId="38" r:id="rId43"/>
    <sheet name="Ribociclib (Treatment Seekers)" sheetId="39" r:id="rId44"/>
    <sheet name="Rydapt (TS)" sheetId="40" r:id="rId45"/>
    <sheet name="Soliqua" sheetId="63" r:id="rId46"/>
    <sheet name="Sandosatin" sheetId="42" state="hidden" r:id="rId47"/>
    <sheet name="Soliqua (Treatment Seekers)" sheetId="64" r:id="rId48"/>
    <sheet name="Synthroid" sheetId="43" r:id="rId49"/>
    <sheet name="Synvisc - (Brand)" sheetId="44" r:id="rId50"/>
    <sheet name="Taltz (Treatment Seekers)" sheetId="45" r:id="rId51"/>
    <sheet name="Tasigna (Treatment Seekers)" sheetId="46" r:id="rId52"/>
    <sheet name="Tasigna" sheetId="47" r:id="rId53"/>
    <sheet name="Tecfidera-Brand" sheetId="48" r:id="rId54"/>
    <sheet name="Tecfidera-reimagine" sheetId="49" r:id="rId55"/>
    <sheet name="Toujeo BP" sheetId="54" r:id="rId56"/>
    <sheet name="Toujeo (TS)" sheetId="55" r:id="rId57"/>
    <sheet name="Trintellix" sheetId="50" r:id="rId58"/>
    <sheet name="Trintellix (TS)" sheetId="51" r:id="rId59"/>
    <sheet name="Trulance (TS)" sheetId="52" r:id="rId60"/>
    <sheet name="Truvada" sheetId="66" r:id="rId61"/>
    <sheet name="Trulance" sheetId="53" r:id="rId62"/>
    <sheet name="Watchman" sheetId="56" r:id="rId63"/>
    <sheet name="Xarelto (Treatment Seekers)" sheetId="57" state="hidden" r:id="rId64"/>
    <sheet name="Xiaflex (Treatment Seekers)" sheetId="58" r:id="rId65"/>
    <sheet name="Xiidra" sheetId="59" r:id="rId6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16" l="1"/>
  <c r="C37" i="37"/>
  <c r="C37" i="64"/>
  <c r="C37" i="55"/>
  <c r="C37" i="58"/>
  <c r="D36" i="59"/>
  <c r="D36" i="56"/>
  <c r="D36" i="44"/>
  <c r="D36" i="63"/>
  <c r="C37" i="10"/>
  <c r="C37" i="12"/>
  <c r="C37" i="3"/>
  <c r="C37" i="4"/>
  <c r="C37" i="5"/>
  <c r="C37" i="6"/>
  <c r="C37" i="7"/>
  <c r="C37" i="8"/>
  <c r="C37" i="11"/>
  <c r="C37" i="14"/>
  <c r="C36" i="60"/>
  <c r="C37" i="60"/>
  <c r="C37" i="13"/>
  <c r="C36" i="15"/>
  <c r="C37" i="15"/>
  <c r="C37" i="17"/>
  <c r="C36" i="18"/>
  <c r="C37" i="18"/>
  <c r="C36" i="19"/>
  <c r="C37" i="19"/>
  <c r="C36" i="20"/>
  <c r="C37" i="20"/>
  <c r="C36" i="21"/>
  <c r="C37" i="21"/>
  <c r="C37" i="22"/>
  <c r="C36" i="23"/>
  <c r="C37" i="23"/>
  <c r="C36" i="24"/>
  <c r="C37" i="24"/>
  <c r="C37" i="25"/>
  <c r="C37" i="27"/>
  <c r="C36" i="41"/>
  <c r="C37" i="41"/>
  <c r="C36" i="26"/>
  <c r="C37" i="26"/>
  <c r="C36" i="28"/>
  <c r="C37" i="28"/>
  <c r="C37" i="29"/>
  <c r="C37" i="32"/>
  <c r="C37" i="65"/>
  <c r="C36" i="62"/>
  <c r="C37" i="62"/>
  <c r="C36" i="33"/>
  <c r="C37" i="33"/>
  <c r="C37" i="34"/>
  <c r="C37" i="35"/>
  <c r="C36" i="38"/>
  <c r="C37" i="38"/>
  <c r="C37" i="39"/>
  <c r="C37" i="40"/>
  <c r="C36" i="63"/>
  <c r="C37" i="63"/>
  <c r="C36" i="43"/>
  <c r="C37" i="43"/>
  <c r="C36" i="44"/>
  <c r="C37" i="44"/>
  <c r="C37" i="45"/>
  <c r="C37" i="46"/>
  <c r="C36" i="47"/>
  <c r="C37" i="47"/>
  <c r="C36" i="48"/>
  <c r="C37" i="48"/>
  <c r="C36" i="49"/>
  <c r="C37" i="49"/>
  <c r="C36" i="54"/>
  <c r="C37" i="54"/>
  <c r="C36" i="50"/>
  <c r="C37" i="50"/>
  <c r="C37" i="51"/>
  <c r="C37" i="52"/>
  <c r="C36" i="66"/>
  <c r="C37" i="66"/>
  <c r="C36" i="53"/>
  <c r="C37" i="53"/>
  <c r="C36" i="56"/>
  <c r="C37" i="56"/>
  <c r="C36" i="59"/>
  <c r="C37" i="59"/>
  <c r="C37" i="1"/>
  <c r="D35" i="14"/>
  <c r="D33" i="59"/>
  <c r="D34" i="59"/>
  <c r="D35" i="56"/>
  <c r="D34" i="56"/>
  <c r="D33" i="50"/>
  <c r="D33" i="49"/>
  <c r="D34" i="49"/>
  <c r="D35" i="44"/>
  <c r="D34" i="44"/>
  <c r="D33" i="44"/>
  <c r="D33" i="43"/>
  <c r="D34" i="43"/>
  <c r="D35" i="43"/>
  <c r="D35" i="63"/>
  <c r="D34" i="63"/>
  <c r="D33" i="63"/>
  <c r="D33" i="38"/>
  <c r="D34" i="38"/>
  <c r="D34" i="33"/>
  <c r="D33" i="33"/>
  <c r="D33" i="62"/>
  <c r="D34" i="62"/>
  <c r="D33" i="26"/>
  <c r="D34" i="26"/>
  <c r="D34" i="24"/>
  <c r="D33" i="24"/>
  <c r="D33" i="23"/>
  <c r="D34" i="23"/>
  <c r="D34" i="21"/>
  <c r="D33" i="21"/>
  <c r="D33" i="20"/>
  <c r="D34" i="20"/>
  <c r="D34" i="19"/>
  <c r="D33" i="19"/>
  <c r="D33" i="18"/>
  <c r="D34" i="18"/>
  <c r="D34" i="15"/>
  <c r="D33" i="15"/>
  <c r="D33" i="60"/>
  <c r="D34" i="60"/>
  <c r="D34" i="14"/>
  <c r="D33" i="14"/>
  <c r="D49" i="66"/>
  <c r="C49" i="66"/>
  <c r="C47" i="66"/>
  <c r="C50" i="66"/>
  <c r="C46" i="66"/>
  <c r="C48" i="66"/>
  <c r="D54" i="66"/>
  <c r="D53" i="66"/>
  <c r="D52" i="66"/>
  <c r="B49" i="66"/>
  <c r="C6" i="66"/>
  <c r="C7" i="66"/>
  <c r="C8" i="66"/>
  <c r="C9" i="66"/>
  <c r="C10" i="66"/>
  <c r="C11" i="66"/>
  <c r="C12" i="66"/>
  <c r="C13" i="66"/>
  <c r="C14" i="66"/>
  <c r="C15" i="66"/>
  <c r="C16" i="66"/>
  <c r="C17" i="66"/>
  <c r="C18" i="66"/>
  <c r="C19" i="66"/>
  <c r="C20" i="66"/>
  <c r="C21" i="66"/>
  <c r="C22" i="66"/>
  <c r="C23" i="66"/>
  <c r="C24" i="66"/>
  <c r="C25" i="66"/>
  <c r="C26" i="66"/>
  <c r="C27" i="66"/>
  <c r="C28" i="66"/>
  <c r="C29" i="66"/>
  <c r="C30" i="66"/>
  <c r="C31" i="66"/>
  <c r="C32" i="66"/>
  <c r="C33" i="66"/>
  <c r="C34" i="66"/>
  <c r="C35" i="66"/>
  <c r="C44" i="66"/>
  <c r="C40" i="66"/>
  <c r="C43" i="66"/>
  <c r="C42" i="66"/>
  <c r="C41" i="66"/>
  <c r="A36" i="66"/>
  <c r="A35" i="66"/>
  <c r="A34" i="66"/>
  <c r="A33" i="66"/>
  <c r="A32" i="66"/>
  <c r="A31" i="66"/>
  <c r="A30" i="66"/>
  <c r="A29" i="66"/>
  <c r="A28" i="66"/>
  <c r="F27" i="66"/>
  <c r="A27" i="66"/>
  <c r="A26" i="66"/>
  <c r="A25" i="66"/>
  <c r="A24" i="66"/>
  <c r="A23" i="66"/>
  <c r="A22" i="66"/>
  <c r="A21" i="66"/>
  <c r="F20" i="66"/>
  <c r="A20" i="66"/>
  <c r="A19" i="66"/>
  <c r="A18" i="66"/>
  <c r="A17" i="66"/>
  <c r="A16" i="66"/>
  <c r="A15" i="66"/>
  <c r="A14" i="66"/>
  <c r="F13" i="66"/>
  <c r="A13" i="66"/>
  <c r="A12" i="66"/>
  <c r="A11" i="66"/>
  <c r="A10" i="66"/>
  <c r="A9" i="66"/>
  <c r="A8" i="66"/>
  <c r="A7" i="66"/>
  <c r="F6" i="66"/>
  <c r="A6" i="66"/>
  <c r="D32" i="56"/>
  <c r="D32" i="44"/>
  <c r="D32" i="63"/>
  <c r="D19" i="18"/>
  <c r="D31" i="59"/>
  <c r="D31" i="56"/>
  <c r="D31" i="44"/>
  <c r="D31" i="63"/>
  <c r="D30" i="59"/>
  <c r="D30" i="56"/>
  <c r="D30" i="44"/>
  <c r="D30" i="63"/>
  <c r="D29" i="56"/>
  <c r="D29" i="44"/>
  <c r="D29" i="63"/>
  <c r="D26" i="56"/>
  <c r="D27" i="56"/>
  <c r="D28" i="56"/>
  <c r="D26" i="50"/>
  <c r="D27" i="50"/>
  <c r="D28" i="50"/>
  <c r="D28" i="49"/>
  <c r="D27" i="49"/>
  <c r="D26" i="49"/>
  <c r="D28" i="44"/>
  <c r="D27" i="44"/>
  <c r="D26" i="44"/>
  <c r="D26" i="43"/>
  <c r="D27" i="43"/>
  <c r="D28" i="43"/>
  <c r="D28" i="63"/>
  <c r="D27" i="63"/>
  <c r="D26" i="63"/>
  <c r="D26" i="38"/>
  <c r="D27" i="38"/>
  <c r="D28" i="38"/>
  <c r="D28" i="33"/>
  <c r="D27" i="33"/>
  <c r="D26" i="33"/>
  <c r="D26" i="62"/>
  <c r="D27" i="62"/>
  <c r="D28" i="62"/>
  <c r="D26" i="26"/>
  <c r="D27" i="26"/>
  <c r="D28" i="26"/>
  <c r="D26" i="24"/>
  <c r="D27" i="24"/>
  <c r="D28" i="24"/>
  <c r="D28" i="23"/>
  <c r="D27" i="23"/>
  <c r="D26" i="23"/>
  <c r="D26" i="21"/>
  <c r="D27" i="21"/>
  <c r="D28" i="21"/>
  <c r="D28" i="20"/>
  <c r="D27" i="20"/>
  <c r="D26" i="20"/>
  <c r="D26" i="19"/>
  <c r="D27" i="19"/>
  <c r="D28" i="19"/>
  <c r="D28" i="18"/>
  <c r="D27" i="18"/>
  <c r="D26" i="18"/>
  <c r="D26" i="15"/>
  <c r="D27" i="15"/>
  <c r="D28" i="15"/>
  <c r="D28" i="60"/>
  <c r="D27" i="60"/>
  <c r="D26" i="60"/>
  <c r="D26" i="14"/>
  <c r="D27" i="14"/>
  <c r="D25" i="56"/>
  <c r="D25" i="44"/>
  <c r="D25" i="63"/>
  <c r="D24" i="56"/>
  <c r="D24" i="44"/>
  <c r="D24" i="63"/>
  <c r="D23" i="56"/>
  <c r="D23" i="44"/>
  <c r="D22" i="44"/>
  <c r="D23" i="63"/>
  <c r="D22" i="14"/>
  <c r="D49" i="65"/>
  <c r="C49" i="65"/>
  <c r="C47" i="65"/>
  <c r="C50" i="65"/>
  <c r="C46" i="65"/>
  <c r="C48" i="65"/>
  <c r="D54" i="65"/>
  <c r="D53" i="65"/>
  <c r="D52" i="65"/>
  <c r="B49" i="65"/>
  <c r="C44" i="65"/>
  <c r="C40" i="65"/>
  <c r="C43" i="65"/>
  <c r="C42" i="65"/>
  <c r="C41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A6" i="65"/>
  <c r="D22" i="56"/>
  <c r="D21" i="56"/>
  <c r="D20" i="56"/>
  <c r="D19" i="44"/>
  <c r="D20" i="44"/>
  <c r="D21" i="44"/>
  <c r="D22" i="63"/>
  <c r="D19" i="56"/>
  <c r="D19" i="50"/>
  <c r="D20" i="50"/>
  <c r="D21" i="50"/>
  <c r="D19" i="49"/>
  <c r="D20" i="49"/>
  <c r="D21" i="49"/>
  <c r="D21" i="43"/>
  <c r="D20" i="43"/>
  <c r="D19" i="43"/>
  <c r="D19" i="63"/>
  <c r="D20" i="63"/>
  <c r="D21" i="63"/>
  <c r="D21" i="38"/>
  <c r="D20" i="38"/>
  <c r="D19" i="38"/>
  <c r="D19" i="33"/>
  <c r="D21" i="33"/>
  <c r="D21" i="62"/>
  <c r="D20" i="62"/>
  <c r="D19" i="62"/>
  <c r="D21" i="28"/>
  <c r="D19" i="28"/>
  <c r="D19" i="26"/>
  <c r="D21" i="26"/>
  <c r="D19" i="24"/>
  <c r="D20" i="24"/>
  <c r="D21" i="23"/>
  <c r="D20" i="23"/>
  <c r="D19" i="23"/>
  <c r="D19" i="21"/>
  <c r="D20" i="21"/>
  <c r="D21" i="21"/>
  <c r="D21" i="20"/>
  <c r="D20" i="20"/>
  <c r="D19" i="20"/>
  <c r="D19" i="19"/>
  <c r="D20" i="19"/>
  <c r="D21" i="19"/>
  <c r="D21" i="18"/>
  <c r="D20" i="18"/>
  <c r="D19" i="15"/>
  <c r="D20" i="15"/>
  <c r="D21" i="15"/>
  <c r="D21" i="60"/>
  <c r="D20" i="60"/>
  <c r="D19" i="60"/>
  <c r="D19" i="14"/>
  <c r="D20" i="14"/>
  <c r="D21" i="14"/>
  <c r="E20" i="12"/>
  <c r="E21" i="12"/>
  <c r="D18" i="44"/>
  <c r="D18" i="63"/>
  <c r="D17" i="56"/>
  <c r="D17" i="44"/>
  <c r="D17" i="63"/>
  <c r="D16" i="56"/>
  <c r="D16" i="44"/>
  <c r="D16" i="63"/>
  <c r="D15" i="44"/>
  <c r="D15" i="43"/>
  <c r="D15" i="63"/>
  <c r="D14" i="56"/>
  <c r="D13" i="56"/>
  <c r="D13" i="50"/>
  <c r="D14" i="50"/>
  <c r="D14" i="49"/>
  <c r="D14" i="44"/>
  <c r="D13" i="44"/>
  <c r="D12" i="44"/>
  <c r="D13" i="43"/>
  <c r="D14" i="43"/>
  <c r="D14" i="63"/>
  <c r="D13" i="63"/>
  <c r="D12" i="63"/>
  <c r="D12" i="38"/>
  <c r="D13" i="38"/>
  <c r="D13" i="33"/>
  <c r="D13" i="62"/>
  <c r="D12" i="26"/>
  <c r="D13" i="26"/>
  <c r="D12" i="23"/>
  <c r="D13" i="21"/>
  <c r="D12" i="21"/>
  <c r="D12" i="20"/>
  <c r="D13" i="20"/>
  <c r="D13" i="19"/>
  <c r="D12" i="19"/>
  <c r="D12" i="18"/>
  <c r="D13" i="18"/>
  <c r="D13" i="15"/>
  <c r="D12" i="15"/>
  <c r="D8" i="60"/>
  <c r="D9" i="60"/>
  <c r="D10" i="60"/>
  <c r="D11" i="60"/>
  <c r="D12" i="60"/>
  <c r="D13" i="60"/>
  <c r="D13" i="14"/>
  <c r="D12" i="14"/>
  <c r="D11" i="63"/>
  <c r="D10" i="63"/>
  <c r="D8" i="43"/>
  <c r="D8" i="26"/>
  <c r="D8" i="23"/>
  <c r="D8" i="20"/>
  <c r="D8" i="19"/>
  <c r="D8" i="18"/>
  <c r="D8" i="15"/>
  <c r="D6" i="18"/>
  <c r="D49" i="64"/>
  <c r="C49" i="64"/>
  <c r="C47" i="64"/>
  <c r="C50" i="64"/>
  <c r="C46" i="64"/>
  <c r="C48" i="64"/>
  <c r="D54" i="64"/>
  <c r="D53" i="64"/>
  <c r="D52" i="64"/>
  <c r="B49" i="64"/>
  <c r="C44" i="64"/>
  <c r="C40" i="64"/>
  <c r="C43" i="64"/>
  <c r="C42" i="64"/>
  <c r="C41" i="64"/>
  <c r="A36" i="64"/>
  <c r="A35" i="64"/>
  <c r="A34" i="64"/>
  <c r="A33" i="64"/>
  <c r="A32" i="64"/>
  <c r="A31" i="64"/>
  <c r="A30" i="64"/>
  <c r="A29" i="64"/>
  <c r="A28" i="64"/>
  <c r="E27" i="64"/>
  <c r="A27" i="64"/>
  <c r="A26" i="64"/>
  <c r="A25" i="64"/>
  <c r="A24" i="64"/>
  <c r="A23" i="64"/>
  <c r="A22" i="64"/>
  <c r="A21" i="64"/>
  <c r="E20" i="64"/>
  <c r="A20" i="64"/>
  <c r="A19" i="64"/>
  <c r="A18" i="64"/>
  <c r="A17" i="64"/>
  <c r="A16" i="64"/>
  <c r="A15" i="64"/>
  <c r="A14" i="64"/>
  <c r="E13" i="64"/>
  <c r="A13" i="64"/>
  <c r="A12" i="64"/>
  <c r="A11" i="64"/>
  <c r="A10" i="64"/>
  <c r="A9" i="64"/>
  <c r="A8" i="64"/>
  <c r="A7" i="64"/>
  <c r="E6" i="64"/>
  <c r="A6" i="64"/>
  <c r="D49" i="63"/>
  <c r="C49" i="63"/>
  <c r="C47" i="63"/>
  <c r="C50" i="63"/>
  <c r="C46" i="63"/>
  <c r="C48" i="63"/>
  <c r="D54" i="63"/>
  <c r="D53" i="63"/>
  <c r="D52" i="63"/>
  <c r="B49" i="63"/>
  <c r="C6" i="63"/>
  <c r="C7" i="63"/>
  <c r="C8" i="63"/>
  <c r="C9" i="63"/>
  <c r="C10" i="63"/>
  <c r="C11" i="63"/>
  <c r="C12" i="63"/>
  <c r="C13" i="63"/>
  <c r="C14" i="63"/>
  <c r="C15" i="63"/>
  <c r="C16" i="63"/>
  <c r="C17" i="63"/>
  <c r="C18" i="63"/>
  <c r="C19" i="63"/>
  <c r="C20" i="63"/>
  <c r="C21" i="63"/>
  <c r="C22" i="63"/>
  <c r="C23" i="63"/>
  <c r="C24" i="63"/>
  <c r="C25" i="63"/>
  <c r="C26" i="63"/>
  <c r="C27" i="63"/>
  <c r="C28" i="63"/>
  <c r="C29" i="63"/>
  <c r="C30" i="63"/>
  <c r="C31" i="63"/>
  <c r="C32" i="63"/>
  <c r="C33" i="63"/>
  <c r="C34" i="63"/>
  <c r="C35" i="63"/>
  <c r="C44" i="63"/>
  <c r="C40" i="63"/>
  <c r="C43" i="63"/>
  <c r="C42" i="63"/>
  <c r="C41" i="63"/>
  <c r="A36" i="63"/>
  <c r="A35" i="63"/>
  <c r="A34" i="63"/>
  <c r="A33" i="63"/>
  <c r="A32" i="63"/>
  <c r="A31" i="63"/>
  <c r="A30" i="63"/>
  <c r="A29" i="63"/>
  <c r="A28" i="63"/>
  <c r="F27" i="63"/>
  <c r="A27" i="63"/>
  <c r="A26" i="63"/>
  <c r="A25" i="63"/>
  <c r="A24" i="63"/>
  <c r="A23" i="63"/>
  <c r="A22" i="63"/>
  <c r="A21" i="63"/>
  <c r="F20" i="63"/>
  <c r="A20" i="63"/>
  <c r="A19" i="63"/>
  <c r="A18" i="63"/>
  <c r="A17" i="63"/>
  <c r="A16" i="63"/>
  <c r="A15" i="63"/>
  <c r="A14" i="63"/>
  <c r="F13" i="63"/>
  <c r="A13" i="63"/>
  <c r="A12" i="63"/>
  <c r="A11" i="63"/>
  <c r="A10" i="63"/>
  <c r="A9" i="63"/>
  <c r="A8" i="63"/>
  <c r="A7" i="63"/>
  <c r="F6" i="63"/>
  <c r="A6" i="63"/>
  <c r="D25" i="12"/>
  <c r="F25" i="12"/>
  <c r="C25" i="12"/>
  <c r="D30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6" i="12"/>
  <c r="D27" i="12"/>
  <c r="D28" i="12"/>
  <c r="D29" i="12"/>
  <c r="D31" i="12"/>
  <c r="D32" i="12"/>
  <c r="D33" i="12"/>
  <c r="D34" i="12"/>
  <c r="D35" i="12"/>
  <c r="D36" i="12"/>
  <c r="D7" i="12"/>
  <c r="D6" i="12"/>
  <c r="F11" i="12"/>
  <c r="C11" i="12"/>
  <c r="F15" i="12"/>
  <c r="C15" i="12"/>
  <c r="F19" i="12"/>
  <c r="C19" i="12"/>
  <c r="F23" i="12"/>
  <c r="C23" i="12"/>
  <c r="F27" i="12"/>
  <c r="C27" i="12"/>
  <c r="F31" i="12"/>
  <c r="C31" i="12"/>
  <c r="F35" i="12"/>
  <c r="C35" i="12"/>
  <c r="D49" i="62"/>
  <c r="C49" i="62"/>
  <c r="C50" i="62"/>
  <c r="C46" i="62"/>
  <c r="D52" i="62"/>
  <c r="B49" i="62"/>
  <c r="C6" i="62"/>
  <c r="C7" i="62"/>
  <c r="C8" i="62"/>
  <c r="C9" i="62"/>
  <c r="C10" i="62"/>
  <c r="C11" i="62"/>
  <c r="C12" i="62"/>
  <c r="C13" i="62"/>
  <c r="C14" i="62"/>
  <c r="C15" i="62"/>
  <c r="C16" i="62"/>
  <c r="C17" i="62"/>
  <c r="C18" i="62"/>
  <c r="C19" i="62"/>
  <c r="C20" i="62"/>
  <c r="C21" i="62"/>
  <c r="C22" i="62"/>
  <c r="C23" i="62"/>
  <c r="C24" i="62"/>
  <c r="C25" i="62"/>
  <c r="C26" i="62"/>
  <c r="C27" i="62"/>
  <c r="C28" i="62"/>
  <c r="C29" i="62"/>
  <c r="C30" i="62"/>
  <c r="C31" i="62"/>
  <c r="C32" i="62"/>
  <c r="C33" i="62"/>
  <c r="C34" i="62"/>
  <c r="C35" i="62"/>
  <c r="A36" i="62"/>
  <c r="A35" i="62"/>
  <c r="A34" i="62"/>
  <c r="A33" i="62"/>
  <c r="A32" i="62"/>
  <c r="A31" i="62"/>
  <c r="A30" i="62"/>
  <c r="A29" i="62"/>
  <c r="A28" i="62"/>
  <c r="A27" i="62"/>
  <c r="A26" i="62"/>
  <c r="A25" i="62"/>
  <c r="A24" i="62"/>
  <c r="A23" i="62"/>
  <c r="A22" i="62"/>
  <c r="A21" i="62"/>
  <c r="A20" i="62"/>
  <c r="A19" i="62"/>
  <c r="A18" i="62"/>
  <c r="A17" i="62"/>
  <c r="A16" i="62"/>
  <c r="A15" i="62"/>
  <c r="A14" i="62"/>
  <c r="A13" i="62"/>
  <c r="A12" i="62"/>
  <c r="A11" i="62"/>
  <c r="A10" i="62"/>
  <c r="A9" i="62"/>
  <c r="A8" i="62"/>
  <c r="A7" i="62"/>
  <c r="A6" i="62"/>
  <c r="D49" i="61"/>
  <c r="C49" i="61"/>
  <c r="C47" i="61"/>
  <c r="C50" i="61"/>
  <c r="D52" i="61"/>
  <c r="B49" i="61"/>
  <c r="C6" i="61"/>
  <c r="C7" i="61"/>
  <c r="C8" i="61"/>
  <c r="C9" i="61"/>
  <c r="C10" i="61"/>
  <c r="C11" i="61"/>
  <c r="C12" i="61"/>
  <c r="C13" i="61"/>
  <c r="C14" i="61"/>
  <c r="C15" i="61"/>
  <c r="C16" i="61"/>
  <c r="C17" i="61"/>
  <c r="C18" i="61"/>
  <c r="C19" i="61"/>
  <c r="C20" i="61"/>
  <c r="C21" i="61"/>
  <c r="C22" i="61"/>
  <c r="C23" i="61"/>
  <c r="C24" i="61"/>
  <c r="C25" i="61"/>
  <c r="C26" i="61"/>
  <c r="F20" i="61"/>
  <c r="C27" i="61"/>
  <c r="C28" i="61"/>
  <c r="C29" i="61"/>
  <c r="C30" i="61"/>
  <c r="C31" i="61"/>
  <c r="C32" i="61"/>
  <c r="C33" i="61"/>
  <c r="C34" i="61"/>
  <c r="C35" i="61"/>
  <c r="C36" i="61"/>
  <c r="A36" i="61"/>
  <c r="A35" i="61"/>
  <c r="A34" i="61"/>
  <c r="A33" i="61"/>
  <c r="A32" i="61"/>
  <c r="A31" i="61"/>
  <c r="A30" i="61"/>
  <c r="A29" i="61"/>
  <c r="A28" i="61"/>
  <c r="A27" i="61"/>
  <c r="A26" i="61"/>
  <c r="A25" i="61"/>
  <c r="A24" i="61"/>
  <c r="A23" i="61"/>
  <c r="A22" i="61"/>
  <c r="A21" i="61"/>
  <c r="A20" i="61"/>
  <c r="A19" i="61"/>
  <c r="A18" i="61"/>
  <c r="A17" i="61"/>
  <c r="A16" i="61"/>
  <c r="A15" i="61"/>
  <c r="A14" i="61"/>
  <c r="A13" i="61"/>
  <c r="A12" i="61"/>
  <c r="A11" i="61"/>
  <c r="A10" i="61"/>
  <c r="A9" i="61"/>
  <c r="A8" i="61"/>
  <c r="A7" i="61"/>
  <c r="A6" i="61"/>
  <c r="D49" i="60"/>
  <c r="C49" i="60"/>
  <c r="C50" i="60"/>
  <c r="D52" i="60"/>
  <c r="B49" i="60"/>
  <c r="C6" i="60"/>
  <c r="C7" i="60"/>
  <c r="C8" i="60"/>
  <c r="C9" i="60"/>
  <c r="C10" i="60"/>
  <c r="C11" i="60"/>
  <c r="C12" i="60"/>
  <c r="C13" i="60"/>
  <c r="C14" i="60"/>
  <c r="C15" i="60"/>
  <c r="C16" i="60"/>
  <c r="C17" i="60"/>
  <c r="C18" i="60"/>
  <c r="C19" i="60"/>
  <c r="C20" i="60"/>
  <c r="C21" i="60"/>
  <c r="C22" i="60"/>
  <c r="C23" i="60"/>
  <c r="C24" i="60"/>
  <c r="C25" i="60"/>
  <c r="C26" i="60"/>
  <c r="C27" i="60"/>
  <c r="C28" i="60"/>
  <c r="C29" i="60"/>
  <c r="C30" i="60"/>
  <c r="C31" i="60"/>
  <c r="C32" i="60"/>
  <c r="C33" i="60"/>
  <c r="C34" i="60"/>
  <c r="C35" i="60"/>
  <c r="A36" i="60"/>
  <c r="A35" i="60"/>
  <c r="A34" i="60"/>
  <c r="A33" i="60"/>
  <c r="A32" i="60"/>
  <c r="A31" i="60"/>
  <c r="A30" i="60"/>
  <c r="A29" i="60"/>
  <c r="A28" i="60"/>
  <c r="A27" i="60"/>
  <c r="A26" i="60"/>
  <c r="A25" i="60"/>
  <c r="A24" i="60"/>
  <c r="A23" i="60"/>
  <c r="A22" i="60"/>
  <c r="A21" i="60"/>
  <c r="A20" i="60"/>
  <c r="A19" i="60"/>
  <c r="A18" i="60"/>
  <c r="A17" i="60"/>
  <c r="A16" i="60"/>
  <c r="A15" i="60"/>
  <c r="A14" i="60"/>
  <c r="A13" i="60"/>
  <c r="A12" i="60"/>
  <c r="A11" i="60"/>
  <c r="A10" i="60"/>
  <c r="A9" i="60"/>
  <c r="A8" i="60"/>
  <c r="A7" i="60"/>
  <c r="A6" i="60"/>
  <c r="E6" i="32"/>
  <c r="C6" i="3"/>
  <c r="C7" i="3"/>
  <c r="C6" i="11"/>
  <c r="C7" i="11"/>
  <c r="F6" i="12"/>
  <c r="C6" i="12"/>
  <c r="F7" i="12"/>
  <c r="C7" i="12"/>
  <c r="F8" i="12"/>
  <c r="C8" i="12"/>
  <c r="F9" i="12"/>
  <c r="C9" i="12"/>
  <c r="F10" i="12"/>
  <c r="C10" i="12"/>
  <c r="F12" i="12"/>
  <c r="C12" i="12"/>
  <c r="F13" i="12"/>
  <c r="C13" i="12"/>
  <c r="F14" i="12"/>
  <c r="C14" i="12"/>
  <c r="F16" i="12"/>
  <c r="C16" i="12"/>
  <c r="F17" i="12"/>
  <c r="C17" i="12"/>
  <c r="F18" i="12"/>
  <c r="C18" i="12"/>
  <c r="F20" i="12"/>
  <c r="C20" i="12"/>
  <c r="F21" i="12"/>
  <c r="C21" i="12"/>
  <c r="F22" i="12"/>
  <c r="C22" i="12"/>
  <c r="F24" i="12"/>
  <c r="C24" i="12"/>
  <c r="F26" i="12"/>
  <c r="C26" i="12"/>
  <c r="F28" i="12"/>
  <c r="C28" i="12"/>
  <c r="F29" i="12"/>
  <c r="C29" i="12"/>
  <c r="F30" i="12"/>
  <c r="C30" i="12"/>
  <c r="F32" i="12"/>
  <c r="C32" i="12"/>
  <c r="F33" i="12"/>
  <c r="C33" i="12"/>
  <c r="F34" i="12"/>
  <c r="C34" i="12"/>
  <c r="C6" i="13"/>
  <c r="C7" i="13"/>
  <c r="C6" i="14"/>
  <c r="C7" i="14"/>
  <c r="C6" i="15"/>
  <c r="C7" i="15"/>
  <c r="C6" i="18"/>
  <c r="C7" i="18"/>
  <c r="C6" i="19"/>
  <c r="C9" i="19"/>
  <c r="C10" i="19"/>
  <c r="C8" i="19"/>
  <c r="C7" i="19"/>
  <c r="C11" i="19"/>
  <c r="C12" i="19"/>
  <c r="C13" i="19"/>
  <c r="C14" i="19"/>
  <c r="C16" i="19"/>
  <c r="C17" i="19"/>
  <c r="C15" i="19"/>
  <c r="C18" i="19"/>
  <c r="C19" i="19"/>
  <c r="C20" i="19"/>
  <c r="C21" i="19"/>
  <c r="C23" i="19"/>
  <c r="C24" i="19"/>
  <c r="C22" i="19"/>
  <c r="C25" i="19"/>
  <c r="C26" i="19"/>
  <c r="C27" i="19"/>
  <c r="C28" i="19"/>
  <c r="C30" i="19"/>
  <c r="C31" i="19"/>
  <c r="C29" i="19"/>
  <c r="C32" i="19"/>
  <c r="C33" i="19"/>
  <c r="C34" i="19"/>
  <c r="C35" i="19"/>
  <c r="C6" i="20"/>
  <c r="C7" i="20"/>
  <c r="C6" i="21"/>
  <c r="C7" i="21"/>
  <c r="C6" i="23"/>
  <c r="C7" i="23"/>
  <c r="C6" i="24"/>
  <c r="C7" i="24"/>
  <c r="C6" i="26"/>
  <c r="C7" i="26"/>
  <c r="C6" i="28"/>
  <c r="C7" i="28"/>
  <c r="C6" i="30"/>
  <c r="C7" i="30"/>
  <c r="C37" i="31"/>
  <c r="C6" i="33"/>
  <c r="C7" i="33"/>
  <c r="C37" i="36"/>
  <c r="C6" i="38"/>
  <c r="C7" i="38"/>
  <c r="C6" i="41"/>
  <c r="C7" i="41"/>
  <c r="C6" i="42"/>
  <c r="C7" i="42"/>
  <c r="C6" i="43"/>
  <c r="C7" i="43"/>
  <c r="C6" i="44"/>
  <c r="C7" i="44"/>
  <c r="C6" i="47"/>
  <c r="C7" i="47"/>
  <c r="C6" i="48"/>
  <c r="C7" i="48"/>
  <c r="C6" i="49"/>
  <c r="C7" i="49"/>
  <c r="C6" i="50"/>
  <c r="C7" i="50"/>
  <c r="C8" i="50"/>
  <c r="C9" i="50"/>
  <c r="C10" i="50"/>
  <c r="C11" i="50"/>
  <c r="C12" i="50"/>
  <c r="C13" i="50"/>
  <c r="C16" i="50"/>
  <c r="C17" i="50"/>
  <c r="C15" i="50"/>
  <c r="C14" i="50"/>
  <c r="C18" i="50"/>
  <c r="C19" i="50"/>
  <c r="C20" i="50"/>
  <c r="C21" i="50"/>
  <c r="C23" i="50"/>
  <c r="C24" i="50"/>
  <c r="C22" i="50"/>
  <c r="C25" i="50"/>
  <c r="C26" i="50"/>
  <c r="C27" i="50"/>
  <c r="C28" i="50"/>
  <c r="C30" i="50"/>
  <c r="C31" i="50"/>
  <c r="C29" i="50"/>
  <c r="C32" i="50"/>
  <c r="C33" i="50"/>
  <c r="C34" i="50"/>
  <c r="C35" i="50"/>
  <c r="C6" i="53"/>
  <c r="C7" i="53"/>
  <c r="C6" i="54"/>
  <c r="C7" i="54"/>
  <c r="C6" i="56"/>
  <c r="C7" i="56"/>
  <c r="C37" i="57"/>
  <c r="C6" i="59"/>
  <c r="C7" i="59"/>
  <c r="C6" i="1"/>
  <c r="C7" i="1"/>
  <c r="D49" i="59"/>
  <c r="C49" i="59"/>
  <c r="C47" i="59"/>
  <c r="C50" i="59"/>
  <c r="D52" i="59"/>
  <c r="B49" i="59"/>
  <c r="C8" i="59"/>
  <c r="C9" i="59"/>
  <c r="C10" i="59"/>
  <c r="C11" i="59"/>
  <c r="C12" i="59"/>
  <c r="C13" i="59"/>
  <c r="C14" i="59"/>
  <c r="C15" i="59"/>
  <c r="C16" i="59"/>
  <c r="C17" i="59"/>
  <c r="C18" i="59"/>
  <c r="C19" i="59"/>
  <c r="C20" i="59"/>
  <c r="C21" i="59"/>
  <c r="C22" i="59"/>
  <c r="C23" i="59"/>
  <c r="C24" i="59"/>
  <c r="C25" i="59"/>
  <c r="C26" i="59"/>
  <c r="C27" i="59"/>
  <c r="C28" i="59"/>
  <c r="C29" i="59"/>
  <c r="C30" i="59"/>
  <c r="C31" i="59"/>
  <c r="C32" i="59"/>
  <c r="C33" i="59"/>
  <c r="C34" i="59"/>
  <c r="C35" i="59"/>
  <c r="A36" i="59"/>
  <c r="A35" i="59"/>
  <c r="A34" i="59"/>
  <c r="A33" i="59"/>
  <c r="A32" i="59"/>
  <c r="A31" i="59"/>
  <c r="A30" i="59"/>
  <c r="A29" i="59"/>
  <c r="A28" i="59"/>
  <c r="A27" i="59"/>
  <c r="A26" i="59"/>
  <c r="A25" i="59"/>
  <c r="A24" i="59"/>
  <c r="A23" i="59"/>
  <c r="A22" i="59"/>
  <c r="A21" i="59"/>
  <c r="A20" i="59"/>
  <c r="A19" i="59"/>
  <c r="A18" i="59"/>
  <c r="A17" i="59"/>
  <c r="A16" i="59"/>
  <c r="A15" i="59"/>
  <c r="A14" i="59"/>
  <c r="A13" i="59"/>
  <c r="A12" i="59"/>
  <c r="A11" i="59"/>
  <c r="A10" i="59"/>
  <c r="A9" i="59"/>
  <c r="A8" i="59"/>
  <c r="A7" i="59"/>
  <c r="A6" i="59"/>
  <c r="D49" i="58"/>
  <c r="C49" i="58"/>
  <c r="C47" i="58"/>
  <c r="C50" i="58"/>
  <c r="C46" i="58"/>
  <c r="D52" i="58"/>
  <c r="B49" i="58"/>
  <c r="C40" i="58"/>
  <c r="C43" i="58"/>
  <c r="C42" i="58"/>
  <c r="C41" i="58"/>
  <c r="A36" i="58"/>
  <c r="A35" i="58"/>
  <c r="A34" i="58"/>
  <c r="A33" i="58"/>
  <c r="A32" i="58"/>
  <c r="A31" i="58"/>
  <c r="A30" i="58"/>
  <c r="A29" i="58"/>
  <c r="A28" i="58"/>
  <c r="E27" i="58"/>
  <c r="A27" i="58"/>
  <c r="A26" i="58"/>
  <c r="A25" i="58"/>
  <c r="A24" i="58"/>
  <c r="A23" i="58"/>
  <c r="A22" i="58"/>
  <c r="A21" i="58"/>
  <c r="E20" i="58"/>
  <c r="A20" i="58"/>
  <c r="A19" i="58"/>
  <c r="A18" i="58"/>
  <c r="A17" i="58"/>
  <c r="A16" i="58"/>
  <c r="A15" i="58"/>
  <c r="A14" i="58"/>
  <c r="E13" i="58"/>
  <c r="A13" i="58"/>
  <c r="A12" i="58"/>
  <c r="A11" i="58"/>
  <c r="A10" i="58"/>
  <c r="A9" i="58"/>
  <c r="A8" i="58"/>
  <c r="A7" i="58"/>
  <c r="E6" i="58"/>
  <c r="A6" i="58"/>
  <c r="D49" i="57"/>
  <c r="C49" i="57"/>
  <c r="C47" i="57"/>
  <c r="C50" i="57"/>
  <c r="C46" i="57"/>
  <c r="D52" i="57"/>
  <c r="B49" i="57"/>
  <c r="C40" i="57"/>
  <c r="C43" i="57"/>
  <c r="C41" i="57"/>
  <c r="A36" i="57"/>
  <c r="A35" i="57"/>
  <c r="A34" i="57"/>
  <c r="A33" i="57"/>
  <c r="A32" i="57"/>
  <c r="A31" i="57"/>
  <c r="A30" i="57"/>
  <c r="A29" i="57"/>
  <c r="A28" i="57"/>
  <c r="E27" i="57"/>
  <c r="A27" i="57"/>
  <c r="A26" i="57"/>
  <c r="A25" i="57"/>
  <c r="A24" i="57"/>
  <c r="A23" i="57"/>
  <c r="A22" i="57"/>
  <c r="A21" i="57"/>
  <c r="E20" i="57"/>
  <c r="A20" i="57"/>
  <c r="A19" i="57"/>
  <c r="A18" i="57"/>
  <c r="A17" i="57"/>
  <c r="A16" i="57"/>
  <c r="A15" i="57"/>
  <c r="A14" i="57"/>
  <c r="E13" i="57"/>
  <c r="A13" i="57"/>
  <c r="A12" i="57"/>
  <c r="A11" i="57"/>
  <c r="A10" i="57"/>
  <c r="A9" i="57"/>
  <c r="A8" i="57"/>
  <c r="A7" i="57"/>
  <c r="E6" i="57"/>
  <c r="A6" i="57"/>
  <c r="D49" i="56"/>
  <c r="C49" i="56"/>
  <c r="C47" i="56"/>
  <c r="C50" i="56"/>
  <c r="C46" i="56"/>
  <c r="D52" i="56"/>
  <c r="B49" i="56"/>
  <c r="C8" i="56"/>
  <c r="C9" i="56"/>
  <c r="C10" i="56"/>
  <c r="C11" i="56"/>
  <c r="C12" i="56"/>
  <c r="F6" i="56"/>
  <c r="C13" i="56"/>
  <c r="C14" i="56"/>
  <c r="C15" i="56"/>
  <c r="C16" i="56"/>
  <c r="C17" i="56"/>
  <c r="C18" i="56"/>
  <c r="C19" i="56"/>
  <c r="C20" i="56"/>
  <c r="C21" i="56"/>
  <c r="C22" i="56"/>
  <c r="C23" i="56"/>
  <c r="C24" i="56"/>
  <c r="C25" i="56"/>
  <c r="C26" i="56"/>
  <c r="C27" i="56"/>
  <c r="C28" i="56"/>
  <c r="C29" i="56"/>
  <c r="C30" i="56"/>
  <c r="C31" i="56"/>
  <c r="C32" i="56"/>
  <c r="C33" i="56"/>
  <c r="F27" i="56"/>
  <c r="C34" i="56"/>
  <c r="C35" i="56"/>
  <c r="A36" i="56"/>
  <c r="A35" i="56"/>
  <c r="A34" i="56"/>
  <c r="A33" i="56"/>
  <c r="A32" i="56"/>
  <c r="A31" i="56"/>
  <c r="A30" i="56"/>
  <c r="A29" i="56"/>
  <c r="A28" i="56"/>
  <c r="A27" i="56"/>
  <c r="A26" i="56"/>
  <c r="A25" i="56"/>
  <c r="A24" i="56"/>
  <c r="A23" i="56"/>
  <c r="A22" i="56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6" i="56"/>
  <c r="D49" i="55"/>
  <c r="C49" i="55"/>
  <c r="C50" i="55"/>
  <c r="D52" i="55"/>
  <c r="B49" i="55"/>
  <c r="C40" i="55"/>
  <c r="C43" i="55"/>
  <c r="C42" i="55"/>
  <c r="C41" i="55"/>
  <c r="A36" i="55"/>
  <c r="A35" i="55"/>
  <c r="A34" i="55"/>
  <c r="A33" i="55"/>
  <c r="A32" i="55"/>
  <c r="A31" i="55"/>
  <c r="A30" i="55"/>
  <c r="A29" i="55"/>
  <c r="A28" i="55"/>
  <c r="A27" i="55"/>
  <c r="A26" i="55"/>
  <c r="A25" i="55"/>
  <c r="A24" i="55"/>
  <c r="A23" i="55"/>
  <c r="A22" i="55"/>
  <c r="A21" i="55"/>
  <c r="A20" i="55"/>
  <c r="A19" i="55"/>
  <c r="A18" i="55"/>
  <c r="A17" i="55"/>
  <c r="A16" i="55"/>
  <c r="A15" i="55"/>
  <c r="A14" i="55"/>
  <c r="A13" i="55"/>
  <c r="A12" i="55"/>
  <c r="A11" i="55"/>
  <c r="A10" i="55"/>
  <c r="A9" i="55"/>
  <c r="A8" i="55"/>
  <c r="A7" i="55"/>
  <c r="A6" i="55"/>
  <c r="D49" i="54"/>
  <c r="C49" i="54"/>
  <c r="C47" i="54"/>
  <c r="C50" i="54"/>
  <c r="D52" i="54"/>
  <c r="B49" i="54"/>
  <c r="C8" i="54"/>
  <c r="C9" i="54"/>
  <c r="C10" i="54"/>
  <c r="C11" i="54"/>
  <c r="C12" i="54"/>
  <c r="F6" i="54"/>
  <c r="C13" i="54"/>
  <c r="C14" i="54"/>
  <c r="C15" i="54"/>
  <c r="C16" i="54"/>
  <c r="C17" i="54"/>
  <c r="C18" i="54"/>
  <c r="C19" i="54"/>
  <c r="C20" i="54"/>
  <c r="C21" i="54"/>
  <c r="C22" i="54"/>
  <c r="C23" i="54"/>
  <c r="C24" i="54"/>
  <c r="C25" i="54"/>
  <c r="C26" i="54"/>
  <c r="C27" i="54"/>
  <c r="C28" i="54"/>
  <c r="C29" i="54"/>
  <c r="C30" i="54"/>
  <c r="C31" i="54"/>
  <c r="C32" i="54"/>
  <c r="C33" i="54"/>
  <c r="C34" i="54"/>
  <c r="C35" i="54"/>
  <c r="A36" i="54"/>
  <c r="A35" i="54"/>
  <c r="A34" i="54"/>
  <c r="A33" i="54"/>
  <c r="A32" i="54"/>
  <c r="A31" i="54"/>
  <c r="A30" i="54"/>
  <c r="A29" i="54"/>
  <c r="A28" i="54"/>
  <c r="A27" i="54"/>
  <c r="A26" i="54"/>
  <c r="A25" i="54"/>
  <c r="A24" i="54"/>
  <c r="A23" i="54"/>
  <c r="A22" i="54"/>
  <c r="A21" i="54"/>
  <c r="A20" i="54"/>
  <c r="A19" i="54"/>
  <c r="A18" i="54"/>
  <c r="A17" i="54"/>
  <c r="A16" i="54"/>
  <c r="A15" i="54"/>
  <c r="A14" i="54"/>
  <c r="A13" i="54"/>
  <c r="A12" i="54"/>
  <c r="A11" i="54"/>
  <c r="A10" i="54"/>
  <c r="A9" i="54"/>
  <c r="A8" i="54"/>
  <c r="A7" i="54"/>
  <c r="A6" i="54"/>
  <c r="D49" i="53"/>
  <c r="C49" i="53"/>
  <c r="C50" i="53"/>
  <c r="D52" i="53"/>
  <c r="B49" i="53"/>
  <c r="C8" i="53"/>
  <c r="C9" i="53"/>
  <c r="C10" i="53"/>
  <c r="C11" i="53"/>
  <c r="C12" i="53"/>
  <c r="C13" i="53"/>
  <c r="C14" i="53"/>
  <c r="C15" i="53"/>
  <c r="C16" i="53"/>
  <c r="C17" i="53"/>
  <c r="C18" i="53"/>
  <c r="C19" i="53"/>
  <c r="C20" i="53"/>
  <c r="C21" i="53"/>
  <c r="C22" i="53"/>
  <c r="C23" i="53"/>
  <c r="C24" i="53"/>
  <c r="C25" i="53"/>
  <c r="C26" i="53"/>
  <c r="C27" i="53"/>
  <c r="C28" i="53"/>
  <c r="C29" i="53"/>
  <c r="C30" i="53"/>
  <c r="C31" i="53"/>
  <c r="C32" i="53"/>
  <c r="C33" i="53"/>
  <c r="F27" i="53"/>
  <c r="C34" i="53"/>
  <c r="C35" i="53"/>
  <c r="A36" i="53"/>
  <c r="A35" i="53"/>
  <c r="A34" i="53"/>
  <c r="A33" i="53"/>
  <c r="A32" i="53"/>
  <c r="A31" i="53"/>
  <c r="A30" i="53"/>
  <c r="A29" i="53"/>
  <c r="A28" i="53"/>
  <c r="A27" i="53"/>
  <c r="A26" i="53"/>
  <c r="A25" i="53"/>
  <c r="A24" i="53"/>
  <c r="A23" i="53"/>
  <c r="A22" i="53"/>
  <c r="A21" i="53"/>
  <c r="A20" i="53"/>
  <c r="A19" i="53"/>
  <c r="A18" i="53"/>
  <c r="A17" i="53"/>
  <c r="A16" i="53"/>
  <c r="A15" i="53"/>
  <c r="A14" i="53"/>
  <c r="A13" i="53"/>
  <c r="A12" i="53"/>
  <c r="A11" i="53"/>
  <c r="A10" i="53"/>
  <c r="A9" i="53"/>
  <c r="A8" i="53"/>
  <c r="A7" i="53"/>
  <c r="A6" i="53"/>
  <c r="D49" i="52"/>
  <c r="C49" i="52"/>
  <c r="C50" i="52"/>
  <c r="D52" i="52"/>
  <c r="B49" i="52"/>
  <c r="C40" i="52"/>
  <c r="C43" i="52"/>
  <c r="C42" i="52"/>
  <c r="C41" i="52"/>
  <c r="E37" i="52"/>
  <c r="D37" i="52"/>
  <c r="A36" i="52"/>
  <c r="A35" i="52"/>
  <c r="A34" i="52"/>
  <c r="A33" i="52"/>
  <c r="A32" i="52"/>
  <c r="A31" i="52"/>
  <c r="A30" i="52"/>
  <c r="A29" i="52"/>
  <c r="A28" i="52"/>
  <c r="A27" i="52"/>
  <c r="A26" i="52"/>
  <c r="A25" i="52"/>
  <c r="A24" i="52"/>
  <c r="A23" i="52"/>
  <c r="A22" i="52"/>
  <c r="A21" i="52"/>
  <c r="A20" i="52"/>
  <c r="A19" i="52"/>
  <c r="A18" i="52"/>
  <c r="A17" i="52"/>
  <c r="A16" i="52"/>
  <c r="A15" i="52"/>
  <c r="A14" i="52"/>
  <c r="A13" i="52"/>
  <c r="A12" i="52"/>
  <c r="A11" i="52"/>
  <c r="A10" i="52"/>
  <c r="A9" i="52"/>
  <c r="A8" i="52"/>
  <c r="A7" i="52"/>
  <c r="A6" i="52"/>
  <c r="D49" i="51"/>
  <c r="C49" i="51"/>
  <c r="C50" i="51"/>
  <c r="D52" i="51"/>
  <c r="B49" i="51"/>
  <c r="C40" i="51"/>
  <c r="C43" i="51"/>
  <c r="C42" i="51"/>
  <c r="C41" i="51"/>
  <c r="A36" i="51"/>
  <c r="A35" i="51"/>
  <c r="A34" i="51"/>
  <c r="A33" i="51"/>
  <c r="A32" i="51"/>
  <c r="A31" i="51"/>
  <c r="A30" i="51"/>
  <c r="A29" i="51"/>
  <c r="A28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6" i="51"/>
  <c r="D49" i="50"/>
  <c r="C49" i="50"/>
  <c r="C50" i="50"/>
  <c r="D52" i="50"/>
  <c r="B49" i="50"/>
  <c r="F6" i="50"/>
  <c r="A36" i="50"/>
  <c r="A35" i="50"/>
  <c r="A34" i="50"/>
  <c r="A33" i="50"/>
  <c r="A32" i="50"/>
  <c r="A31" i="50"/>
  <c r="A30" i="50"/>
  <c r="A29" i="50"/>
  <c r="A28" i="50"/>
  <c r="A27" i="50"/>
  <c r="A26" i="50"/>
  <c r="A25" i="50"/>
  <c r="A24" i="50"/>
  <c r="A23" i="50"/>
  <c r="A22" i="50"/>
  <c r="A21" i="50"/>
  <c r="A20" i="50"/>
  <c r="A19" i="50"/>
  <c r="A18" i="50"/>
  <c r="A17" i="50"/>
  <c r="A16" i="50"/>
  <c r="A15" i="50"/>
  <c r="A14" i="50"/>
  <c r="A13" i="50"/>
  <c r="A12" i="50"/>
  <c r="A11" i="50"/>
  <c r="A10" i="50"/>
  <c r="A9" i="50"/>
  <c r="A8" i="50"/>
  <c r="A7" i="50"/>
  <c r="A6" i="50"/>
  <c r="D49" i="49"/>
  <c r="C49" i="49"/>
  <c r="C50" i="49"/>
  <c r="C46" i="49"/>
  <c r="D52" i="49"/>
  <c r="B49" i="49"/>
  <c r="C8" i="49"/>
  <c r="C9" i="49"/>
  <c r="C10" i="49"/>
  <c r="C11" i="49"/>
  <c r="C12" i="49"/>
  <c r="C13" i="49"/>
  <c r="C14" i="49"/>
  <c r="C15" i="49"/>
  <c r="C16" i="49"/>
  <c r="C17" i="49"/>
  <c r="C18" i="49"/>
  <c r="C19" i="49"/>
  <c r="C20" i="49"/>
  <c r="C21" i="49"/>
  <c r="C22" i="49"/>
  <c r="C23" i="49"/>
  <c r="C24" i="49"/>
  <c r="C25" i="49"/>
  <c r="C26" i="49"/>
  <c r="C27" i="49"/>
  <c r="C28" i="49"/>
  <c r="C29" i="49"/>
  <c r="C30" i="49"/>
  <c r="C31" i="49"/>
  <c r="C32" i="49"/>
  <c r="C33" i="49"/>
  <c r="F27" i="49"/>
  <c r="C34" i="49"/>
  <c r="C35" i="49"/>
  <c r="A36" i="49"/>
  <c r="A35" i="49"/>
  <c r="A34" i="49"/>
  <c r="A33" i="49"/>
  <c r="A32" i="49"/>
  <c r="A31" i="49"/>
  <c r="A30" i="49"/>
  <c r="A29" i="49"/>
  <c r="A28" i="49"/>
  <c r="A27" i="49"/>
  <c r="A26" i="49"/>
  <c r="A25" i="49"/>
  <c r="A24" i="49"/>
  <c r="A23" i="49"/>
  <c r="A22" i="49"/>
  <c r="A21" i="49"/>
  <c r="A20" i="49"/>
  <c r="A19" i="49"/>
  <c r="A18" i="49"/>
  <c r="A17" i="49"/>
  <c r="A16" i="49"/>
  <c r="A15" i="49"/>
  <c r="A14" i="49"/>
  <c r="A13" i="49"/>
  <c r="A12" i="49"/>
  <c r="A11" i="49"/>
  <c r="A10" i="49"/>
  <c r="A9" i="49"/>
  <c r="A8" i="49"/>
  <c r="A7" i="49"/>
  <c r="A6" i="49"/>
  <c r="D49" i="48"/>
  <c r="C49" i="48"/>
  <c r="C50" i="48"/>
  <c r="D52" i="48"/>
  <c r="B49" i="48"/>
  <c r="C8" i="48"/>
  <c r="C9" i="48"/>
  <c r="C10" i="48"/>
  <c r="C11" i="48"/>
  <c r="C12" i="48"/>
  <c r="C13" i="48"/>
  <c r="C14" i="48"/>
  <c r="C15" i="48"/>
  <c r="C16" i="48"/>
  <c r="C17" i="48"/>
  <c r="C18" i="48"/>
  <c r="C19" i="48"/>
  <c r="C20" i="48"/>
  <c r="C21" i="48"/>
  <c r="C22" i="48"/>
  <c r="C23" i="48"/>
  <c r="C24" i="48"/>
  <c r="C25" i="48"/>
  <c r="C26" i="48"/>
  <c r="C27" i="48"/>
  <c r="C28" i="48"/>
  <c r="C29" i="48"/>
  <c r="C30" i="48"/>
  <c r="C31" i="48"/>
  <c r="C32" i="48"/>
  <c r="C33" i="48"/>
  <c r="C34" i="48"/>
  <c r="C35" i="48"/>
  <c r="A36" i="48"/>
  <c r="A35" i="48"/>
  <c r="A34" i="48"/>
  <c r="A33" i="48"/>
  <c r="A32" i="48"/>
  <c r="A31" i="48"/>
  <c r="A30" i="48"/>
  <c r="A29" i="48"/>
  <c r="A28" i="48"/>
  <c r="F27" i="48"/>
  <c r="A27" i="48"/>
  <c r="A26" i="48"/>
  <c r="A25" i="48"/>
  <c r="A24" i="48"/>
  <c r="A23" i="48"/>
  <c r="A22" i="48"/>
  <c r="A21" i="48"/>
  <c r="F20" i="48"/>
  <c r="A20" i="48"/>
  <c r="A19" i="48"/>
  <c r="A18" i="48"/>
  <c r="A17" i="48"/>
  <c r="A16" i="48"/>
  <c r="A15" i="48"/>
  <c r="A14" i="48"/>
  <c r="F13" i="48"/>
  <c r="A13" i="48"/>
  <c r="A12" i="48"/>
  <c r="A11" i="48"/>
  <c r="A10" i="48"/>
  <c r="A9" i="48"/>
  <c r="A8" i="48"/>
  <c r="A7" i="48"/>
  <c r="F6" i="48"/>
  <c r="A6" i="48"/>
  <c r="D49" i="47"/>
  <c r="C49" i="47"/>
  <c r="C47" i="47"/>
  <c r="C50" i="47"/>
  <c r="D52" i="47"/>
  <c r="B49" i="47"/>
  <c r="C8" i="47"/>
  <c r="C9" i="47"/>
  <c r="C10" i="47"/>
  <c r="C11" i="47"/>
  <c r="C12" i="47"/>
  <c r="C13" i="47"/>
  <c r="C14" i="47"/>
  <c r="C15" i="47"/>
  <c r="C16" i="47"/>
  <c r="C17" i="47"/>
  <c r="C18" i="47"/>
  <c r="C19" i="47"/>
  <c r="F13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C35" i="47"/>
  <c r="A36" i="47"/>
  <c r="A35" i="47"/>
  <c r="A34" i="47"/>
  <c r="A33" i="47"/>
  <c r="A32" i="47"/>
  <c r="A31" i="47"/>
  <c r="A30" i="47"/>
  <c r="A29" i="47"/>
  <c r="A28" i="47"/>
  <c r="A27" i="47"/>
  <c r="A26" i="47"/>
  <c r="A25" i="47"/>
  <c r="A24" i="47"/>
  <c r="A23" i="47"/>
  <c r="A22" i="47"/>
  <c r="A21" i="47"/>
  <c r="A20" i="47"/>
  <c r="A19" i="47"/>
  <c r="A18" i="47"/>
  <c r="A17" i="47"/>
  <c r="A16" i="47"/>
  <c r="A15" i="47"/>
  <c r="A14" i="47"/>
  <c r="A13" i="47"/>
  <c r="A12" i="47"/>
  <c r="A11" i="47"/>
  <c r="A10" i="47"/>
  <c r="A9" i="47"/>
  <c r="A8" i="47"/>
  <c r="A7" i="47"/>
  <c r="A6" i="47"/>
  <c r="D49" i="46"/>
  <c r="C49" i="46"/>
  <c r="C50" i="46"/>
  <c r="D52" i="46"/>
  <c r="B49" i="46"/>
  <c r="C40" i="46"/>
  <c r="A36" i="46"/>
  <c r="A35" i="46"/>
  <c r="A34" i="46"/>
  <c r="A33" i="46"/>
  <c r="A32" i="46"/>
  <c r="A31" i="46"/>
  <c r="A30" i="46"/>
  <c r="A29" i="46"/>
  <c r="A28" i="46"/>
  <c r="E27" i="46"/>
  <c r="A27" i="46"/>
  <c r="A26" i="46"/>
  <c r="A25" i="46"/>
  <c r="A24" i="46"/>
  <c r="A23" i="46"/>
  <c r="A22" i="46"/>
  <c r="A21" i="46"/>
  <c r="E20" i="46"/>
  <c r="A20" i="46"/>
  <c r="A19" i="46"/>
  <c r="A18" i="46"/>
  <c r="A17" i="46"/>
  <c r="A16" i="46"/>
  <c r="A15" i="46"/>
  <c r="A14" i="46"/>
  <c r="E13" i="46"/>
  <c r="A13" i="46"/>
  <c r="A12" i="46"/>
  <c r="A11" i="46"/>
  <c r="A10" i="46"/>
  <c r="A9" i="46"/>
  <c r="A8" i="46"/>
  <c r="A7" i="46"/>
  <c r="E6" i="46"/>
  <c r="A6" i="46"/>
  <c r="D49" i="45"/>
  <c r="C49" i="45"/>
  <c r="C50" i="45"/>
  <c r="D52" i="45"/>
  <c r="B49" i="45"/>
  <c r="C40" i="45"/>
  <c r="C43" i="45"/>
  <c r="C42" i="45"/>
  <c r="C41" i="45"/>
  <c r="A36" i="45"/>
  <c r="A35" i="45"/>
  <c r="A34" i="45"/>
  <c r="A33" i="45"/>
  <c r="A32" i="45"/>
  <c r="A31" i="45"/>
  <c r="A30" i="45"/>
  <c r="A29" i="45"/>
  <c r="A28" i="45"/>
  <c r="E27" i="45"/>
  <c r="A27" i="45"/>
  <c r="A26" i="45"/>
  <c r="A25" i="45"/>
  <c r="A24" i="45"/>
  <c r="A23" i="45"/>
  <c r="A22" i="45"/>
  <c r="A21" i="45"/>
  <c r="E20" i="45"/>
  <c r="A20" i="45"/>
  <c r="A19" i="45"/>
  <c r="A18" i="45"/>
  <c r="A17" i="45"/>
  <c r="A16" i="45"/>
  <c r="A15" i="45"/>
  <c r="A14" i="45"/>
  <c r="E13" i="45"/>
  <c r="A13" i="45"/>
  <c r="A12" i="45"/>
  <c r="A11" i="45"/>
  <c r="A10" i="45"/>
  <c r="A9" i="45"/>
  <c r="A8" i="45"/>
  <c r="A7" i="45"/>
  <c r="E6" i="45"/>
  <c r="A6" i="45"/>
  <c r="D49" i="44"/>
  <c r="C49" i="44"/>
  <c r="C47" i="44"/>
  <c r="C50" i="44"/>
  <c r="D52" i="44"/>
  <c r="B49" i="44"/>
  <c r="C8" i="44"/>
  <c r="C9" i="44"/>
  <c r="C10" i="44"/>
  <c r="C11" i="44"/>
  <c r="C12" i="44"/>
  <c r="C13" i="44"/>
  <c r="C14" i="44"/>
  <c r="C15" i="44"/>
  <c r="C16" i="44"/>
  <c r="C17" i="44"/>
  <c r="C18" i="44"/>
  <c r="C19" i="44"/>
  <c r="C20" i="44"/>
  <c r="C21" i="44"/>
  <c r="C22" i="44"/>
  <c r="C23" i="44"/>
  <c r="C24" i="44"/>
  <c r="C25" i="44"/>
  <c r="C26" i="44"/>
  <c r="C27" i="44"/>
  <c r="C28" i="44"/>
  <c r="C29" i="44"/>
  <c r="C30" i="44"/>
  <c r="C31" i="44"/>
  <c r="C32" i="44"/>
  <c r="C33" i="44"/>
  <c r="C34" i="44"/>
  <c r="C35" i="44"/>
  <c r="A36" i="44"/>
  <c r="A35" i="44"/>
  <c r="A34" i="44"/>
  <c r="A33" i="44"/>
  <c r="A32" i="44"/>
  <c r="A31" i="44"/>
  <c r="A30" i="44"/>
  <c r="A29" i="44"/>
  <c r="A28" i="44"/>
  <c r="A27" i="44"/>
  <c r="A26" i="44"/>
  <c r="A25" i="44"/>
  <c r="A24" i="44"/>
  <c r="A23" i="44"/>
  <c r="A22" i="44"/>
  <c r="A21" i="44"/>
  <c r="A20" i="44"/>
  <c r="A19" i="44"/>
  <c r="A18" i="44"/>
  <c r="A17" i="44"/>
  <c r="A16" i="44"/>
  <c r="A15" i="44"/>
  <c r="A14" i="44"/>
  <c r="A13" i="44"/>
  <c r="A12" i="44"/>
  <c r="A11" i="44"/>
  <c r="A10" i="44"/>
  <c r="A9" i="44"/>
  <c r="A8" i="44"/>
  <c r="A7" i="44"/>
  <c r="A6" i="44"/>
  <c r="D49" i="43"/>
  <c r="C49" i="43"/>
  <c r="C47" i="43"/>
  <c r="C50" i="43"/>
  <c r="C46" i="43"/>
  <c r="D52" i="43"/>
  <c r="B49" i="43"/>
  <c r="C8" i="43"/>
  <c r="C9" i="43"/>
  <c r="C10" i="43"/>
  <c r="C11" i="43"/>
  <c r="C12" i="43"/>
  <c r="C13" i="43"/>
  <c r="C14" i="43"/>
  <c r="C15" i="43"/>
  <c r="C16" i="43"/>
  <c r="C17" i="43"/>
  <c r="C18" i="43"/>
  <c r="C19" i="43"/>
  <c r="C20" i="43"/>
  <c r="C21" i="43"/>
  <c r="C22" i="43"/>
  <c r="C23" i="43"/>
  <c r="C24" i="43"/>
  <c r="C25" i="43"/>
  <c r="C26" i="43"/>
  <c r="C27" i="43"/>
  <c r="C28" i="43"/>
  <c r="C29" i="43"/>
  <c r="C30" i="43"/>
  <c r="C31" i="43"/>
  <c r="C32" i="43"/>
  <c r="C33" i="43"/>
  <c r="C34" i="43"/>
  <c r="C35" i="43"/>
  <c r="A36" i="43"/>
  <c r="A35" i="43"/>
  <c r="A34" i="43"/>
  <c r="A33" i="43"/>
  <c r="A32" i="43"/>
  <c r="A31" i="43"/>
  <c r="A30" i="43"/>
  <c r="A29" i="43"/>
  <c r="A28" i="43"/>
  <c r="A27" i="43"/>
  <c r="A26" i="43"/>
  <c r="A25" i="43"/>
  <c r="A24" i="43"/>
  <c r="A23" i="43"/>
  <c r="A22" i="43"/>
  <c r="A21" i="43"/>
  <c r="A20" i="43"/>
  <c r="A19" i="43"/>
  <c r="A18" i="43"/>
  <c r="A17" i="43"/>
  <c r="A16" i="43"/>
  <c r="A15" i="43"/>
  <c r="A14" i="43"/>
  <c r="A13" i="43"/>
  <c r="A12" i="43"/>
  <c r="A11" i="43"/>
  <c r="A10" i="43"/>
  <c r="A9" i="43"/>
  <c r="A8" i="43"/>
  <c r="A7" i="43"/>
  <c r="A6" i="43"/>
  <c r="D49" i="42"/>
  <c r="C49" i="42"/>
  <c r="C50" i="42"/>
  <c r="C46" i="42"/>
  <c r="D52" i="42"/>
  <c r="B49" i="42"/>
  <c r="C8" i="42"/>
  <c r="C9" i="42"/>
  <c r="C10" i="42"/>
  <c r="C11" i="42"/>
  <c r="C12" i="42"/>
  <c r="C13" i="42"/>
  <c r="C14" i="42"/>
  <c r="C16" i="42"/>
  <c r="C17" i="42"/>
  <c r="C15" i="42"/>
  <c r="C18" i="42"/>
  <c r="C19" i="42"/>
  <c r="C20" i="42"/>
  <c r="C21" i="42"/>
  <c r="C22" i="42"/>
  <c r="C23" i="42"/>
  <c r="C24" i="42"/>
  <c r="C25" i="42"/>
  <c r="C26" i="42"/>
  <c r="C27" i="42"/>
  <c r="C28" i="42"/>
  <c r="C29" i="42"/>
  <c r="C30" i="42"/>
  <c r="C31" i="42"/>
  <c r="C32" i="42"/>
  <c r="C33" i="42"/>
  <c r="C34" i="42"/>
  <c r="C35" i="42"/>
  <c r="C37" i="42"/>
  <c r="C36" i="42"/>
  <c r="A36" i="42"/>
  <c r="A35" i="42"/>
  <c r="A34" i="42"/>
  <c r="A33" i="42"/>
  <c r="A32" i="42"/>
  <c r="A31" i="42"/>
  <c r="A30" i="42"/>
  <c r="A29" i="42"/>
  <c r="A28" i="42"/>
  <c r="F27" i="42"/>
  <c r="A27" i="42"/>
  <c r="A26" i="42"/>
  <c r="A25" i="42"/>
  <c r="A24" i="42"/>
  <c r="A23" i="42"/>
  <c r="A22" i="42"/>
  <c r="A21" i="42"/>
  <c r="F20" i="42"/>
  <c r="A20" i="42"/>
  <c r="A19" i="42"/>
  <c r="A18" i="42"/>
  <c r="A17" i="42"/>
  <c r="A16" i="42"/>
  <c r="A15" i="42"/>
  <c r="A14" i="42"/>
  <c r="F13" i="42"/>
  <c r="A13" i="42"/>
  <c r="A12" i="42"/>
  <c r="A11" i="42"/>
  <c r="A10" i="42"/>
  <c r="A9" i="42"/>
  <c r="A8" i="42"/>
  <c r="A7" i="42"/>
  <c r="F6" i="42"/>
  <c r="A6" i="42"/>
  <c r="D49" i="41"/>
  <c r="C49" i="41"/>
  <c r="C50" i="41"/>
  <c r="D52" i="41"/>
  <c r="B49" i="41"/>
  <c r="C8" i="41"/>
  <c r="C9" i="41"/>
  <c r="C10" i="41"/>
  <c r="C11" i="41"/>
  <c r="C12" i="41"/>
  <c r="C13" i="41"/>
  <c r="C14" i="41"/>
  <c r="C15" i="41"/>
  <c r="C16" i="41"/>
  <c r="C17" i="41"/>
  <c r="C18" i="41"/>
  <c r="C19" i="41"/>
  <c r="C20" i="41"/>
  <c r="C21" i="41"/>
  <c r="C22" i="41"/>
  <c r="C23" i="41"/>
  <c r="C24" i="41"/>
  <c r="C25" i="41"/>
  <c r="C26" i="41"/>
  <c r="C27" i="41"/>
  <c r="C28" i="41"/>
  <c r="C29" i="41"/>
  <c r="C30" i="41"/>
  <c r="C31" i="41"/>
  <c r="C32" i="41"/>
  <c r="C33" i="41"/>
  <c r="C34" i="41"/>
  <c r="C35" i="41"/>
  <c r="A36" i="41"/>
  <c r="A35" i="41"/>
  <c r="A34" i="41"/>
  <c r="A33" i="41"/>
  <c r="A32" i="41"/>
  <c r="A31" i="41"/>
  <c r="A30" i="41"/>
  <c r="A29" i="41"/>
  <c r="A28" i="41"/>
  <c r="F27" i="41"/>
  <c r="A27" i="41"/>
  <c r="A26" i="41"/>
  <c r="A25" i="41"/>
  <c r="A24" i="41"/>
  <c r="A23" i="41"/>
  <c r="A22" i="41"/>
  <c r="A21" i="41"/>
  <c r="F20" i="41"/>
  <c r="A20" i="41"/>
  <c r="A19" i="41"/>
  <c r="A18" i="41"/>
  <c r="A17" i="41"/>
  <c r="A16" i="41"/>
  <c r="A15" i="41"/>
  <c r="A14" i="41"/>
  <c r="F13" i="41"/>
  <c r="A13" i="41"/>
  <c r="A12" i="41"/>
  <c r="A11" i="41"/>
  <c r="A10" i="41"/>
  <c r="A9" i="41"/>
  <c r="A8" i="41"/>
  <c r="A7" i="41"/>
  <c r="F6" i="41"/>
  <c r="A6" i="41"/>
  <c r="D49" i="40"/>
  <c r="C49" i="40"/>
  <c r="C47" i="40"/>
  <c r="C50" i="40"/>
  <c r="D52" i="40"/>
  <c r="B49" i="40"/>
  <c r="C40" i="40"/>
  <c r="C41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D49" i="39"/>
  <c r="C49" i="39"/>
  <c r="C50" i="39"/>
  <c r="D52" i="39"/>
  <c r="B49" i="39"/>
  <c r="C40" i="39"/>
  <c r="C41" i="39"/>
  <c r="C43" i="39"/>
  <c r="C42" i="39"/>
  <c r="A36" i="39"/>
  <c r="A35" i="39"/>
  <c r="A34" i="39"/>
  <c r="A33" i="39"/>
  <c r="A32" i="39"/>
  <c r="A31" i="39"/>
  <c r="A30" i="39"/>
  <c r="A29" i="39"/>
  <c r="A28" i="39"/>
  <c r="E27" i="39"/>
  <c r="A27" i="39"/>
  <c r="A26" i="39"/>
  <c r="A25" i="39"/>
  <c r="A24" i="39"/>
  <c r="A23" i="39"/>
  <c r="A22" i="39"/>
  <c r="A21" i="39"/>
  <c r="E20" i="39"/>
  <c r="A20" i="39"/>
  <c r="A19" i="39"/>
  <c r="A18" i="39"/>
  <c r="A17" i="39"/>
  <c r="A16" i="39"/>
  <c r="A15" i="39"/>
  <c r="A14" i="39"/>
  <c r="E13" i="39"/>
  <c r="A13" i="39"/>
  <c r="A12" i="39"/>
  <c r="A11" i="39"/>
  <c r="A10" i="39"/>
  <c r="A9" i="39"/>
  <c r="A8" i="39"/>
  <c r="A7" i="39"/>
  <c r="E6" i="39"/>
  <c r="A6" i="39"/>
  <c r="D49" i="38"/>
  <c r="C49" i="38"/>
  <c r="C47" i="38"/>
  <c r="C50" i="38"/>
  <c r="D52" i="38"/>
  <c r="B49" i="38"/>
  <c r="C8" i="38"/>
  <c r="C9" i="38"/>
  <c r="C10" i="38"/>
  <c r="C11" i="38"/>
  <c r="C12" i="38"/>
  <c r="C13" i="38"/>
  <c r="C14" i="38"/>
  <c r="C15" i="38"/>
  <c r="C16" i="38"/>
  <c r="C17" i="38"/>
  <c r="C18" i="38"/>
  <c r="C19" i="38"/>
  <c r="C20" i="38"/>
  <c r="C21" i="38"/>
  <c r="C22" i="38"/>
  <c r="C23" i="38"/>
  <c r="C24" i="38"/>
  <c r="C25" i="38"/>
  <c r="C26" i="38"/>
  <c r="C27" i="38"/>
  <c r="C28" i="38"/>
  <c r="C29" i="38"/>
  <c r="C30" i="38"/>
  <c r="C31" i="38"/>
  <c r="C32" i="38"/>
  <c r="C33" i="38"/>
  <c r="F27" i="38"/>
  <c r="C34" i="38"/>
  <c r="C35" i="38"/>
  <c r="A36" i="38"/>
  <c r="A35" i="38"/>
  <c r="A34" i="38"/>
  <c r="A33" i="38"/>
  <c r="A32" i="38"/>
  <c r="A31" i="38"/>
  <c r="A30" i="38"/>
  <c r="A29" i="38"/>
  <c r="A28" i="38"/>
  <c r="A27" i="38"/>
  <c r="A26" i="38"/>
  <c r="A25" i="38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A6" i="38"/>
  <c r="D49" i="37"/>
  <c r="C49" i="37"/>
  <c r="C50" i="37"/>
  <c r="D52" i="37"/>
  <c r="B49" i="37"/>
  <c r="C40" i="37"/>
  <c r="C43" i="37"/>
  <c r="A36" i="37"/>
  <c r="A35" i="37"/>
  <c r="A34" i="37"/>
  <c r="A33" i="37"/>
  <c r="A32" i="37"/>
  <c r="A31" i="37"/>
  <c r="A30" i="37"/>
  <c r="A29" i="37"/>
  <c r="A28" i="37"/>
  <c r="F27" i="37"/>
  <c r="A27" i="37"/>
  <c r="A26" i="37"/>
  <c r="A25" i="37"/>
  <c r="A24" i="37"/>
  <c r="A23" i="37"/>
  <c r="A22" i="37"/>
  <c r="A21" i="37"/>
  <c r="F20" i="37"/>
  <c r="A20" i="37"/>
  <c r="A19" i="37"/>
  <c r="A18" i="37"/>
  <c r="A17" i="37"/>
  <c r="A16" i="37"/>
  <c r="A15" i="37"/>
  <c r="A14" i="37"/>
  <c r="F13" i="37"/>
  <c r="A13" i="37"/>
  <c r="A12" i="37"/>
  <c r="A11" i="37"/>
  <c r="A10" i="37"/>
  <c r="A9" i="37"/>
  <c r="A8" i="37"/>
  <c r="A7" i="37"/>
  <c r="F6" i="37"/>
  <c r="A6" i="37"/>
  <c r="D49" i="36"/>
  <c r="C49" i="36"/>
  <c r="C50" i="36"/>
  <c r="C46" i="36"/>
  <c r="D52" i="36"/>
  <c r="B49" i="36"/>
  <c r="C40" i="36"/>
  <c r="C43" i="36"/>
  <c r="C42" i="36"/>
  <c r="C41" i="36"/>
  <c r="A36" i="36"/>
  <c r="A35" i="36"/>
  <c r="A34" i="36"/>
  <c r="A33" i="36"/>
  <c r="A32" i="36"/>
  <c r="A31" i="36"/>
  <c r="A30" i="36"/>
  <c r="A29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D49" i="35"/>
  <c r="C49" i="35"/>
  <c r="C50" i="35"/>
  <c r="C46" i="35"/>
  <c r="D52" i="35"/>
  <c r="B49" i="35"/>
  <c r="C40" i="35"/>
  <c r="C43" i="35"/>
  <c r="A36" i="35"/>
  <c r="A35" i="35"/>
  <c r="A34" i="35"/>
  <c r="A33" i="35"/>
  <c r="A32" i="35"/>
  <c r="A31" i="35"/>
  <c r="A30" i="35"/>
  <c r="A29" i="35"/>
  <c r="A28" i="35"/>
  <c r="A27" i="35"/>
  <c r="A26" i="35"/>
  <c r="A25" i="35"/>
  <c r="A24" i="35"/>
  <c r="A23" i="35"/>
  <c r="A22" i="35"/>
  <c r="A21" i="35"/>
  <c r="A20" i="35"/>
  <c r="A19" i="35"/>
  <c r="A18" i="35"/>
  <c r="A17" i="35"/>
  <c r="A16" i="35"/>
  <c r="A15" i="35"/>
  <c r="A14" i="35"/>
  <c r="A13" i="35"/>
  <c r="A12" i="35"/>
  <c r="A11" i="35"/>
  <c r="A10" i="35"/>
  <c r="A9" i="35"/>
  <c r="A8" i="35"/>
  <c r="A7" i="35"/>
  <c r="A6" i="35"/>
  <c r="D49" i="34"/>
  <c r="C49" i="34"/>
  <c r="C50" i="34"/>
  <c r="C46" i="34"/>
  <c r="D52" i="34"/>
  <c r="B49" i="34"/>
  <c r="C40" i="34"/>
  <c r="C43" i="34"/>
  <c r="C42" i="34"/>
  <c r="C41" i="34"/>
  <c r="A36" i="34"/>
  <c r="A35" i="34"/>
  <c r="A34" i="34"/>
  <c r="A33" i="34"/>
  <c r="A32" i="34"/>
  <c r="A31" i="34"/>
  <c r="A30" i="34"/>
  <c r="A29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D49" i="33"/>
  <c r="C49" i="33"/>
  <c r="C50" i="33"/>
  <c r="D52" i="33"/>
  <c r="B49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A36" i="33"/>
  <c r="A35" i="33"/>
  <c r="A34" i="33"/>
  <c r="A33" i="33"/>
  <c r="A32" i="33"/>
  <c r="A31" i="33"/>
  <c r="A30" i="33"/>
  <c r="A29" i="33"/>
  <c r="A28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D49" i="32"/>
  <c r="C49" i="32"/>
  <c r="C47" i="32"/>
  <c r="C50" i="32"/>
  <c r="D52" i="32"/>
  <c r="B49" i="32"/>
  <c r="C40" i="32"/>
  <c r="C41" i="32"/>
  <c r="C43" i="32"/>
  <c r="C42" i="32"/>
  <c r="A36" i="32"/>
  <c r="A35" i="32"/>
  <c r="A34" i="32"/>
  <c r="A33" i="32"/>
  <c r="A32" i="32"/>
  <c r="A31" i="32"/>
  <c r="A30" i="32"/>
  <c r="A29" i="32"/>
  <c r="A28" i="32"/>
  <c r="E27" i="32"/>
  <c r="A27" i="32"/>
  <c r="A26" i="32"/>
  <c r="A25" i="32"/>
  <c r="A24" i="32"/>
  <c r="A23" i="32"/>
  <c r="A22" i="32"/>
  <c r="A21" i="32"/>
  <c r="E20" i="32"/>
  <c r="A20" i="32"/>
  <c r="A19" i="32"/>
  <c r="A18" i="32"/>
  <c r="A17" i="32"/>
  <c r="A16" i="32"/>
  <c r="A15" i="32"/>
  <c r="A14" i="32"/>
  <c r="E13" i="32"/>
  <c r="A13" i="32"/>
  <c r="A12" i="32"/>
  <c r="A11" i="32"/>
  <c r="A10" i="32"/>
  <c r="A9" i="32"/>
  <c r="A8" i="32"/>
  <c r="A7" i="32"/>
  <c r="A6" i="32"/>
  <c r="D49" i="31"/>
  <c r="C49" i="31"/>
  <c r="C50" i="31"/>
  <c r="C46" i="31"/>
  <c r="D52" i="31"/>
  <c r="B49" i="31"/>
  <c r="C40" i="31"/>
  <c r="C43" i="31"/>
  <c r="A36" i="31"/>
  <c r="A35" i="31"/>
  <c r="A34" i="31"/>
  <c r="A33" i="31"/>
  <c r="A32" i="31"/>
  <c r="A31" i="31"/>
  <c r="A30" i="31"/>
  <c r="A29" i="31"/>
  <c r="A28" i="31"/>
  <c r="E27" i="31"/>
  <c r="A27" i="31"/>
  <c r="A26" i="31"/>
  <c r="A25" i="31"/>
  <c r="A24" i="31"/>
  <c r="A23" i="31"/>
  <c r="A22" i="31"/>
  <c r="A21" i="31"/>
  <c r="E20" i="31"/>
  <c r="A20" i="31"/>
  <c r="A19" i="31"/>
  <c r="A18" i="31"/>
  <c r="A17" i="31"/>
  <c r="A16" i="31"/>
  <c r="A15" i="31"/>
  <c r="A14" i="31"/>
  <c r="E13" i="31"/>
  <c r="A13" i="31"/>
  <c r="A12" i="31"/>
  <c r="A11" i="31"/>
  <c r="A10" i="31"/>
  <c r="A9" i="31"/>
  <c r="A8" i="31"/>
  <c r="A7" i="31"/>
  <c r="E6" i="31"/>
  <c r="A6" i="31"/>
  <c r="D49" i="30"/>
  <c r="C49" i="30"/>
  <c r="C47" i="30"/>
  <c r="C50" i="30"/>
  <c r="C46" i="30"/>
  <c r="C48" i="30"/>
  <c r="D54" i="30"/>
  <c r="D52" i="30"/>
  <c r="B49" i="30"/>
  <c r="C8" i="30"/>
  <c r="C9" i="30"/>
  <c r="C10" i="30"/>
  <c r="C11" i="30"/>
  <c r="C12" i="30"/>
  <c r="F6" i="30"/>
  <c r="C13" i="30"/>
  <c r="C14" i="30"/>
  <c r="C15" i="30"/>
  <c r="C16" i="30"/>
  <c r="C17" i="30"/>
  <c r="C18" i="30"/>
  <c r="C19" i="30"/>
  <c r="F13" i="30"/>
  <c r="C20" i="30"/>
  <c r="C21" i="30"/>
  <c r="C22" i="30"/>
  <c r="C23" i="30"/>
  <c r="C24" i="30"/>
  <c r="C25" i="30"/>
  <c r="C26" i="30"/>
  <c r="F20" i="30"/>
  <c r="C27" i="30"/>
  <c r="C28" i="30"/>
  <c r="C30" i="30"/>
  <c r="C31" i="30"/>
  <c r="C29" i="30"/>
  <c r="C32" i="30"/>
  <c r="C33" i="30"/>
  <c r="F27" i="30"/>
  <c r="C34" i="30"/>
  <c r="C35" i="30"/>
  <c r="C36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D49" i="29"/>
  <c r="C49" i="29"/>
  <c r="C47" i="29"/>
  <c r="C50" i="29"/>
  <c r="D52" i="29"/>
  <c r="B49" i="29"/>
  <c r="C40" i="29"/>
  <c r="A36" i="29"/>
  <c r="A35" i="29"/>
  <c r="A34" i="29"/>
  <c r="A33" i="29"/>
  <c r="A32" i="29"/>
  <c r="A31" i="29"/>
  <c r="A30" i="29"/>
  <c r="A29" i="29"/>
  <c r="A28" i="29"/>
  <c r="E27" i="29"/>
  <c r="A27" i="29"/>
  <c r="A26" i="29"/>
  <c r="A25" i="29"/>
  <c r="A24" i="29"/>
  <c r="A23" i="29"/>
  <c r="A22" i="29"/>
  <c r="A21" i="29"/>
  <c r="E20" i="29"/>
  <c r="A20" i="29"/>
  <c r="A19" i="29"/>
  <c r="A18" i="29"/>
  <c r="A17" i="29"/>
  <c r="A16" i="29"/>
  <c r="A15" i="29"/>
  <c r="A14" i="29"/>
  <c r="E13" i="29"/>
  <c r="A13" i="29"/>
  <c r="A12" i="29"/>
  <c r="A11" i="29"/>
  <c r="A10" i="29"/>
  <c r="A9" i="29"/>
  <c r="A8" i="29"/>
  <c r="A7" i="29"/>
  <c r="E6" i="29"/>
  <c r="A6" i="29"/>
  <c r="D49" i="28"/>
  <c r="C49" i="28"/>
  <c r="C50" i="28"/>
  <c r="C46" i="28"/>
  <c r="D52" i="28"/>
  <c r="B49" i="28"/>
  <c r="C8" i="28"/>
  <c r="C9" i="28"/>
  <c r="C10" i="28"/>
  <c r="C11" i="28"/>
  <c r="C12" i="28"/>
  <c r="C13" i="28"/>
  <c r="C14" i="28"/>
  <c r="C16" i="28"/>
  <c r="C17" i="28"/>
  <c r="C15" i="28"/>
  <c r="C18" i="28"/>
  <c r="C19" i="28"/>
  <c r="C20" i="28"/>
  <c r="C21" i="28"/>
  <c r="C23" i="28"/>
  <c r="C24" i="28"/>
  <c r="C22" i="28"/>
  <c r="C25" i="28"/>
  <c r="C26" i="28"/>
  <c r="C27" i="28"/>
  <c r="C28" i="28"/>
  <c r="C29" i="28"/>
  <c r="C30" i="28"/>
  <c r="C31" i="28"/>
  <c r="C32" i="28"/>
  <c r="C33" i="28"/>
  <c r="C34" i="28"/>
  <c r="C35" i="28"/>
  <c r="A36" i="28"/>
  <c r="A35" i="28"/>
  <c r="A34" i="28"/>
  <c r="A33" i="28"/>
  <c r="A32" i="28"/>
  <c r="A31" i="28"/>
  <c r="A30" i="28"/>
  <c r="A29" i="28"/>
  <c r="A28" i="28"/>
  <c r="F27" i="28"/>
  <c r="A27" i="28"/>
  <c r="A26" i="28"/>
  <c r="A25" i="28"/>
  <c r="A24" i="28"/>
  <c r="A23" i="28"/>
  <c r="A22" i="28"/>
  <c r="A21" i="28"/>
  <c r="F20" i="28"/>
  <c r="A20" i="28"/>
  <c r="A19" i="28"/>
  <c r="A18" i="28"/>
  <c r="A17" i="28"/>
  <c r="A16" i="28"/>
  <c r="A15" i="28"/>
  <c r="A14" i="28"/>
  <c r="F13" i="28"/>
  <c r="A13" i="28"/>
  <c r="A12" i="28"/>
  <c r="A11" i="28"/>
  <c r="A10" i="28"/>
  <c r="A9" i="28"/>
  <c r="A8" i="28"/>
  <c r="A7" i="28"/>
  <c r="F6" i="28"/>
  <c r="A6" i="28"/>
  <c r="D49" i="27"/>
  <c r="C49" i="27"/>
  <c r="C50" i="27"/>
  <c r="C46" i="27"/>
  <c r="D52" i="27"/>
  <c r="B49" i="27"/>
  <c r="C40" i="27"/>
  <c r="C43" i="27"/>
  <c r="C42" i="27"/>
  <c r="C41" i="27"/>
  <c r="A36" i="27"/>
  <c r="A35" i="27"/>
  <c r="A34" i="27"/>
  <c r="A33" i="27"/>
  <c r="A32" i="27"/>
  <c r="A31" i="27"/>
  <c r="A30" i="27"/>
  <c r="A29" i="27"/>
  <c r="A28" i="27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D49" i="26"/>
  <c r="C49" i="26"/>
  <c r="C47" i="26"/>
  <c r="C50" i="26"/>
  <c r="D52" i="26"/>
  <c r="B49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30" i="26"/>
  <c r="C31" i="26"/>
  <c r="C29" i="26"/>
  <c r="C32" i="26"/>
  <c r="C33" i="26"/>
  <c r="C34" i="26"/>
  <c r="C35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D49" i="25"/>
  <c r="C49" i="25"/>
  <c r="C50" i="25"/>
  <c r="D52" i="25"/>
  <c r="B49" i="25"/>
  <c r="C40" i="25"/>
  <c r="C41" i="25"/>
  <c r="C43" i="25"/>
  <c r="C42" i="25"/>
  <c r="A36" i="25"/>
  <c r="A35" i="25"/>
  <c r="A34" i="25"/>
  <c r="A33" i="25"/>
  <c r="A32" i="25"/>
  <c r="A31" i="25"/>
  <c r="A30" i="25"/>
  <c r="A29" i="25"/>
  <c r="A28" i="25"/>
  <c r="E27" i="25"/>
  <c r="A27" i="25"/>
  <c r="A26" i="25"/>
  <c r="A25" i="25"/>
  <c r="A24" i="25"/>
  <c r="A23" i="25"/>
  <c r="A22" i="25"/>
  <c r="A21" i="25"/>
  <c r="E20" i="25"/>
  <c r="A20" i="25"/>
  <c r="A19" i="25"/>
  <c r="A18" i="25"/>
  <c r="A17" i="25"/>
  <c r="A16" i="25"/>
  <c r="A15" i="25"/>
  <c r="A14" i="25"/>
  <c r="E13" i="25"/>
  <c r="A13" i="25"/>
  <c r="A12" i="25"/>
  <c r="A11" i="25"/>
  <c r="A10" i="25"/>
  <c r="A9" i="25"/>
  <c r="A8" i="25"/>
  <c r="A7" i="25"/>
  <c r="E6" i="25"/>
  <c r="A6" i="25"/>
  <c r="D49" i="24"/>
  <c r="C49" i="24"/>
  <c r="C47" i="24"/>
  <c r="C50" i="24"/>
  <c r="D52" i="24"/>
  <c r="B49" i="24"/>
  <c r="C8" i="24"/>
  <c r="C9" i="24"/>
  <c r="C10" i="24"/>
  <c r="C11" i="24"/>
  <c r="C12" i="24"/>
  <c r="C13" i="24"/>
  <c r="C14" i="24"/>
  <c r="C16" i="24"/>
  <c r="C17" i="24"/>
  <c r="C15" i="24"/>
  <c r="C18" i="24"/>
  <c r="C19" i="24"/>
  <c r="C20" i="24"/>
  <c r="C21" i="24"/>
  <c r="C23" i="24"/>
  <c r="C24" i="24"/>
  <c r="C22" i="24"/>
  <c r="C25" i="24"/>
  <c r="C26" i="24"/>
  <c r="C27" i="24"/>
  <c r="C28" i="24"/>
  <c r="C30" i="24"/>
  <c r="C31" i="24"/>
  <c r="C29" i="24"/>
  <c r="C32" i="24"/>
  <c r="C33" i="24"/>
  <c r="C34" i="24"/>
  <c r="C35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D49" i="23"/>
  <c r="C49" i="23"/>
  <c r="C50" i="23"/>
  <c r="D52" i="23"/>
  <c r="B49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F20" i="23"/>
  <c r="C27" i="23"/>
  <c r="C28" i="23"/>
  <c r="C29" i="23"/>
  <c r="C30" i="23"/>
  <c r="C31" i="23"/>
  <c r="C32" i="23"/>
  <c r="C33" i="23"/>
  <c r="F27" i="23"/>
  <c r="C34" i="23"/>
  <c r="C35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D49" i="22"/>
  <c r="C49" i="22"/>
  <c r="C47" i="22"/>
  <c r="C50" i="22"/>
  <c r="C46" i="22"/>
  <c r="D53" i="22"/>
  <c r="D52" i="22"/>
  <c r="B49" i="22"/>
  <c r="C40" i="22"/>
  <c r="C41" i="22"/>
  <c r="A36" i="22"/>
  <c r="A35" i="22"/>
  <c r="A34" i="22"/>
  <c r="A33" i="22"/>
  <c r="A32" i="22"/>
  <c r="A31" i="22"/>
  <c r="A30" i="22"/>
  <c r="A29" i="22"/>
  <c r="A28" i="22"/>
  <c r="E27" i="22"/>
  <c r="A27" i="22"/>
  <c r="A26" i="22"/>
  <c r="A25" i="22"/>
  <c r="A24" i="22"/>
  <c r="A23" i="22"/>
  <c r="A22" i="22"/>
  <c r="A21" i="22"/>
  <c r="E20" i="22"/>
  <c r="A20" i="22"/>
  <c r="A19" i="22"/>
  <c r="A18" i="22"/>
  <c r="A17" i="22"/>
  <c r="A16" i="22"/>
  <c r="A15" i="22"/>
  <c r="A14" i="22"/>
  <c r="E13" i="22"/>
  <c r="A13" i="22"/>
  <c r="A12" i="22"/>
  <c r="A11" i="22"/>
  <c r="A10" i="22"/>
  <c r="A9" i="22"/>
  <c r="A8" i="22"/>
  <c r="A7" i="22"/>
  <c r="E6" i="22"/>
  <c r="A6" i="22"/>
  <c r="D49" i="21"/>
  <c r="C49" i="21"/>
  <c r="C47" i="21"/>
  <c r="C50" i="21"/>
  <c r="D52" i="21"/>
  <c r="B49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A36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D49" i="20"/>
  <c r="C49" i="20"/>
  <c r="C47" i="20"/>
  <c r="C50" i="20"/>
  <c r="C46" i="20"/>
  <c r="D52" i="20"/>
  <c r="B49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30" i="20"/>
  <c r="C31" i="20"/>
  <c r="C32" i="20"/>
  <c r="C33" i="20"/>
  <c r="C34" i="20"/>
  <c r="C35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D49" i="19"/>
  <c r="C49" i="19"/>
  <c r="C50" i="19"/>
  <c r="C46" i="19"/>
  <c r="D52" i="19"/>
  <c r="B49" i="19"/>
  <c r="F6" i="19"/>
  <c r="F13" i="19"/>
  <c r="F20" i="19"/>
  <c r="F27" i="19"/>
  <c r="C40" i="19"/>
  <c r="C41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D49" i="18"/>
  <c r="C49" i="18"/>
  <c r="C50" i="18"/>
  <c r="D52" i="18"/>
  <c r="B49" i="18"/>
  <c r="C8" i="18"/>
  <c r="C9" i="18"/>
  <c r="C10" i="18"/>
  <c r="C11" i="18"/>
  <c r="C12" i="18"/>
  <c r="F6" i="18"/>
  <c r="C13" i="18"/>
  <c r="C14" i="18"/>
  <c r="C15" i="18"/>
  <c r="C16" i="18"/>
  <c r="C17" i="18"/>
  <c r="C18" i="18"/>
  <c r="C19" i="18"/>
  <c r="F13" i="18"/>
  <c r="C20" i="18"/>
  <c r="C21" i="18"/>
  <c r="C22" i="18"/>
  <c r="C23" i="18"/>
  <c r="C24" i="18"/>
  <c r="C25" i="18"/>
  <c r="C26" i="18"/>
  <c r="F20" i="18"/>
  <c r="C27" i="18"/>
  <c r="C28" i="18"/>
  <c r="C29" i="18"/>
  <c r="C30" i="18"/>
  <c r="C31" i="18"/>
  <c r="C32" i="18"/>
  <c r="C33" i="18"/>
  <c r="F27" i="18"/>
  <c r="C34" i="18"/>
  <c r="C35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D49" i="17"/>
  <c r="C49" i="17"/>
  <c r="C47" i="17"/>
  <c r="C50" i="17"/>
  <c r="D52" i="17"/>
  <c r="B49" i="17"/>
  <c r="C40" i="17"/>
  <c r="C43" i="17"/>
  <c r="C42" i="17"/>
  <c r="C41" i="17"/>
  <c r="A36" i="17"/>
  <c r="A35" i="17"/>
  <c r="A34" i="17"/>
  <c r="A33" i="17"/>
  <c r="A32" i="17"/>
  <c r="A31" i="17"/>
  <c r="A30" i="17"/>
  <c r="A29" i="17"/>
  <c r="A28" i="17"/>
  <c r="F27" i="17"/>
  <c r="A27" i="17"/>
  <c r="A26" i="17"/>
  <c r="A25" i="17"/>
  <c r="A24" i="17"/>
  <c r="A23" i="17"/>
  <c r="A22" i="17"/>
  <c r="A21" i="17"/>
  <c r="F20" i="17"/>
  <c r="A20" i="17"/>
  <c r="A19" i="17"/>
  <c r="A18" i="17"/>
  <c r="A17" i="17"/>
  <c r="A16" i="17"/>
  <c r="A15" i="17"/>
  <c r="A14" i="17"/>
  <c r="F13" i="17"/>
  <c r="A13" i="17"/>
  <c r="A12" i="17"/>
  <c r="A11" i="17"/>
  <c r="A10" i="17"/>
  <c r="A9" i="17"/>
  <c r="A8" i="17"/>
  <c r="A7" i="17"/>
  <c r="F6" i="17"/>
  <c r="A6" i="17"/>
  <c r="D49" i="16"/>
  <c r="C49" i="16"/>
  <c r="C47" i="16"/>
  <c r="C50" i="16"/>
  <c r="C46" i="16"/>
  <c r="D52" i="16"/>
  <c r="B49" i="16"/>
  <c r="C40" i="16"/>
  <c r="C42" i="16"/>
  <c r="C43" i="16"/>
  <c r="A36" i="16"/>
  <c r="A35" i="16"/>
  <c r="A34" i="16"/>
  <c r="A33" i="16"/>
  <c r="A32" i="16"/>
  <c r="A31" i="16"/>
  <c r="A30" i="16"/>
  <c r="A29" i="16"/>
  <c r="A28" i="16"/>
  <c r="F27" i="16"/>
  <c r="A27" i="16"/>
  <c r="A26" i="16"/>
  <c r="A25" i="16"/>
  <c r="A24" i="16"/>
  <c r="A23" i="16"/>
  <c r="A22" i="16"/>
  <c r="A21" i="16"/>
  <c r="F20" i="16"/>
  <c r="A20" i="16"/>
  <c r="A19" i="16"/>
  <c r="A18" i="16"/>
  <c r="A17" i="16"/>
  <c r="A16" i="16"/>
  <c r="A15" i="16"/>
  <c r="A14" i="16"/>
  <c r="F13" i="16"/>
  <c r="A13" i="16"/>
  <c r="A12" i="16"/>
  <c r="A11" i="16"/>
  <c r="A10" i="16"/>
  <c r="A9" i="16"/>
  <c r="A8" i="16"/>
  <c r="A7" i="16"/>
  <c r="F6" i="16"/>
  <c r="A6" i="16"/>
  <c r="D49" i="15"/>
  <c r="C49" i="15"/>
  <c r="C50" i="15"/>
  <c r="C46" i="15"/>
  <c r="D52" i="15"/>
  <c r="B49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D49" i="14"/>
  <c r="C49" i="14"/>
  <c r="C47" i="14"/>
  <c r="C50" i="14"/>
  <c r="D52" i="14"/>
  <c r="B49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3" i="14"/>
  <c r="C24" i="14"/>
  <c r="C22" i="14"/>
  <c r="C25" i="14"/>
  <c r="C26" i="14"/>
  <c r="C27" i="14"/>
  <c r="C28" i="14"/>
  <c r="C30" i="14"/>
  <c r="C31" i="14"/>
  <c r="C29" i="14"/>
  <c r="C32" i="14"/>
  <c r="C33" i="14"/>
  <c r="C34" i="14"/>
  <c r="C35" i="14"/>
  <c r="C36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D49" i="13"/>
  <c r="C49" i="13"/>
  <c r="C50" i="13"/>
  <c r="C46" i="13"/>
  <c r="D52" i="13"/>
  <c r="B49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E49" i="12"/>
  <c r="C49" i="12"/>
  <c r="C50" i="12"/>
  <c r="E52" i="12"/>
  <c r="B49" i="12"/>
  <c r="F36" i="12"/>
  <c r="C36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D49" i="11"/>
  <c r="C49" i="11"/>
  <c r="C50" i="11"/>
  <c r="C46" i="11"/>
  <c r="D52" i="11"/>
  <c r="B49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D49" i="10"/>
  <c r="C49" i="10"/>
  <c r="C50" i="10"/>
  <c r="D52" i="10"/>
  <c r="B49" i="10"/>
  <c r="C40" i="10"/>
  <c r="C41" i="10"/>
  <c r="C43" i="10"/>
  <c r="C42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D49" i="9"/>
  <c r="C49" i="9"/>
  <c r="C50" i="9"/>
  <c r="C46" i="9"/>
  <c r="D52" i="9"/>
  <c r="B49" i="9"/>
  <c r="C36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D49" i="8"/>
  <c r="C49" i="8"/>
  <c r="C50" i="8"/>
  <c r="C46" i="8"/>
  <c r="D52" i="8"/>
  <c r="B49" i="8"/>
  <c r="C40" i="8"/>
  <c r="C42" i="8"/>
  <c r="C43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D49" i="7"/>
  <c r="C49" i="7"/>
  <c r="C47" i="7"/>
  <c r="C50" i="7"/>
  <c r="D52" i="7"/>
  <c r="B49" i="7"/>
  <c r="C40" i="7"/>
  <c r="C43" i="7"/>
  <c r="C42" i="7"/>
  <c r="C41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D49" i="6"/>
  <c r="C49" i="6"/>
  <c r="C50" i="6"/>
  <c r="C46" i="6"/>
  <c r="D52" i="6"/>
  <c r="B49" i="6"/>
  <c r="C40" i="6"/>
  <c r="C42" i="6"/>
  <c r="C43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D49" i="5"/>
  <c r="C49" i="5"/>
  <c r="C47" i="5"/>
  <c r="C50" i="5"/>
  <c r="D52" i="5"/>
  <c r="B49" i="5"/>
  <c r="C40" i="5"/>
  <c r="C43" i="5"/>
  <c r="C42" i="5"/>
  <c r="C41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D49" i="4"/>
  <c r="C49" i="4"/>
  <c r="C50" i="4"/>
  <c r="D52" i="4"/>
  <c r="B49" i="4"/>
  <c r="C40" i="4"/>
  <c r="C42" i="4"/>
  <c r="C43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D49" i="3"/>
  <c r="C49" i="3"/>
  <c r="C47" i="3"/>
  <c r="C50" i="3"/>
  <c r="C46" i="3"/>
  <c r="C48" i="3"/>
  <c r="D54" i="3"/>
  <c r="D52" i="3"/>
  <c r="B49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D49" i="2"/>
  <c r="C49" i="2"/>
  <c r="C47" i="2"/>
  <c r="C50" i="2"/>
  <c r="C46" i="2"/>
  <c r="D52" i="2"/>
  <c r="B49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D49" i="1"/>
  <c r="C49" i="1"/>
  <c r="C47" i="1"/>
  <c r="C50" i="1"/>
  <c r="D52" i="1"/>
  <c r="B49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C46" i="5"/>
  <c r="C48" i="5"/>
  <c r="C47" i="10"/>
  <c r="C47" i="12"/>
  <c r="C46" i="14"/>
  <c r="D53" i="14"/>
  <c r="C47" i="15"/>
  <c r="D53" i="20"/>
  <c r="C47" i="27"/>
  <c r="C48" i="27"/>
  <c r="C47" i="35"/>
  <c r="C46" i="37"/>
  <c r="C46" i="55"/>
  <c r="C46" i="4"/>
  <c r="C46" i="7"/>
  <c r="C48" i="7"/>
  <c r="C47" i="9"/>
  <c r="C47" i="11"/>
  <c r="C46" i="23"/>
  <c r="C47" i="33"/>
  <c r="C46" i="33"/>
  <c r="C48" i="33"/>
  <c r="D54" i="33"/>
  <c r="C48" i="43"/>
  <c r="D54" i="43"/>
  <c r="C46" i="47"/>
  <c r="D53" i="47"/>
  <c r="C46" i="24"/>
  <c r="C47" i="31"/>
  <c r="C46" i="32"/>
  <c r="C47" i="41"/>
  <c r="C46" i="46"/>
  <c r="C46" i="53"/>
  <c r="C48" i="16"/>
  <c r="D54" i="16"/>
  <c r="C46" i="50"/>
  <c r="C48" i="47"/>
  <c r="D54" i="47"/>
  <c r="D53" i="3"/>
  <c r="C47" i="4"/>
  <c r="C48" i="4"/>
  <c r="D54" i="4"/>
  <c r="D53" i="5"/>
  <c r="C47" i="6"/>
  <c r="C48" i="6"/>
  <c r="C47" i="8"/>
  <c r="C48" i="8"/>
  <c r="D54" i="8"/>
  <c r="C46" i="10"/>
  <c r="D53" i="10"/>
  <c r="C47" i="13"/>
  <c r="C48" i="13"/>
  <c r="D54" i="13"/>
  <c r="C46" i="18"/>
  <c r="C47" i="19"/>
  <c r="C48" i="19"/>
  <c r="D54" i="19"/>
  <c r="C47" i="23"/>
  <c r="C48" i="23"/>
  <c r="D54" i="23"/>
  <c r="C46" i="25"/>
  <c r="C46" i="26"/>
  <c r="D53" i="26"/>
  <c r="C46" i="38"/>
  <c r="D53" i="38"/>
  <c r="C47" i="49"/>
  <c r="C48" i="49"/>
  <c r="D54" i="49"/>
  <c r="C47" i="55"/>
  <c r="C48" i="55"/>
  <c r="D53" i="9"/>
  <c r="D53" i="2"/>
  <c r="C46" i="12"/>
  <c r="E53" i="12"/>
  <c r="C46" i="17"/>
  <c r="D53" i="17"/>
  <c r="C47" i="18"/>
  <c r="C46" i="29"/>
  <c r="D53" i="29"/>
  <c r="C48" i="32"/>
  <c r="C47" i="37"/>
  <c r="C48" i="37"/>
  <c r="C46" i="39"/>
  <c r="C47" i="50"/>
  <c r="C47" i="53"/>
  <c r="C48" i="53"/>
  <c r="D54" i="53"/>
  <c r="C46" i="54"/>
  <c r="D53" i="54"/>
  <c r="C46" i="59"/>
  <c r="C48" i="59"/>
  <c r="D54" i="59"/>
  <c r="C48" i="11"/>
  <c r="D54" i="11"/>
  <c r="D53" i="15"/>
  <c r="D53" i="24"/>
  <c r="C46" i="1"/>
  <c r="D53" i="1"/>
  <c r="C48" i="20"/>
  <c r="D54" i="20"/>
  <c r="C48" i="22"/>
  <c r="C48" i="31"/>
  <c r="C48" i="35"/>
  <c r="D54" i="35"/>
  <c r="C46" i="40"/>
  <c r="D53" i="40"/>
  <c r="C46" i="41"/>
  <c r="C48" i="41"/>
  <c r="D54" i="41"/>
  <c r="C46" i="44"/>
  <c r="D53" i="44"/>
  <c r="C47" i="46"/>
  <c r="D53" i="46"/>
  <c r="C48" i="56"/>
  <c r="D54" i="56"/>
  <c r="D53" i="57"/>
  <c r="C48" i="58"/>
  <c r="C46" i="61"/>
  <c r="D53" i="61"/>
  <c r="C44" i="5"/>
  <c r="D54" i="5"/>
  <c r="C40" i="14"/>
  <c r="D54" i="6"/>
  <c r="C44" i="6"/>
  <c r="C48" i="9"/>
  <c r="D54" i="9"/>
  <c r="D53" i="11"/>
  <c r="C48" i="14"/>
  <c r="D54" i="14"/>
  <c r="D53" i="16"/>
  <c r="C40" i="24"/>
  <c r="C40" i="28"/>
  <c r="C40" i="26"/>
  <c r="D53" i="6"/>
  <c r="C48" i="10"/>
  <c r="D53" i="13"/>
  <c r="C48" i="18"/>
  <c r="D54" i="18"/>
  <c r="D53" i="23"/>
  <c r="C44" i="27"/>
  <c r="D54" i="27"/>
  <c r="D54" i="32"/>
  <c r="C44" i="32"/>
  <c r="C44" i="16"/>
  <c r="C48" i="2"/>
  <c r="D54" i="2"/>
  <c r="D53" i="4"/>
  <c r="C48" i="12"/>
  <c r="E54" i="12"/>
  <c r="C48" i="15"/>
  <c r="D54" i="15"/>
  <c r="D54" i="22"/>
  <c r="C44" i="22"/>
  <c r="F6" i="20"/>
  <c r="D53" i="31"/>
  <c r="F20" i="20"/>
  <c r="C43" i="29"/>
  <c r="C42" i="29"/>
  <c r="C40" i="42"/>
  <c r="D53" i="43"/>
  <c r="D54" i="55"/>
  <c r="C44" i="55"/>
  <c r="C37" i="2"/>
  <c r="C42" i="31"/>
  <c r="C41" i="31"/>
  <c r="D53" i="32"/>
  <c r="F13" i="33"/>
  <c r="D53" i="33"/>
  <c r="D53" i="35"/>
  <c r="D53" i="37"/>
  <c r="C47" i="39"/>
  <c r="D53" i="41"/>
  <c r="F27" i="43"/>
  <c r="F6" i="43"/>
  <c r="C48" i="44"/>
  <c r="D54" i="44"/>
  <c r="C47" i="52"/>
  <c r="C46" i="52"/>
  <c r="F27" i="54"/>
  <c r="F20" i="54"/>
  <c r="F6" i="33"/>
  <c r="F27" i="62"/>
  <c r="F20" i="62"/>
  <c r="F13" i="62"/>
  <c r="F6" i="62"/>
  <c r="C47" i="62"/>
  <c r="C48" i="62"/>
  <c r="D54" i="62"/>
  <c r="C41" i="4"/>
  <c r="C41" i="6"/>
  <c r="C41" i="8"/>
  <c r="C41" i="16"/>
  <c r="C42" i="19"/>
  <c r="C42" i="22"/>
  <c r="C48" i="24"/>
  <c r="D54" i="24"/>
  <c r="F13" i="26"/>
  <c r="C48" i="26"/>
  <c r="D54" i="26"/>
  <c r="F27" i="33"/>
  <c r="F20" i="33"/>
  <c r="C42" i="35"/>
  <c r="C41" i="35"/>
  <c r="C42" i="37"/>
  <c r="C41" i="37"/>
  <c r="C43" i="40"/>
  <c r="C42" i="40"/>
  <c r="F13" i="44"/>
  <c r="F27" i="47"/>
  <c r="F20" i="47"/>
  <c r="F6" i="47"/>
  <c r="F20" i="56"/>
  <c r="F13" i="56"/>
  <c r="F6" i="53"/>
  <c r="C40" i="50"/>
  <c r="F6" i="44"/>
  <c r="F27" i="20"/>
  <c r="D54" i="31"/>
  <c r="C44" i="31"/>
  <c r="F20" i="38"/>
  <c r="F6" i="38"/>
  <c r="F13" i="43"/>
  <c r="C43" i="46"/>
  <c r="C42" i="46"/>
  <c r="C41" i="46"/>
  <c r="C48" i="50"/>
  <c r="D54" i="50"/>
  <c r="D53" i="50"/>
  <c r="F20" i="53"/>
  <c r="F13" i="53"/>
  <c r="F13" i="54"/>
  <c r="F6" i="23"/>
  <c r="D53" i="62"/>
  <c r="C47" i="25"/>
  <c r="C48" i="25"/>
  <c r="D53" i="27"/>
  <c r="D54" i="37"/>
  <c r="C44" i="37"/>
  <c r="C48" i="40"/>
  <c r="F20" i="43"/>
  <c r="D53" i="53"/>
  <c r="C37" i="30"/>
  <c r="C43" i="19"/>
  <c r="F13" i="20"/>
  <c r="C46" i="21"/>
  <c r="D53" i="21"/>
  <c r="C43" i="22"/>
  <c r="F13" i="23"/>
  <c r="F27" i="26"/>
  <c r="F20" i="26"/>
  <c r="F6" i="26"/>
  <c r="C47" i="28"/>
  <c r="C48" i="28"/>
  <c r="D54" i="28"/>
  <c r="C41" i="29"/>
  <c r="C48" i="29"/>
  <c r="D53" i="30"/>
  <c r="C47" i="34"/>
  <c r="C48" i="34"/>
  <c r="C47" i="36"/>
  <c r="C48" i="36"/>
  <c r="F13" i="38"/>
  <c r="C47" i="42"/>
  <c r="C48" i="42"/>
  <c r="D54" i="42"/>
  <c r="F27" i="44"/>
  <c r="F20" i="44"/>
  <c r="C47" i="51"/>
  <c r="C46" i="51"/>
  <c r="D53" i="55"/>
  <c r="D53" i="56"/>
  <c r="F6" i="59"/>
  <c r="C47" i="60"/>
  <c r="C46" i="60"/>
  <c r="C48" i="46"/>
  <c r="D54" i="46"/>
  <c r="C47" i="48"/>
  <c r="C46" i="48"/>
  <c r="F20" i="49"/>
  <c r="F13" i="49"/>
  <c r="F27" i="50"/>
  <c r="F20" i="50"/>
  <c r="F13" i="50"/>
  <c r="C48" i="54"/>
  <c r="D54" i="54"/>
  <c r="D54" i="58"/>
  <c r="C44" i="58"/>
  <c r="F27" i="59"/>
  <c r="F20" i="59"/>
  <c r="F13" i="59"/>
  <c r="C37" i="9"/>
  <c r="C47" i="45"/>
  <c r="C46" i="45"/>
  <c r="D53" i="49"/>
  <c r="C48" i="57"/>
  <c r="D53" i="58"/>
  <c r="F6" i="49"/>
  <c r="F27" i="61"/>
  <c r="F13" i="61"/>
  <c r="C37" i="61"/>
  <c r="F6" i="61"/>
  <c r="C42" i="57"/>
  <c r="C44" i="7"/>
  <c r="D54" i="7"/>
  <c r="D53" i="7"/>
  <c r="C48" i="60"/>
  <c r="D54" i="60"/>
  <c r="D53" i="19"/>
  <c r="D53" i="60"/>
  <c r="D53" i="59"/>
  <c r="D53" i="52"/>
  <c r="C44" i="19"/>
  <c r="C44" i="8"/>
  <c r="C44" i="4"/>
  <c r="D53" i="18"/>
  <c r="C48" i="1"/>
  <c r="D54" i="1"/>
  <c r="C44" i="35"/>
  <c r="C48" i="38"/>
  <c r="D54" i="38"/>
  <c r="D53" i="28"/>
  <c r="D53" i="45"/>
  <c r="C48" i="48"/>
  <c r="D54" i="48"/>
  <c r="C44" i="46"/>
  <c r="C48" i="51"/>
  <c r="C44" i="51"/>
  <c r="C48" i="61"/>
  <c r="D54" i="61"/>
  <c r="C48" i="39"/>
  <c r="D53" i="8"/>
  <c r="C44" i="28"/>
  <c r="C48" i="17"/>
  <c r="C40" i="61"/>
  <c r="D54" i="51"/>
  <c r="C40" i="18"/>
  <c r="C44" i="18"/>
  <c r="C48" i="21"/>
  <c r="D54" i="21"/>
  <c r="C40" i="15"/>
  <c r="C44" i="15"/>
  <c r="C48" i="45"/>
  <c r="C40" i="41"/>
  <c r="C44" i="41"/>
  <c r="C44" i="54"/>
  <c r="C40" i="54"/>
  <c r="C44" i="36"/>
  <c r="D54" i="36"/>
  <c r="C40" i="30"/>
  <c r="C44" i="30"/>
  <c r="C40" i="23"/>
  <c r="C44" i="23"/>
  <c r="D53" i="42"/>
  <c r="D53" i="36"/>
  <c r="C40" i="1"/>
  <c r="C40" i="47"/>
  <c r="C44" i="47"/>
  <c r="C44" i="53"/>
  <c r="C40" i="53"/>
  <c r="C41" i="42"/>
  <c r="C42" i="42"/>
  <c r="C43" i="42"/>
  <c r="C42" i="26"/>
  <c r="C41" i="26"/>
  <c r="C43" i="26"/>
  <c r="D53" i="25"/>
  <c r="C44" i="13"/>
  <c r="C40" i="13"/>
  <c r="C40" i="20"/>
  <c r="C44" i="20"/>
  <c r="C44" i="59"/>
  <c r="C40" i="59"/>
  <c r="C44" i="29"/>
  <c r="D54" i="29"/>
  <c r="C40" i="3"/>
  <c r="C44" i="3"/>
  <c r="C44" i="44"/>
  <c r="C40" i="44"/>
  <c r="C40" i="62"/>
  <c r="C44" i="62"/>
  <c r="C40" i="60"/>
  <c r="C44" i="60"/>
  <c r="C40" i="21"/>
  <c r="C44" i="57"/>
  <c r="D54" i="57"/>
  <c r="C44" i="9"/>
  <c r="C40" i="9"/>
  <c r="C44" i="43"/>
  <c r="C40" i="43"/>
  <c r="C44" i="56"/>
  <c r="C40" i="56"/>
  <c r="D54" i="34"/>
  <c r="C44" i="34"/>
  <c r="D54" i="25"/>
  <c r="C44" i="25"/>
  <c r="C43" i="50"/>
  <c r="C42" i="50"/>
  <c r="C41" i="50"/>
  <c r="C44" i="33"/>
  <c r="C40" i="33"/>
  <c r="C48" i="52"/>
  <c r="C44" i="42"/>
  <c r="D53" i="39"/>
  <c r="D54" i="10"/>
  <c r="C44" i="10"/>
  <c r="C44" i="26"/>
  <c r="C44" i="24"/>
  <c r="C44" i="14"/>
  <c r="C44" i="49"/>
  <c r="C40" i="49"/>
  <c r="D54" i="40"/>
  <c r="C44" i="40"/>
  <c r="C44" i="11"/>
  <c r="C40" i="11"/>
  <c r="C44" i="12"/>
  <c r="C40" i="12"/>
  <c r="C44" i="48"/>
  <c r="C40" i="48"/>
  <c r="D53" i="48"/>
  <c r="D53" i="51"/>
  <c r="C40" i="38"/>
  <c r="C44" i="38"/>
  <c r="C44" i="50"/>
  <c r="D54" i="39"/>
  <c r="C44" i="39"/>
  <c r="C44" i="2"/>
  <c r="C40" i="2"/>
  <c r="D53" i="34"/>
  <c r="C41" i="28"/>
  <c r="C42" i="28"/>
  <c r="C43" i="28"/>
  <c r="C43" i="24"/>
  <c r="C42" i="24"/>
  <c r="C41" i="24"/>
  <c r="C43" i="14"/>
  <c r="C42" i="14"/>
  <c r="C41" i="14"/>
  <c r="C44" i="1"/>
  <c r="C44" i="61"/>
  <c r="C44" i="21"/>
  <c r="D54" i="17"/>
  <c r="C44" i="17"/>
  <c r="C41" i="12"/>
  <c r="C43" i="12"/>
  <c r="C42" i="12"/>
  <c r="C42" i="33"/>
  <c r="C41" i="33"/>
  <c r="C43" i="33"/>
  <c r="C41" i="2"/>
  <c r="C43" i="2"/>
  <c r="C42" i="2"/>
  <c r="C42" i="56"/>
  <c r="C41" i="56"/>
  <c r="C43" i="56"/>
  <c r="C43" i="9"/>
  <c r="C41" i="9"/>
  <c r="C42" i="9"/>
  <c r="C43" i="21"/>
  <c r="C42" i="21"/>
  <c r="C41" i="21"/>
  <c r="C43" i="44"/>
  <c r="C42" i="44"/>
  <c r="C41" i="44"/>
  <c r="C42" i="1"/>
  <c r="C43" i="1"/>
  <c r="C41" i="1"/>
  <c r="C42" i="23"/>
  <c r="C41" i="23"/>
  <c r="C43" i="23"/>
  <c r="C43" i="41"/>
  <c r="C42" i="41"/>
  <c r="C41" i="41"/>
  <c r="C43" i="62"/>
  <c r="C42" i="62"/>
  <c r="C41" i="62"/>
  <c r="C42" i="53"/>
  <c r="C41" i="53"/>
  <c r="C43" i="53"/>
  <c r="C43" i="15"/>
  <c r="C42" i="15"/>
  <c r="C41" i="15"/>
  <c r="C41" i="48"/>
  <c r="C43" i="48"/>
  <c r="C42" i="48"/>
  <c r="C42" i="11"/>
  <c r="C41" i="11"/>
  <c r="C43" i="11"/>
  <c r="C42" i="49"/>
  <c r="C41" i="49"/>
  <c r="C43" i="49"/>
  <c r="C43" i="60"/>
  <c r="C42" i="60"/>
  <c r="C41" i="60"/>
  <c r="C42" i="20"/>
  <c r="C43" i="20"/>
  <c r="C41" i="20"/>
  <c r="C43" i="54"/>
  <c r="C42" i="54"/>
  <c r="C41" i="54"/>
  <c r="D54" i="45"/>
  <c r="C44" i="45"/>
  <c r="C42" i="61"/>
  <c r="C41" i="61"/>
  <c r="C43" i="61"/>
  <c r="C43" i="3"/>
  <c r="C42" i="3"/>
  <c r="C41" i="3"/>
  <c r="C43" i="38"/>
  <c r="C42" i="38"/>
  <c r="C41" i="38"/>
  <c r="D54" i="52"/>
  <c r="C44" i="52"/>
  <c r="C42" i="43"/>
  <c r="C41" i="43"/>
  <c r="C43" i="43"/>
  <c r="C43" i="59"/>
  <c r="C42" i="59"/>
  <c r="C41" i="59"/>
  <c r="C42" i="13"/>
  <c r="C41" i="13"/>
  <c r="C43" i="13"/>
  <c r="C43" i="47"/>
  <c r="C42" i="47"/>
  <c r="C41" i="47"/>
  <c r="C43" i="30"/>
  <c r="C42" i="30"/>
  <c r="C41" i="30"/>
  <c r="C43" i="18"/>
  <c r="C42" i="18"/>
  <c r="C41" i="18"/>
</calcChain>
</file>

<file path=xl/sharedStrings.xml><?xml version="1.0" encoding="utf-8"?>
<sst xmlns="http://schemas.openxmlformats.org/spreadsheetml/2006/main" count="1470" uniqueCount="90">
  <si>
    <t>Alphanate Microsite</t>
  </si>
  <si>
    <t>June</t>
  </si>
  <si>
    <t>Day</t>
  </si>
  <si>
    <t>Date</t>
  </si>
  <si>
    <t>Unique Visitors</t>
  </si>
  <si>
    <t xml:space="preserve">MTD UVs </t>
  </si>
  <si>
    <t>Total</t>
  </si>
  <si>
    <t>CPUV Goal</t>
  </si>
  <si>
    <t>MTD</t>
  </si>
  <si>
    <t>MTD Remaining</t>
  </si>
  <si>
    <t>% of Goal</t>
  </si>
  <si>
    <t>Over-delivery</t>
  </si>
  <si>
    <t>Daily UVs needed</t>
  </si>
  <si>
    <t>MTD Days</t>
  </si>
  <si>
    <t>Number of days</t>
  </si>
  <si>
    <t>Days Remaining</t>
  </si>
  <si>
    <t>Today</t>
  </si>
  <si>
    <t>Yesterday's Date:</t>
  </si>
  <si>
    <t>% of Month Complete:</t>
  </si>
  <si>
    <t>% of Month Remaining:</t>
  </si>
  <si>
    <t>URLs</t>
  </si>
  <si>
    <t>Aubagio Microsite</t>
  </si>
  <si>
    <t xml:space="preserve"> </t>
  </si>
  <si>
    <t>Aubagio naive Microsite</t>
  </si>
  <si>
    <t>Breo Microsite</t>
  </si>
  <si>
    <t>Bydureon Microsite</t>
  </si>
  <si>
    <t>Cialis Microsite</t>
  </si>
  <si>
    <t>Cosentyx Microsite</t>
  </si>
  <si>
    <t xml:space="preserve">CTCA </t>
  </si>
  <si>
    <t>Total Uvs</t>
  </si>
  <si>
    <t>BC Daily Uvs</t>
  </si>
  <si>
    <t>BC MTD Uvs</t>
  </si>
  <si>
    <t>CC Daily Uvs</t>
  </si>
  <si>
    <t>Esbriet Microsite</t>
  </si>
  <si>
    <t>Duopa Microsite</t>
  </si>
  <si>
    <t>Gleevec (GIST) Microsite</t>
  </si>
  <si>
    <t>Gleevec (Treatment Seekers)</t>
  </si>
  <si>
    <t>Week 1 Ave</t>
  </si>
  <si>
    <t>Week 2 Ave</t>
  </si>
  <si>
    <t>Week 3 Ave</t>
  </si>
  <si>
    <t>Week 4 Ave</t>
  </si>
  <si>
    <t>Humira AS Microsite</t>
  </si>
  <si>
    <t>Humira CD Microsite</t>
  </si>
  <si>
    <t>Humira PsA Microsite</t>
  </si>
  <si>
    <t>Humira PsO Microsite</t>
  </si>
  <si>
    <t>Stelara, Brodalumab (Treatment Seekers)</t>
  </si>
  <si>
    <t>Humira RA Microsite</t>
  </si>
  <si>
    <t>Humira UC Microsite</t>
  </si>
  <si>
    <t>Jadenu (Treatment Seekers)</t>
  </si>
  <si>
    <t>Latuda Microsite</t>
  </si>
  <si>
    <t>Jardiance Microsite</t>
  </si>
  <si>
    <t>Lemtrada Microsite</t>
  </si>
  <si>
    <t>Linzess Microsite</t>
  </si>
  <si>
    <t>Ninlaro  Microsite</t>
  </si>
  <si>
    <t>Otezla Microsite</t>
  </si>
  <si>
    <t>OtezlaPsa (Treatment Seekers)</t>
  </si>
  <si>
    <t>OtezlaPso (Treatment Seekers)</t>
  </si>
  <si>
    <t>Otezla PsO Otezla</t>
  </si>
  <si>
    <t>Otezla PsO Cosentyx</t>
  </si>
  <si>
    <t>Otezla PsO Humira</t>
  </si>
  <si>
    <t>Qsymia (Treatment Seekers)</t>
  </si>
  <si>
    <t>Prolia  (Treatment Seekers)</t>
  </si>
  <si>
    <t>Retasis Microsite</t>
  </si>
  <si>
    <t>Tasigna  Microsite</t>
  </si>
  <si>
    <t>Rydapt Microsite</t>
  </si>
  <si>
    <t>Sandostatin Microsite</t>
  </si>
  <si>
    <t>Synthroid Microsite</t>
  </si>
  <si>
    <t xml:space="preserve">Synvisc (Brand) </t>
  </si>
  <si>
    <t>Taltz  Microsite</t>
  </si>
  <si>
    <t>Tasigna Microsite</t>
  </si>
  <si>
    <t>Tecfidera Microsite</t>
  </si>
  <si>
    <t>Trintellix  Microsite</t>
  </si>
  <si>
    <t>Toujeo Microsite</t>
  </si>
  <si>
    <t>Amitiza</t>
  </si>
  <si>
    <t>OTC Constipation</t>
  </si>
  <si>
    <t>Trulance</t>
  </si>
  <si>
    <t>Trulance Microsite</t>
  </si>
  <si>
    <t>Toujeo BP Microsite</t>
  </si>
  <si>
    <t>Watchman Microsite</t>
  </si>
  <si>
    <t>Xarelto (Treatment Seekers)</t>
  </si>
  <si>
    <t>Xiidra Microsite</t>
  </si>
  <si>
    <t>Livalo Microsite</t>
  </si>
  <si>
    <t>Ofev Microsite</t>
  </si>
  <si>
    <t>Trintellix Microsite</t>
  </si>
  <si>
    <t>Kisqali Microsite</t>
  </si>
  <si>
    <t>Dupixent Microsite</t>
  </si>
  <si>
    <t>Ribociclib  Microsite</t>
  </si>
  <si>
    <t>Soliqua Microsite</t>
  </si>
  <si>
    <t>Ocrevus (Treatment Seekers)</t>
  </si>
  <si>
    <t>Truvada  Microsite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</si>
</sst>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dd"/>
    <numFmt numFmtId="165" formatCode="_(* #,##0_);_(* \(#,##0\);_(* &quot;-&quot;??_);_(@_)"/>
    <numFmt numFmtId="166" formatCode="0.0%"/>
    <numFmt numFmtId="167" formatCode="_([$$-409]* #,##0.00_);_([$$-409]* \(#,##0.00\);_([$$-409]* &quot;-&quot;??_);_(@_)"/>
    <numFmt numFmtId="168" formatCode="[$-409]m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color theme="10"/>
      <name val="Calibri"/>
      <family val="2"/>
      <scheme val="minor"/>
    </font>
    <font>
      <sz val="11"/>
      <color rgb="FF000000"/>
      <name val="Calibri"/>
      <scheme val="minor"/>
    </font>
    <font>
      <u/>
      <sz val="11"/>
      <color theme="11"/>
      <name val="Calibri"/>
      <family val="2"/>
      <scheme val="minor"/>
    </font>
    <font>
      <sz val="12.1"/>
      <color theme="1"/>
      <name val="Calibri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4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164" fontId="0" fillId="0" borderId="1" xfId="0" applyNumberFormat="1" applyBorder="1" applyAlignment="1">
      <alignment horizontal="right"/>
    </xf>
    <xf numFmtId="14" fontId="0" fillId="0" borderId="1" xfId="0" applyNumberFormat="1" applyBorder="1"/>
    <xf numFmtId="165" fontId="1" fillId="0" borderId="1" xfId="1" applyNumberFormat="1" applyFont="1" applyFill="1" applyBorder="1"/>
    <xf numFmtId="165" fontId="1" fillId="0" borderId="1" xfId="1" applyNumberFormat="1" applyFont="1" applyBorder="1"/>
    <xf numFmtId="14" fontId="0" fillId="5" borderId="1" xfId="0" applyNumberFormat="1" applyFill="1" applyBorder="1"/>
    <xf numFmtId="165" fontId="1" fillId="5" borderId="1" xfId="1" applyNumberFormat="1" applyFont="1" applyFill="1" applyBorder="1"/>
    <xf numFmtId="165" fontId="0" fillId="0" borderId="0" xfId="0" applyNumberFormat="1"/>
    <xf numFmtId="165" fontId="1" fillId="0" borderId="0" xfId="1" applyNumberFormat="1" applyFont="1"/>
    <xf numFmtId="0" fontId="0" fillId="0" borderId="1" xfId="0" applyBorder="1"/>
    <xf numFmtId="166" fontId="1" fillId="0" borderId="1" xfId="2" applyNumberFormat="1" applyFont="1" applyBorder="1"/>
    <xf numFmtId="0" fontId="0" fillId="6" borderId="2" xfId="0" applyFill="1" applyBorder="1"/>
    <xf numFmtId="0" fontId="0" fillId="6" borderId="3" xfId="0" applyFill="1" applyBorder="1"/>
    <xf numFmtId="167" fontId="0" fillId="6" borderId="4" xfId="0" applyNumberFormat="1" applyFill="1" applyBorder="1"/>
    <xf numFmtId="0" fontId="0" fillId="6" borderId="5" xfId="0" applyFill="1" applyBorder="1"/>
    <xf numFmtId="0" fontId="0" fillId="6" borderId="0" xfId="0" applyFill="1"/>
    <xf numFmtId="167" fontId="0" fillId="6" borderId="6" xfId="0" applyNumberFormat="1" applyFill="1" applyBorder="1"/>
    <xf numFmtId="168" fontId="3" fillId="6" borderId="5" xfId="0" applyNumberFormat="1" applyFont="1" applyFill="1" applyBorder="1"/>
    <xf numFmtId="14" fontId="0" fillId="6" borderId="0" xfId="0" applyNumberFormat="1" applyFill="1"/>
    <xf numFmtId="14" fontId="3" fillId="6" borderId="6" xfId="0" applyNumberFormat="1" applyFont="1" applyFill="1" applyBorder="1"/>
    <xf numFmtId="0" fontId="0" fillId="6" borderId="6" xfId="0" applyFill="1" applyBorder="1"/>
    <xf numFmtId="167" fontId="4" fillId="6" borderId="5" xfId="0" applyNumberFormat="1" applyFont="1" applyFill="1" applyBorder="1"/>
    <xf numFmtId="167" fontId="5" fillId="6" borderId="0" xfId="0" applyNumberFormat="1" applyFont="1" applyFill="1"/>
    <xf numFmtId="14" fontId="5" fillId="6" borderId="6" xfId="0" applyNumberFormat="1" applyFont="1" applyFill="1" applyBorder="1"/>
    <xf numFmtId="166" fontId="5" fillId="6" borderId="6" xfId="2" applyNumberFormat="1" applyFont="1" applyFill="1" applyBorder="1"/>
    <xf numFmtId="167" fontId="4" fillId="6" borderId="7" xfId="0" applyNumberFormat="1" applyFont="1" applyFill="1" applyBorder="1"/>
    <xf numFmtId="167" fontId="5" fillId="6" borderId="8" xfId="0" applyNumberFormat="1" applyFont="1" applyFill="1" applyBorder="1"/>
    <xf numFmtId="166" fontId="5" fillId="6" borderId="9" xfId="2" applyNumberFormat="1" applyFont="1" applyFill="1" applyBorder="1"/>
    <xf numFmtId="167" fontId="4" fillId="6" borderId="10" xfId="0" applyNumberFormat="1" applyFont="1" applyFill="1" applyBorder="1"/>
    <xf numFmtId="165" fontId="1" fillId="7" borderId="1" xfId="1" applyNumberFormat="1" applyFont="1" applyFill="1" applyBorder="1"/>
    <xf numFmtId="165" fontId="1" fillId="0" borderId="0" xfId="1" applyNumberFormat="1" applyFont="1" applyFill="1"/>
    <xf numFmtId="0" fontId="0" fillId="0" borderId="0" xfId="0" applyFill="1"/>
    <xf numFmtId="165" fontId="0" fillId="0" borderId="1" xfId="1" applyNumberFormat="1" applyFont="1" applyFill="1" applyBorder="1"/>
    <xf numFmtId="0" fontId="0" fillId="6" borderId="1" xfId="0" applyFill="1" applyBorder="1"/>
    <xf numFmtId="165" fontId="0" fillId="0" borderId="1" xfId="0" applyNumberFormat="1" applyFill="1" applyBorder="1"/>
    <xf numFmtId="165" fontId="0" fillId="8" borderId="1" xfId="0" applyNumberFormat="1" applyFill="1" applyBorder="1"/>
    <xf numFmtId="165" fontId="1" fillId="8" borderId="1" xfId="1" applyNumberFormat="1" applyFont="1" applyFill="1" applyBorder="1"/>
    <xf numFmtId="0" fontId="0" fillId="8" borderId="1" xfId="0" applyFill="1" applyBorder="1"/>
    <xf numFmtId="165" fontId="0" fillId="8" borderId="1" xfId="1" applyNumberFormat="1" applyFont="1" applyFill="1" applyBorder="1"/>
    <xf numFmtId="0" fontId="0" fillId="0" borderId="1" xfId="0" applyFill="1" applyBorder="1"/>
    <xf numFmtId="165" fontId="0" fillId="0" borderId="1" xfId="0" applyNumberFormat="1" applyBorder="1"/>
    <xf numFmtId="166" fontId="1" fillId="0" borderId="0" xfId="2" applyNumberFormat="1" applyFont="1"/>
    <xf numFmtId="167" fontId="0" fillId="0" borderId="0" xfId="0" applyNumberFormat="1"/>
    <xf numFmtId="14" fontId="3" fillId="0" borderId="0" xfId="0" applyNumberFormat="1" applyFont="1"/>
    <xf numFmtId="14" fontId="5" fillId="0" borderId="0" xfId="0" applyNumberFormat="1" applyFont="1"/>
    <xf numFmtId="166" fontId="5" fillId="0" borderId="0" xfId="2" applyNumberFormat="1" applyFont="1"/>
    <xf numFmtId="167" fontId="4" fillId="6" borderId="1" xfId="0" applyNumberFormat="1" applyFont="1" applyFill="1" applyBorder="1"/>
    <xf numFmtId="165" fontId="1" fillId="0" borderId="1" xfId="1" applyNumberFormat="1" applyFill="1" applyBorder="1"/>
    <xf numFmtId="0" fontId="6" fillId="0" borderId="0" xfId="3" applyFont="1"/>
    <xf numFmtId="0" fontId="6" fillId="0" borderId="11" xfId="3" applyFont="1" applyBorder="1" applyAlignment="1">
      <alignment wrapText="1"/>
    </xf>
    <xf numFmtId="3" fontId="7" fillId="0" borderId="0" xfId="0" applyNumberFormat="1" applyFont="1"/>
    <xf numFmtId="165" fontId="0" fillId="0" borderId="1" xfId="1" applyNumberFormat="1" applyFont="1" applyBorder="1"/>
    <xf numFmtId="165" fontId="1" fillId="0" borderId="1" xfId="1" applyNumberFormat="1" applyBorder="1"/>
    <xf numFmtId="3" fontId="7" fillId="0" borderId="1" xfId="0" applyNumberFormat="1" applyFont="1" applyBorder="1"/>
    <xf numFmtId="0" fontId="7" fillId="0" borderId="1" xfId="0" applyFont="1" applyBorder="1"/>
    <xf numFmtId="0" fontId="0" fillId="0" borderId="0" xfId="0" applyBorder="1"/>
    <xf numFmtId="165" fontId="1" fillId="0" borderId="0" xfId="1" applyNumberFormat="1" applyFont="1" applyBorder="1"/>
    <xf numFmtId="0" fontId="9" fillId="0" borderId="1" xfId="0" applyFont="1" applyBorder="1"/>
    <xf numFmtId="165" fontId="0" fillId="7" borderId="1" xfId="1" applyNumberFormat="1" applyFont="1" applyFill="1" applyBorder="1"/>
  </cellXfs>
  <cellStyles count="7">
    <cellStyle name="Comma" xfId="1" builtinId="3"/>
    <cellStyle name="Followed Hyperlink" xfId="4" builtinId="9" hidden="1"/>
    <cellStyle name="Followed Hyperlink" xfId="5" builtinId="9" hidden="1"/>
    <cellStyle name="Followed Hyperlink" xfId="6" builtinId="9" hidden="1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theme" Target="theme/theme1.xml"/><Relationship Id="rId68" Type="http://schemas.openxmlformats.org/officeDocument/2006/relationships/styles" Target="styles.xml"/><Relationship Id="rId69" Type="http://schemas.openxmlformats.org/officeDocument/2006/relationships/sharedStrings" Target="sharedStrings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70" Type="http://schemas.openxmlformats.org/officeDocument/2006/relationships/calcChain" Target="calcChain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7"/>
  <sheetViews>
    <sheetView showGridLines="0" topLeftCell="A2" workbookViewId="0">
      <selection activeCell="C38" sqref="C38"/>
    </sheetView>
  </sheetViews>
  <sheetFormatPr baseColWidth="10" defaultColWidth="8.83203125" defaultRowHeight="14" x14ac:dyDescent="0"/>
  <cols>
    <col min="1" max="1" width="12.1640625" customWidth="1"/>
    <col min="2" max="2" width="22.5" bestFit="1" customWidth="1"/>
    <col min="3" max="3" width="15.5" bestFit="1" customWidth="1"/>
    <col min="4" max="4" width="14.83203125" customWidth="1"/>
  </cols>
  <sheetData>
    <row r="2" spans="1:4">
      <c r="B2" s="1" t="s">
        <v>0</v>
      </c>
    </row>
    <row r="4" spans="1:4">
      <c r="B4" s="2" t="s">
        <v>1</v>
      </c>
      <c r="C4" s="2"/>
    </row>
    <row r="5" spans="1:4">
      <c r="A5" s="3" t="s">
        <v>2</v>
      </c>
      <c r="B5" s="4" t="s">
        <v>3</v>
      </c>
      <c r="C5" s="4" t="s">
        <v>4</v>
      </c>
      <c r="D5" s="5" t="s">
        <v>5</v>
      </c>
    </row>
    <row r="6" spans="1:4">
      <c r="A6" s="6">
        <f t="shared" ref="A6:A36" si="0">B6</f>
        <v>42917</v>
      </c>
      <c r="B6" s="7">
        <v>42917</v>
      </c>
      <c r="C6" s="8">
        <f>D6</f>
        <v>0</v>
      </c>
      <c r="D6" s="8">
        <v>0</v>
      </c>
    </row>
    <row r="7" spans="1:4">
      <c r="A7" s="6">
        <f t="shared" si="0"/>
        <v>42918</v>
      </c>
      <c r="B7" s="7">
        <v>42918</v>
      </c>
      <c r="C7" s="8">
        <f t="shared" ref="C7:C36" si="1">IF(D7-D6&lt;0,0,D7-D6)</f>
        <v>0</v>
      </c>
      <c r="D7" s="8">
        <v>0</v>
      </c>
    </row>
    <row r="8" spans="1:4">
      <c r="A8" s="6">
        <f t="shared" si="0"/>
        <v>42919</v>
      </c>
      <c r="B8" s="7">
        <v>42919</v>
      </c>
      <c r="C8" s="8">
        <f t="shared" si="1"/>
        <v>0</v>
      </c>
      <c r="D8" s="8">
        <v>0</v>
      </c>
    </row>
    <row r="9" spans="1:4">
      <c r="A9" s="6">
        <f t="shared" si="0"/>
        <v>42920</v>
      </c>
      <c r="B9" s="7">
        <v>42920</v>
      </c>
      <c r="C9" s="8">
        <f t="shared" si="1"/>
        <v>0</v>
      </c>
      <c r="D9" s="8">
        <v>0</v>
      </c>
    </row>
    <row r="10" spans="1:4">
      <c r="A10" s="6">
        <f t="shared" si="0"/>
        <v>42921</v>
      </c>
      <c r="B10" s="7">
        <v>42921</v>
      </c>
      <c r="C10" s="8">
        <f t="shared" si="1"/>
        <v>0</v>
      </c>
      <c r="D10" s="8">
        <v>0</v>
      </c>
    </row>
    <row r="11" spans="1:4">
      <c r="A11" s="6">
        <f t="shared" si="0"/>
        <v>42922</v>
      </c>
      <c r="B11" s="7">
        <v>42922</v>
      </c>
      <c r="C11" s="8">
        <f t="shared" si="1"/>
        <v>0</v>
      </c>
      <c r="D11" s="8">
        <v>0</v>
      </c>
    </row>
    <row r="12" spans="1:4">
      <c r="A12" s="6">
        <f t="shared" si="0"/>
        <v>42923</v>
      </c>
      <c r="B12" s="7">
        <v>42923</v>
      </c>
      <c r="C12" s="8">
        <f t="shared" si="1"/>
        <v>0</v>
      </c>
      <c r="D12" s="8">
        <v>0</v>
      </c>
    </row>
    <row r="13" spans="1:4">
      <c r="A13" s="6">
        <f t="shared" si="0"/>
        <v>42924</v>
      </c>
      <c r="B13" s="7">
        <v>42924</v>
      </c>
      <c r="C13" s="8">
        <f t="shared" si="1"/>
        <v>0</v>
      </c>
      <c r="D13" s="8">
        <v>0</v>
      </c>
    </row>
    <row r="14" spans="1:4">
      <c r="A14" s="6">
        <f t="shared" si="0"/>
        <v>42925</v>
      </c>
      <c r="B14" s="7">
        <v>42925</v>
      </c>
      <c r="C14" s="8">
        <f t="shared" si="1"/>
        <v>0</v>
      </c>
      <c r="D14" s="8">
        <v>0</v>
      </c>
    </row>
    <row r="15" spans="1:4">
      <c r="A15" s="6">
        <f t="shared" si="0"/>
        <v>42926</v>
      </c>
      <c r="B15" s="7">
        <v>42926</v>
      </c>
      <c r="C15" s="8">
        <f t="shared" si="1"/>
        <v>0</v>
      </c>
      <c r="D15" s="8">
        <v>0</v>
      </c>
    </row>
    <row r="16" spans="1:4">
      <c r="A16" s="6">
        <f t="shared" si="0"/>
        <v>42927</v>
      </c>
      <c r="B16" s="7">
        <v>42927</v>
      </c>
      <c r="C16" s="8">
        <f t="shared" si="1"/>
        <v>0</v>
      </c>
      <c r="D16" s="8">
        <v>0</v>
      </c>
    </row>
    <row r="17" spans="1:4">
      <c r="A17" s="6">
        <f t="shared" si="0"/>
        <v>42928</v>
      </c>
      <c r="B17" s="7">
        <v>42928</v>
      </c>
      <c r="C17" s="8">
        <f t="shared" si="1"/>
        <v>0</v>
      </c>
      <c r="D17" s="8">
        <v>0</v>
      </c>
    </row>
    <row r="18" spans="1:4">
      <c r="A18" s="6">
        <f t="shared" si="0"/>
        <v>42929</v>
      </c>
      <c r="B18" s="7">
        <v>42929</v>
      </c>
      <c r="C18" s="8">
        <f t="shared" si="1"/>
        <v>0</v>
      </c>
      <c r="D18" s="8">
        <v>0</v>
      </c>
    </row>
    <row r="19" spans="1:4">
      <c r="A19" s="6">
        <f t="shared" si="0"/>
        <v>42930</v>
      </c>
      <c r="B19" s="7">
        <v>42930</v>
      </c>
      <c r="C19" s="8">
        <f t="shared" si="1"/>
        <v>0</v>
      </c>
      <c r="D19" s="8">
        <v>0</v>
      </c>
    </row>
    <row r="20" spans="1:4">
      <c r="A20" s="6">
        <f t="shared" si="0"/>
        <v>42931</v>
      </c>
      <c r="B20" s="7">
        <v>42931</v>
      </c>
      <c r="C20" s="8">
        <f t="shared" si="1"/>
        <v>0</v>
      </c>
      <c r="D20" s="8">
        <v>0</v>
      </c>
    </row>
    <row r="21" spans="1:4">
      <c r="A21" s="6">
        <f t="shared" si="0"/>
        <v>42932</v>
      </c>
      <c r="B21" s="7">
        <v>42932</v>
      </c>
      <c r="C21" s="8">
        <f t="shared" si="1"/>
        <v>0</v>
      </c>
      <c r="D21" s="8">
        <v>0</v>
      </c>
    </row>
    <row r="22" spans="1:4">
      <c r="A22" s="6">
        <f t="shared" si="0"/>
        <v>42933</v>
      </c>
      <c r="B22" s="7">
        <v>42933</v>
      </c>
      <c r="C22" s="8">
        <f t="shared" si="1"/>
        <v>0</v>
      </c>
      <c r="D22" s="8">
        <v>0</v>
      </c>
    </row>
    <row r="23" spans="1:4">
      <c r="A23" s="6">
        <f t="shared" si="0"/>
        <v>42934</v>
      </c>
      <c r="B23" s="7">
        <v>42934</v>
      </c>
      <c r="C23" s="8">
        <f t="shared" si="1"/>
        <v>0</v>
      </c>
      <c r="D23" s="8">
        <v>0</v>
      </c>
    </row>
    <row r="24" spans="1:4">
      <c r="A24" s="6">
        <f t="shared" si="0"/>
        <v>42935</v>
      </c>
      <c r="B24" s="7">
        <v>42935</v>
      </c>
      <c r="C24" s="8">
        <f t="shared" si="1"/>
        <v>0</v>
      </c>
      <c r="D24" s="8">
        <v>0</v>
      </c>
    </row>
    <row r="25" spans="1:4">
      <c r="A25" s="6">
        <f t="shared" si="0"/>
        <v>42936</v>
      </c>
      <c r="B25" s="7">
        <v>42936</v>
      </c>
      <c r="C25" s="8">
        <f t="shared" si="1"/>
        <v>0</v>
      </c>
      <c r="D25" s="8">
        <v>0</v>
      </c>
    </row>
    <row r="26" spans="1:4">
      <c r="A26" s="6">
        <f t="shared" si="0"/>
        <v>42937</v>
      </c>
      <c r="B26" s="7">
        <v>42937</v>
      </c>
      <c r="C26" s="8">
        <f t="shared" si="1"/>
        <v>0</v>
      </c>
      <c r="D26" s="8">
        <v>0</v>
      </c>
    </row>
    <row r="27" spans="1:4">
      <c r="A27" s="6">
        <f t="shared" si="0"/>
        <v>42938</v>
      </c>
      <c r="B27" s="7">
        <v>42938</v>
      </c>
      <c r="C27" s="8">
        <f t="shared" si="1"/>
        <v>0</v>
      </c>
      <c r="D27" s="8">
        <v>0</v>
      </c>
    </row>
    <row r="28" spans="1:4">
      <c r="A28" s="6">
        <f t="shared" si="0"/>
        <v>42939</v>
      </c>
      <c r="B28" s="7">
        <v>42939</v>
      </c>
      <c r="C28" s="8">
        <f t="shared" si="1"/>
        <v>0</v>
      </c>
      <c r="D28" s="8">
        <v>0</v>
      </c>
    </row>
    <row r="29" spans="1:4">
      <c r="A29" s="6">
        <f t="shared" si="0"/>
        <v>42940</v>
      </c>
      <c r="B29" s="7">
        <v>42940</v>
      </c>
      <c r="C29" s="8">
        <f t="shared" si="1"/>
        <v>0</v>
      </c>
      <c r="D29" s="8">
        <v>0</v>
      </c>
    </row>
    <row r="30" spans="1:4">
      <c r="A30" s="6">
        <f t="shared" si="0"/>
        <v>42941</v>
      </c>
      <c r="B30" s="7">
        <v>42941</v>
      </c>
      <c r="C30" s="8">
        <f t="shared" si="1"/>
        <v>0</v>
      </c>
      <c r="D30" s="8">
        <v>0</v>
      </c>
    </row>
    <row r="31" spans="1:4" ht="16.5" customHeight="1">
      <c r="A31" s="6">
        <f t="shared" si="0"/>
        <v>42942</v>
      </c>
      <c r="B31" s="7">
        <v>42942</v>
      </c>
      <c r="C31" s="8">
        <f t="shared" si="1"/>
        <v>0</v>
      </c>
      <c r="D31" s="8">
        <v>0</v>
      </c>
    </row>
    <row r="32" spans="1:4" ht="15" customHeight="1">
      <c r="A32" s="6">
        <f t="shared" si="0"/>
        <v>42943</v>
      </c>
      <c r="B32" s="7">
        <v>42943</v>
      </c>
      <c r="C32" s="8">
        <f t="shared" si="1"/>
        <v>0</v>
      </c>
      <c r="D32" s="8">
        <v>0</v>
      </c>
    </row>
    <row r="33" spans="1:4">
      <c r="A33" s="6">
        <f t="shared" si="0"/>
        <v>42944</v>
      </c>
      <c r="B33" s="7">
        <v>42944</v>
      </c>
      <c r="C33" s="8">
        <f t="shared" si="1"/>
        <v>0</v>
      </c>
      <c r="D33" s="8">
        <v>0</v>
      </c>
    </row>
    <row r="34" spans="1:4">
      <c r="A34" s="6">
        <f t="shared" si="0"/>
        <v>42945</v>
      </c>
      <c r="B34" s="7">
        <v>42945</v>
      </c>
      <c r="C34" s="8">
        <f t="shared" si="1"/>
        <v>0</v>
      </c>
      <c r="D34" s="8">
        <v>0</v>
      </c>
    </row>
    <row r="35" spans="1:4">
      <c r="A35" s="6">
        <f t="shared" si="0"/>
        <v>42946</v>
      </c>
      <c r="B35" s="7">
        <v>42946</v>
      </c>
      <c r="C35" s="8">
        <f t="shared" si="1"/>
        <v>0</v>
      </c>
      <c r="D35" s="8">
        <v>0</v>
      </c>
    </row>
    <row r="36" spans="1:4">
      <c r="A36" s="6">
        <f t="shared" si="0"/>
        <v>42947</v>
      </c>
      <c r="B36" s="7">
        <v>42947</v>
      </c>
      <c r="C36" s="9">
        <f t="shared" si="1"/>
        <v>0</v>
      </c>
      <c r="D36" s="9">
        <v>0</v>
      </c>
    </row>
    <row r="37" spans="1:4">
      <c r="B37" s="10" t="s">
        <v>6</v>
      </c>
      <c r="C37" s="11">
        <f>SUM(C6:C36)</f>
        <v>0</v>
      </c>
      <c r="D37" s="12"/>
    </row>
    <row r="38" spans="1:4">
      <c r="C38" s="13"/>
    </row>
    <row r="39" spans="1:4">
      <c r="B39" s="14" t="s">
        <v>7</v>
      </c>
      <c r="C39" s="9">
        <v>5</v>
      </c>
    </row>
    <row r="40" spans="1:4">
      <c r="B40" s="14" t="s">
        <v>8</v>
      </c>
      <c r="C40" s="9">
        <f>C37</f>
        <v>0</v>
      </c>
    </row>
    <row r="41" spans="1:4">
      <c r="B41" s="14" t="s">
        <v>9</v>
      </c>
      <c r="C41" s="9">
        <f>C39-C40</f>
        <v>5</v>
      </c>
    </row>
    <row r="42" spans="1:4">
      <c r="B42" s="14" t="s">
        <v>10</v>
      </c>
      <c r="C42" s="15">
        <f>C40/C39</f>
        <v>0</v>
      </c>
    </row>
    <row r="43" spans="1:4">
      <c r="B43" s="14" t="s">
        <v>11</v>
      </c>
      <c r="C43" s="9">
        <f>IF(C40&lt;C39,0,C40-C39)</f>
        <v>0</v>
      </c>
    </row>
    <row r="44" spans="1:4">
      <c r="B44" s="14" t="s">
        <v>12</v>
      </c>
      <c r="C44" s="9">
        <f ca="1">(C39-C37)/C48</f>
        <v>0.16666666666666666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 ht="13" customHeight="1">
      <c r="B57" s="33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7"/>
  <sheetViews>
    <sheetView showGridLines="0" workbookViewId="0">
      <selection activeCell="E23" sqref="E23"/>
    </sheetView>
  </sheetViews>
  <sheetFormatPr baseColWidth="10" defaultColWidth="8.83203125" defaultRowHeight="14" x14ac:dyDescent="0"/>
  <cols>
    <col min="1" max="1" width="12.1640625" customWidth="1"/>
    <col min="2" max="2" width="22.5" bestFit="1" customWidth="1"/>
    <col min="3" max="3" width="15.5" bestFit="1" customWidth="1"/>
    <col min="4" max="4" width="14.83203125" customWidth="1"/>
  </cols>
  <sheetData>
    <row r="2" spans="1:4">
      <c r="B2" s="1" t="s">
        <v>26</v>
      </c>
    </row>
    <row r="4" spans="1:4">
      <c r="B4" s="2" t="s">
        <v>1</v>
      </c>
      <c r="C4" s="2"/>
    </row>
    <row r="5" spans="1:4">
      <c r="A5" s="3" t="s">
        <v>2</v>
      </c>
      <c r="B5" s="4" t="s">
        <v>3</v>
      </c>
      <c r="C5" s="4" t="s">
        <v>4</v>
      </c>
    </row>
    <row r="6" spans="1:4">
      <c r="A6" s="6">
        <f t="shared" ref="A6:A36" si="0">B6</f>
        <v>42917</v>
      </c>
      <c r="B6" s="7">
        <v>42917</v>
      </c>
      <c r="C6" s="8">
        <v>860</v>
      </c>
      <c r="D6" s="36"/>
    </row>
    <row r="7" spans="1:4">
      <c r="A7" s="6">
        <f t="shared" si="0"/>
        <v>42918</v>
      </c>
      <c r="B7" s="7">
        <v>42918</v>
      </c>
      <c r="C7" s="8">
        <v>640</v>
      </c>
      <c r="D7" s="36"/>
    </row>
    <row r="8" spans="1:4">
      <c r="A8" s="6">
        <f t="shared" si="0"/>
        <v>42919</v>
      </c>
      <c r="B8" s="7">
        <v>42919</v>
      </c>
      <c r="C8" s="8">
        <v>807</v>
      </c>
      <c r="D8" s="36"/>
    </row>
    <row r="9" spans="1:4">
      <c r="A9" s="6">
        <f t="shared" si="0"/>
        <v>42920</v>
      </c>
      <c r="B9" s="7">
        <v>42920</v>
      </c>
      <c r="C9" s="8">
        <v>836</v>
      </c>
      <c r="D9" s="36"/>
    </row>
    <row r="10" spans="1:4">
      <c r="A10" s="6">
        <f t="shared" si="0"/>
        <v>42921</v>
      </c>
      <c r="B10" s="7">
        <v>42921</v>
      </c>
      <c r="C10" s="8">
        <v>1044</v>
      </c>
      <c r="D10" s="36"/>
    </row>
    <row r="11" spans="1:4">
      <c r="A11" s="6">
        <f t="shared" si="0"/>
        <v>42922</v>
      </c>
      <c r="B11" s="7">
        <v>42922</v>
      </c>
      <c r="C11" s="8">
        <v>1100</v>
      </c>
      <c r="D11" s="36"/>
    </row>
    <row r="12" spans="1:4">
      <c r="A12" s="6">
        <f t="shared" si="0"/>
        <v>42923</v>
      </c>
      <c r="B12" s="7">
        <v>42923</v>
      </c>
      <c r="C12" s="8">
        <v>1142</v>
      </c>
      <c r="D12" s="36"/>
    </row>
    <row r="13" spans="1:4">
      <c r="A13" s="6">
        <f t="shared" si="0"/>
        <v>42924</v>
      </c>
      <c r="B13" s="7">
        <v>42924</v>
      </c>
      <c r="C13" s="8">
        <v>932</v>
      </c>
      <c r="D13" s="36"/>
    </row>
    <row r="14" spans="1:4">
      <c r="A14" s="6">
        <f t="shared" si="0"/>
        <v>42925</v>
      </c>
      <c r="B14" s="7">
        <v>42925</v>
      </c>
      <c r="C14" s="8">
        <v>898</v>
      </c>
      <c r="D14" s="36"/>
    </row>
    <row r="15" spans="1:4">
      <c r="A15" s="6">
        <f t="shared" si="0"/>
        <v>42926</v>
      </c>
      <c r="B15" s="7">
        <v>42926</v>
      </c>
      <c r="C15" s="8">
        <v>1093</v>
      </c>
      <c r="D15" s="36"/>
    </row>
    <row r="16" spans="1:4">
      <c r="A16" s="6">
        <f t="shared" si="0"/>
        <v>42927</v>
      </c>
      <c r="B16" s="7">
        <v>42927</v>
      </c>
      <c r="C16" s="8">
        <v>1110</v>
      </c>
      <c r="D16" s="36"/>
    </row>
    <row r="17" spans="1:4">
      <c r="A17" s="6">
        <f t="shared" si="0"/>
        <v>42928</v>
      </c>
      <c r="B17" s="7">
        <v>42928</v>
      </c>
      <c r="C17" s="8">
        <v>1121</v>
      </c>
      <c r="D17" s="36"/>
    </row>
    <row r="18" spans="1:4">
      <c r="A18" s="6">
        <f t="shared" si="0"/>
        <v>42929</v>
      </c>
      <c r="B18" s="7">
        <v>42929</v>
      </c>
      <c r="C18" s="8">
        <v>1130</v>
      </c>
      <c r="D18" s="36"/>
    </row>
    <row r="19" spans="1:4">
      <c r="A19" s="6">
        <f t="shared" si="0"/>
        <v>42930</v>
      </c>
      <c r="B19" s="7">
        <v>42930</v>
      </c>
      <c r="C19" s="8">
        <v>1152</v>
      </c>
      <c r="D19" s="36"/>
    </row>
    <row r="20" spans="1:4">
      <c r="A20" s="6">
        <f t="shared" si="0"/>
        <v>42931</v>
      </c>
      <c r="B20" s="7">
        <v>42931</v>
      </c>
      <c r="C20" s="8">
        <v>1013</v>
      </c>
      <c r="D20" s="36"/>
    </row>
    <row r="21" spans="1:4">
      <c r="A21" s="6">
        <f t="shared" si="0"/>
        <v>42932</v>
      </c>
      <c r="B21" s="7">
        <v>42932</v>
      </c>
      <c r="C21" s="8">
        <v>912</v>
      </c>
      <c r="D21" s="36"/>
    </row>
    <row r="22" spans="1:4">
      <c r="A22" s="6">
        <f t="shared" si="0"/>
        <v>42933</v>
      </c>
      <c r="B22" s="7">
        <v>42933</v>
      </c>
      <c r="C22" s="8">
        <v>1065</v>
      </c>
      <c r="D22" s="36"/>
    </row>
    <row r="23" spans="1:4">
      <c r="A23" s="6">
        <f t="shared" si="0"/>
        <v>42934</v>
      </c>
      <c r="B23" s="7">
        <v>42934</v>
      </c>
      <c r="C23" s="8">
        <v>1126</v>
      </c>
      <c r="D23" s="36"/>
    </row>
    <row r="24" spans="1:4">
      <c r="A24" s="6">
        <f t="shared" si="0"/>
        <v>42935</v>
      </c>
      <c r="B24" s="7">
        <v>42935</v>
      </c>
      <c r="C24" s="8">
        <v>1097</v>
      </c>
      <c r="D24" s="36"/>
    </row>
    <row r="25" spans="1:4">
      <c r="A25" s="6">
        <f t="shared" si="0"/>
        <v>42936</v>
      </c>
      <c r="B25" s="7">
        <v>42936</v>
      </c>
      <c r="C25" s="8">
        <v>1071</v>
      </c>
      <c r="D25" s="36"/>
    </row>
    <row r="26" spans="1:4">
      <c r="A26" s="6">
        <f t="shared" si="0"/>
        <v>42937</v>
      </c>
      <c r="B26" s="7">
        <v>42937</v>
      </c>
      <c r="C26" s="8">
        <v>1170</v>
      </c>
      <c r="D26" s="36"/>
    </row>
    <row r="27" spans="1:4">
      <c r="A27" s="6">
        <f t="shared" si="0"/>
        <v>42938</v>
      </c>
      <c r="B27" s="7">
        <v>42938</v>
      </c>
      <c r="C27" s="8">
        <v>960</v>
      </c>
      <c r="D27" s="36"/>
    </row>
    <row r="28" spans="1:4">
      <c r="A28" s="6">
        <f t="shared" si="0"/>
        <v>42939</v>
      </c>
      <c r="B28" s="7">
        <v>42939</v>
      </c>
      <c r="C28" s="8">
        <v>883</v>
      </c>
      <c r="D28" s="36"/>
    </row>
    <row r="29" spans="1:4">
      <c r="A29" s="6">
        <f t="shared" si="0"/>
        <v>42940</v>
      </c>
      <c r="B29" s="7">
        <v>42940</v>
      </c>
      <c r="C29" s="8">
        <v>1094</v>
      </c>
      <c r="D29" s="36"/>
    </row>
    <row r="30" spans="1:4">
      <c r="A30" s="6">
        <f t="shared" si="0"/>
        <v>42941</v>
      </c>
      <c r="B30" s="7">
        <v>42941</v>
      </c>
      <c r="C30" s="8">
        <v>1101</v>
      </c>
      <c r="D30" s="36"/>
    </row>
    <row r="31" spans="1:4" ht="16.5" customHeight="1">
      <c r="A31" s="6">
        <f t="shared" si="0"/>
        <v>42942</v>
      </c>
      <c r="B31" s="7">
        <v>42942</v>
      </c>
      <c r="C31" s="8">
        <v>1159</v>
      </c>
      <c r="D31" s="36"/>
    </row>
    <row r="32" spans="1:4" ht="15" customHeight="1">
      <c r="A32" s="6">
        <f t="shared" si="0"/>
        <v>42943</v>
      </c>
      <c r="B32" s="7">
        <v>42943</v>
      </c>
      <c r="C32" s="8">
        <v>1202</v>
      </c>
      <c r="D32" s="36"/>
    </row>
    <row r="33" spans="1:4">
      <c r="A33" s="6">
        <f t="shared" si="0"/>
        <v>42944</v>
      </c>
      <c r="B33" s="7">
        <v>42944</v>
      </c>
      <c r="C33" s="8">
        <v>1146</v>
      </c>
      <c r="D33" s="36"/>
    </row>
    <row r="34" spans="1:4">
      <c r="A34" s="6">
        <f t="shared" si="0"/>
        <v>42945</v>
      </c>
      <c r="B34" s="7">
        <v>42945</v>
      </c>
      <c r="C34" s="8">
        <v>1018</v>
      </c>
      <c r="D34" s="36"/>
    </row>
    <row r="35" spans="1:4">
      <c r="A35" s="6">
        <f t="shared" si="0"/>
        <v>42946</v>
      </c>
      <c r="B35" s="7">
        <v>42946</v>
      </c>
      <c r="C35" s="8">
        <v>1010</v>
      </c>
      <c r="D35" s="36"/>
    </row>
    <row r="36" spans="1:4">
      <c r="A36" s="6">
        <f t="shared" si="0"/>
        <v>42947</v>
      </c>
      <c r="B36" s="7">
        <v>42947</v>
      </c>
      <c r="C36" s="9">
        <v>1269</v>
      </c>
    </row>
    <row r="37" spans="1:4" ht="18" customHeight="1">
      <c r="B37" s="10" t="s">
        <v>6</v>
      </c>
      <c r="C37" s="11">
        <f>SUM(C6:C36)</f>
        <v>32161</v>
      </c>
    </row>
    <row r="38" spans="1:4">
      <c r="C38" s="13"/>
    </row>
    <row r="39" spans="1:4">
      <c r="B39" s="14" t="s">
        <v>7</v>
      </c>
      <c r="C39" s="9">
        <v>26000</v>
      </c>
    </row>
    <row r="40" spans="1:4">
      <c r="B40" s="14" t="s">
        <v>8</v>
      </c>
      <c r="C40" s="9">
        <f>C37</f>
        <v>32161</v>
      </c>
    </row>
    <row r="41" spans="1:4">
      <c r="B41" s="14" t="s">
        <v>9</v>
      </c>
      <c r="C41" s="9">
        <f>C39-C40</f>
        <v>-6161</v>
      </c>
    </row>
    <row r="42" spans="1:4">
      <c r="B42" s="14" t="s">
        <v>10</v>
      </c>
      <c r="C42" s="15">
        <f>C40/C39</f>
        <v>1.2369615384615384</v>
      </c>
    </row>
    <row r="43" spans="1:4">
      <c r="B43" s="14" t="s">
        <v>11</v>
      </c>
      <c r="C43" s="9">
        <f>IF(C40&lt;C39,0,C40-C39)</f>
        <v>6161</v>
      </c>
    </row>
    <row r="44" spans="1:4">
      <c r="B44" s="14" t="s">
        <v>12</v>
      </c>
      <c r="C44" s="9">
        <f ca="1">(C39-C37)/C48</f>
        <v>-205.36666666666667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33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7"/>
  <sheetViews>
    <sheetView showGridLines="0" topLeftCell="A16" workbookViewId="0">
      <selection activeCell="C38" sqref="C38"/>
    </sheetView>
  </sheetViews>
  <sheetFormatPr baseColWidth="10" defaultColWidth="8.83203125" defaultRowHeight="14" x14ac:dyDescent="0"/>
  <cols>
    <col min="1" max="1" width="12.1640625" customWidth="1"/>
    <col min="2" max="2" width="22.5" bestFit="1" customWidth="1"/>
    <col min="3" max="3" width="15.5" bestFit="1" customWidth="1"/>
    <col min="4" max="4" width="14.83203125" customWidth="1"/>
  </cols>
  <sheetData>
    <row r="2" spans="1:4">
      <c r="B2" s="1" t="s">
        <v>27</v>
      </c>
    </row>
    <row r="4" spans="1:4">
      <c r="B4" s="2" t="s">
        <v>1</v>
      </c>
      <c r="C4" s="2"/>
    </row>
    <row r="5" spans="1:4">
      <c r="A5" s="3" t="s">
        <v>2</v>
      </c>
      <c r="B5" s="4" t="s">
        <v>3</v>
      </c>
      <c r="C5" s="4" t="s">
        <v>4</v>
      </c>
      <c r="D5" s="5" t="s">
        <v>5</v>
      </c>
    </row>
    <row r="6" spans="1:4">
      <c r="A6" s="6">
        <f t="shared" ref="A6:A36" si="0">B6</f>
        <v>42917</v>
      </c>
      <c r="B6" s="7">
        <v>42917</v>
      </c>
      <c r="C6" s="8">
        <f>D6</f>
        <v>0</v>
      </c>
      <c r="D6" s="8">
        <v>0</v>
      </c>
    </row>
    <row r="7" spans="1:4">
      <c r="A7" s="6">
        <f t="shared" si="0"/>
        <v>42918</v>
      </c>
      <c r="B7" s="7">
        <v>42918</v>
      </c>
      <c r="C7" s="8">
        <f t="shared" ref="C7:C36" si="1">IF(D7-D6&lt;0,0,D7-D6)</f>
        <v>0</v>
      </c>
      <c r="D7" s="8">
        <v>0</v>
      </c>
    </row>
    <row r="8" spans="1:4">
      <c r="A8" s="6">
        <f t="shared" si="0"/>
        <v>42919</v>
      </c>
      <c r="B8" s="7">
        <v>42919</v>
      </c>
      <c r="C8" s="8">
        <f t="shared" si="1"/>
        <v>0</v>
      </c>
      <c r="D8" s="8">
        <v>0</v>
      </c>
    </row>
    <row r="9" spans="1:4">
      <c r="A9" s="6">
        <f t="shared" si="0"/>
        <v>42920</v>
      </c>
      <c r="B9" s="7">
        <v>42920</v>
      </c>
      <c r="C9" s="8">
        <f t="shared" si="1"/>
        <v>0</v>
      </c>
      <c r="D9" s="8">
        <v>0</v>
      </c>
    </row>
    <row r="10" spans="1:4">
      <c r="A10" s="6">
        <f t="shared" si="0"/>
        <v>42921</v>
      </c>
      <c r="B10" s="7">
        <v>42921</v>
      </c>
      <c r="C10" s="8">
        <f t="shared" si="1"/>
        <v>0</v>
      </c>
      <c r="D10" s="8">
        <v>0</v>
      </c>
    </row>
    <row r="11" spans="1:4">
      <c r="A11" s="6">
        <f t="shared" si="0"/>
        <v>42922</v>
      </c>
      <c r="B11" s="7">
        <v>42922</v>
      </c>
      <c r="C11" s="8">
        <f t="shared" si="1"/>
        <v>0</v>
      </c>
      <c r="D11" s="8">
        <v>0</v>
      </c>
    </row>
    <row r="12" spans="1:4">
      <c r="A12" s="6">
        <f t="shared" si="0"/>
        <v>42923</v>
      </c>
      <c r="B12" s="7">
        <v>42923</v>
      </c>
      <c r="C12" s="8">
        <f t="shared" si="1"/>
        <v>0</v>
      </c>
      <c r="D12" s="8">
        <v>0</v>
      </c>
    </row>
    <row r="13" spans="1:4">
      <c r="A13" s="6">
        <f t="shared" si="0"/>
        <v>42924</v>
      </c>
      <c r="B13" s="7">
        <v>42924</v>
      </c>
      <c r="C13" s="8">
        <f t="shared" si="1"/>
        <v>0</v>
      </c>
      <c r="D13" s="8">
        <v>0</v>
      </c>
    </row>
    <row r="14" spans="1:4">
      <c r="A14" s="6">
        <f t="shared" si="0"/>
        <v>42925</v>
      </c>
      <c r="B14" s="7">
        <v>42925</v>
      </c>
      <c r="C14" s="8">
        <f t="shared" si="1"/>
        <v>0</v>
      </c>
      <c r="D14" s="8">
        <v>0</v>
      </c>
    </row>
    <row r="15" spans="1:4">
      <c r="A15" s="6">
        <f t="shared" si="0"/>
        <v>42926</v>
      </c>
      <c r="B15" s="7">
        <v>42926</v>
      </c>
      <c r="C15" s="8">
        <f t="shared" si="1"/>
        <v>0</v>
      </c>
      <c r="D15" s="8">
        <v>0</v>
      </c>
    </row>
    <row r="16" spans="1:4">
      <c r="A16" s="6">
        <f t="shared" si="0"/>
        <v>42927</v>
      </c>
      <c r="B16" s="7">
        <v>42927</v>
      </c>
      <c r="C16" s="8">
        <f t="shared" si="1"/>
        <v>0</v>
      </c>
      <c r="D16" s="8">
        <v>0</v>
      </c>
    </row>
    <row r="17" spans="1:4">
      <c r="A17" s="6">
        <f t="shared" si="0"/>
        <v>42928</v>
      </c>
      <c r="B17" s="7">
        <v>42928</v>
      </c>
      <c r="C17" s="8">
        <f t="shared" si="1"/>
        <v>0</v>
      </c>
      <c r="D17" s="8">
        <v>0</v>
      </c>
    </row>
    <row r="18" spans="1:4">
      <c r="A18" s="6">
        <f t="shared" si="0"/>
        <v>42929</v>
      </c>
      <c r="B18" s="7">
        <v>42929</v>
      </c>
      <c r="C18" s="8">
        <f t="shared" si="1"/>
        <v>0</v>
      </c>
      <c r="D18" s="8">
        <v>0</v>
      </c>
    </row>
    <row r="19" spans="1:4">
      <c r="A19" s="6">
        <f t="shared" si="0"/>
        <v>42930</v>
      </c>
      <c r="B19" s="7">
        <v>42930</v>
      </c>
      <c r="C19" s="8">
        <f t="shared" si="1"/>
        <v>0</v>
      </c>
      <c r="D19" s="8">
        <v>0</v>
      </c>
    </row>
    <row r="20" spans="1:4">
      <c r="A20" s="6">
        <f t="shared" si="0"/>
        <v>42931</v>
      </c>
      <c r="B20" s="7">
        <v>42931</v>
      </c>
      <c r="C20" s="8">
        <f t="shared" si="1"/>
        <v>0</v>
      </c>
      <c r="D20" s="8">
        <v>0</v>
      </c>
    </row>
    <row r="21" spans="1:4">
      <c r="A21" s="6">
        <f t="shared" si="0"/>
        <v>42932</v>
      </c>
      <c r="B21" s="7">
        <v>42932</v>
      </c>
      <c r="C21" s="8">
        <f t="shared" si="1"/>
        <v>0</v>
      </c>
      <c r="D21" s="8">
        <v>0</v>
      </c>
    </row>
    <row r="22" spans="1:4">
      <c r="A22" s="6">
        <f t="shared" si="0"/>
        <v>42933</v>
      </c>
      <c r="B22" s="7">
        <v>42933</v>
      </c>
      <c r="C22" s="8">
        <f t="shared" si="1"/>
        <v>0</v>
      </c>
      <c r="D22" s="8">
        <v>0</v>
      </c>
    </row>
    <row r="23" spans="1:4">
      <c r="A23" s="6">
        <f t="shared" si="0"/>
        <v>42934</v>
      </c>
      <c r="B23" s="7">
        <v>42934</v>
      </c>
      <c r="C23" s="8">
        <f t="shared" si="1"/>
        <v>0</v>
      </c>
      <c r="D23" s="8">
        <v>0</v>
      </c>
    </row>
    <row r="24" spans="1:4">
      <c r="A24" s="6">
        <f t="shared" si="0"/>
        <v>42935</v>
      </c>
      <c r="B24" s="7">
        <v>42935</v>
      </c>
      <c r="C24" s="8">
        <f t="shared" si="1"/>
        <v>0</v>
      </c>
      <c r="D24" s="8">
        <v>0</v>
      </c>
    </row>
    <row r="25" spans="1:4">
      <c r="A25" s="6">
        <f t="shared" si="0"/>
        <v>42936</v>
      </c>
      <c r="B25" s="7">
        <v>42936</v>
      </c>
      <c r="C25" s="8">
        <f t="shared" si="1"/>
        <v>0</v>
      </c>
      <c r="D25" s="8">
        <v>0</v>
      </c>
    </row>
    <row r="26" spans="1:4">
      <c r="A26" s="6">
        <f t="shared" si="0"/>
        <v>42937</v>
      </c>
      <c r="B26" s="7">
        <v>42937</v>
      </c>
      <c r="C26" s="8">
        <f t="shared" si="1"/>
        <v>0</v>
      </c>
      <c r="D26" s="8">
        <v>0</v>
      </c>
    </row>
    <row r="27" spans="1:4">
      <c r="A27" s="6">
        <f t="shared" si="0"/>
        <v>42938</v>
      </c>
      <c r="B27" s="7">
        <v>42938</v>
      </c>
      <c r="C27" s="8">
        <f t="shared" si="1"/>
        <v>0</v>
      </c>
      <c r="D27" s="37">
        <v>0</v>
      </c>
    </row>
    <row r="28" spans="1:4">
      <c r="A28" s="6">
        <f t="shared" si="0"/>
        <v>42939</v>
      </c>
      <c r="B28" s="7">
        <v>42939</v>
      </c>
      <c r="C28" s="8">
        <f t="shared" si="1"/>
        <v>0</v>
      </c>
      <c r="D28" s="8">
        <v>0</v>
      </c>
    </row>
    <row r="29" spans="1:4">
      <c r="A29" s="6">
        <f t="shared" si="0"/>
        <v>42940</v>
      </c>
      <c r="B29" s="7">
        <v>42940</v>
      </c>
      <c r="C29" s="8">
        <f t="shared" si="1"/>
        <v>0</v>
      </c>
      <c r="D29" s="8">
        <v>0</v>
      </c>
    </row>
    <row r="30" spans="1:4">
      <c r="A30" s="6">
        <f t="shared" si="0"/>
        <v>42941</v>
      </c>
      <c r="B30" s="7">
        <v>42941</v>
      </c>
      <c r="C30" s="8">
        <f t="shared" si="1"/>
        <v>0</v>
      </c>
      <c r="D30" s="8">
        <v>0</v>
      </c>
    </row>
    <row r="31" spans="1:4" ht="16.5" customHeight="1">
      <c r="A31" s="6">
        <f t="shared" si="0"/>
        <v>42942</v>
      </c>
      <c r="B31" s="7">
        <v>42942</v>
      </c>
      <c r="C31" s="8">
        <f t="shared" si="1"/>
        <v>0</v>
      </c>
      <c r="D31" s="8">
        <v>0</v>
      </c>
    </row>
    <row r="32" spans="1:4" ht="15" customHeight="1">
      <c r="A32" s="6">
        <f t="shared" si="0"/>
        <v>42943</v>
      </c>
      <c r="B32" s="7">
        <v>42943</v>
      </c>
      <c r="C32" s="8">
        <f t="shared" si="1"/>
        <v>0</v>
      </c>
      <c r="D32" s="8">
        <v>0</v>
      </c>
    </row>
    <row r="33" spans="1:4">
      <c r="A33" s="6">
        <f t="shared" si="0"/>
        <v>42944</v>
      </c>
      <c r="B33" s="7">
        <v>42944</v>
      </c>
      <c r="C33" s="8">
        <f t="shared" si="1"/>
        <v>0</v>
      </c>
      <c r="D33" s="8">
        <v>0</v>
      </c>
    </row>
    <row r="34" spans="1:4">
      <c r="A34" s="6">
        <f t="shared" si="0"/>
        <v>42945</v>
      </c>
      <c r="B34" s="7">
        <v>42945</v>
      </c>
      <c r="C34" s="8">
        <f t="shared" si="1"/>
        <v>0</v>
      </c>
      <c r="D34" s="8">
        <v>0</v>
      </c>
    </row>
    <row r="35" spans="1:4">
      <c r="A35" s="6">
        <f t="shared" si="0"/>
        <v>42946</v>
      </c>
      <c r="B35" s="7">
        <v>42946</v>
      </c>
      <c r="C35" s="8">
        <f t="shared" si="1"/>
        <v>0</v>
      </c>
      <c r="D35" s="8">
        <v>0</v>
      </c>
    </row>
    <row r="36" spans="1:4">
      <c r="A36" s="6">
        <f t="shared" si="0"/>
        <v>42947</v>
      </c>
      <c r="B36" s="7">
        <v>42947</v>
      </c>
      <c r="C36" s="9">
        <f t="shared" si="1"/>
        <v>0</v>
      </c>
      <c r="D36" s="9">
        <v>0</v>
      </c>
    </row>
    <row r="37" spans="1:4">
      <c r="B37" s="10" t="s">
        <v>6</v>
      </c>
      <c r="C37" s="11">
        <f>SUM(C6:C36)</f>
        <v>0</v>
      </c>
      <c r="D37" s="12"/>
    </row>
    <row r="38" spans="1:4">
      <c r="C38" s="13"/>
    </row>
    <row r="39" spans="1:4">
      <c r="B39" s="14" t="s">
        <v>7</v>
      </c>
      <c r="C39" s="9">
        <v>5</v>
      </c>
    </row>
    <row r="40" spans="1:4">
      <c r="B40" s="14" t="s">
        <v>8</v>
      </c>
      <c r="C40" s="9">
        <f>C37</f>
        <v>0</v>
      </c>
    </row>
    <row r="41" spans="1:4">
      <c r="B41" s="14" t="s">
        <v>9</v>
      </c>
      <c r="C41" s="9">
        <f>C39-C40</f>
        <v>5</v>
      </c>
    </row>
    <row r="42" spans="1:4">
      <c r="B42" s="14" t="s">
        <v>10</v>
      </c>
      <c r="C42" s="15">
        <f>C40/C39</f>
        <v>0</v>
      </c>
    </row>
    <row r="43" spans="1:4">
      <c r="B43" s="14" t="s">
        <v>11</v>
      </c>
      <c r="C43" s="9">
        <f>IF(C40&lt;C39,0,C40-C39)</f>
        <v>0</v>
      </c>
    </row>
    <row r="44" spans="1:4">
      <c r="B44" s="14" t="s">
        <v>12</v>
      </c>
      <c r="C44" s="9">
        <f ca="1">(C39-C37)/C48</f>
        <v>0.16666666666666666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 ht="13" customHeight="1">
      <c r="B57" s="33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7"/>
  <sheetViews>
    <sheetView showGridLines="0" topLeftCell="A8" workbookViewId="0">
      <selection activeCell="C38" sqref="C38"/>
    </sheetView>
  </sheetViews>
  <sheetFormatPr baseColWidth="10" defaultColWidth="8.83203125" defaultRowHeight="14" x14ac:dyDescent="0"/>
  <cols>
    <col min="1" max="1" width="13.33203125" customWidth="1"/>
    <col min="2" max="2" width="30" customWidth="1"/>
    <col min="3" max="3" width="14.6640625" bestFit="1" customWidth="1"/>
    <col min="4" max="4" width="14.6640625" customWidth="1"/>
    <col min="5" max="5" width="14.83203125" customWidth="1"/>
    <col min="6" max="6" width="15.33203125" customWidth="1"/>
    <col min="7" max="7" width="13.83203125" customWidth="1"/>
    <col min="8" max="8" width="7.83203125" bestFit="1" customWidth="1"/>
  </cols>
  <sheetData>
    <row r="2" spans="1:7">
      <c r="B2" s="1" t="s">
        <v>28</v>
      </c>
    </row>
    <row r="4" spans="1:7">
      <c r="B4" s="2" t="s">
        <v>1</v>
      </c>
      <c r="C4" s="2"/>
      <c r="D4" s="2"/>
    </row>
    <row r="5" spans="1:7">
      <c r="A5" s="3" t="s">
        <v>2</v>
      </c>
      <c r="B5" s="4" t="s">
        <v>3</v>
      </c>
      <c r="C5" s="4" t="s">
        <v>29</v>
      </c>
      <c r="D5" s="38" t="s">
        <v>30</v>
      </c>
      <c r="E5" s="38" t="s">
        <v>31</v>
      </c>
      <c r="F5" s="38" t="s">
        <v>32</v>
      </c>
      <c r="G5" s="38" t="s">
        <v>32</v>
      </c>
    </row>
    <row r="6" spans="1:7">
      <c r="A6" s="6">
        <f t="shared" ref="A6:A36" si="0">B6</f>
        <v>42917</v>
      </c>
      <c r="B6" s="7">
        <v>42917</v>
      </c>
      <c r="C6" s="39">
        <f t="shared" ref="C6:C36" si="1">D6+F6</f>
        <v>15</v>
      </c>
      <c r="D6" s="40">
        <f>E6</f>
        <v>8</v>
      </c>
      <c r="E6" s="41">
        <v>8</v>
      </c>
      <c r="F6" s="40">
        <f>G6</f>
        <v>7</v>
      </c>
      <c r="G6" s="41">
        <v>7</v>
      </c>
    </row>
    <row r="7" spans="1:7">
      <c r="A7" s="6">
        <f t="shared" si="0"/>
        <v>42918</v>
      </c>
      <c r="B7" s="7">
        <v>42918</v>
      </c>
      <c r="C7" s="39">
        <f t="shared" si="1"/>
        <v>10</v>
      </c>
      <c r="D7" s="42">
        <f>IF(E7- E6 &lt;0,0,E7-E6)</f>
        <v>4</v>
      </c>
      <c r="E7" s="41">
        <v>12</v>
      </c>
      <c r="F7" s="42">
        <f>IF(G7- G6 &lt;0,0,G7-G6)</f>
        <v>6</v>
      </c>
      <c r="G7" s="41">
        <v>13</v>
      </c>
    </row>
    <row r="8" spans="1:7">
      <c r="A8" s="6">
        <f t="shared" si="0"/>
        <v>42919</v>
      </c>
      <c r="B8" s="7">
        <v>42919</v>
      </c>
      <c r="C8" s="39">
        <f t="shared" si="1"/>
        <v>10</v>
      </c>
      <c r="D8" s="42">
        <f t="shared" ref="D8:D36" si="2">IF(E8- E7 &lt;0,0,E8-E7)</f>
        <v>5</v>
      </c>
      <c r="E8" s="41">
        <v>17</v>
      </c>
      <c r="F8" s="42">
        <f>IF(G8-G7&lt;0,0,G8-G7)</f>
        <v>5</v>
      </c>
      <c r="G8" s="41">
        <v>18</v>
      </c>
    </row>
    <row r="9" spans="1:7">
      <c r="A9" s="6">
        <f t="shared" si="0"/>
        <v>42920</v>
      </c>
      <c r="B9" s="7">
        <v>42920</v>
      </c>
      <c r="C9" s="39">
        <f t="shared" si="1"/>
        <v>2</v>
      </c>
      <c r="D9" s="42">
        <f t="shared" si="2"/>
        <v>2</v>
      </c>
      <c r="E9" s="41">
        <v>19</v>
      </c>
      <c r="F9" s="42">
        <f t="shared" ref="F9:F36" si="3">IF(G9-G8&lt;0,0,G9-G8)</f>
        <v>0</v>
      </c>
      <c r="G9" s="41">
        <v>18</v>
      </c>
    </row>
    <row r="10" spans="1:7">
      <c r="A10" s="6">
        <f t="shared" si="0"/>
        <v>42921</v>
      </c>
      <c r="B10" s="7">
        <v>42921</v>
      </c>
      <c r="C10" s="39">
        <f t="shared" si="1"/>
        <v>1</v>
      </c>
      <c r="D10" s="42">
        <f t="shared" si="2"/>
        <v>0</v>
      </c>
      <c r="E10" s="41">
        <v>19</v>
      </c>
      <c r="F10" s="42">
        <f t="shared" si="3"/>
        <v>1</v>
      </c>
      <c r="G10" s="41">
        <v>19</v>
      </c>
    </row>
    <row r="11" spans="1:7">
      <c r="A11" s="6">
        <f t="shared" si="0"/>
        <v>42922</v>
      </c>
      <c r="B11" s="7">
        <v>42922</v>
      </c>
      <c r="C11" s="39">
        <f t="shared" si="1"/>
        <v>2</v>
      </c>
      <c r="D11" s="42">
        <f t="shared" si="2"/>
        <v>1</v>
      </c>
      <c r="E11" s="41">
        <v>20</v>
      </c>
      <c r="F11" s="42">
        <f t="shared" si="3"/>
        <v>1</v>
      </c>
      <c r="G11" s="41">
        <v>20</v>
      </c>
    </row>
    <row r="12" spans="1:7">
      <c r="A12" s="6">
        <f t="shared" si="0"/>
        <v>42923</v>
      </c>
      <c r="B12" s="7">
        <v>42923</v>
      </c>
      <c r="C12" s="39">
        <f t="shared" si="1"/>
        <v>0</v>
      </c>
      <c r="D12" s="42">
        <f t="shared" si="2"/>
        <v>0</v>
      </c>
      <c r="E12" s="41">
        <v>20</v>
      </c>
      <c r="F12" s="42">
        <f t="shared" si="3"/>
        <v>0</v>
      </c>
      <c r="G12" s="41">
        <v>20</v>
      </c>
    </row>
    <row r="13" spans="1:7">
      <c r="A13" s="6">
        <f t="shared" si="0"/>
        <v>42924</v>
      </c>
      <c r="B13" s="7">
        <v>42924</v>
      </c>
      <c r="C13" s="39">
        <f t="shared" si="1"/>
        <v>1</v>
      </c>
      <c r="D13" s="42">
        <f t="shared" si="2"/>
        <v>1</v>
      </c>
      <c r="E13" s="41">
        <v>21</v>
      </c>
      <c r="F13" s="42">
        <f t="shared" si="3"/>
        <v>0</v>
      </c>
      <c r="G13" s="41">
        <v>20</v>
      </c>
    </row>
    <row r="14" spans="1:7">
      <c r="A14" s="6">
        <f t="shared" si="0"/>
        <v>42925</v>
      </c>
      <c r="B14" s="7">
        <v>42925</v>
      </c>
      <c r="C14" s="39">
        <f t="shared" si="1"/>
        <v>0</v>
      </c>
      <c r="D14" s="42">
        <f t="shared" si="2"/>
        <v>0</v>
      </c>
      <c r="E14" s="41">
        <v>21</v>
      </c>
      <c r="F14" s="42">
        <f t="shared" si="3"/>
        <v>0</v>
      </c>
      <c r="G14" s="41">
        <v>20</v>
      </c>
    </row>
    <row r="15" spans="1:7">
      <c r="A15" s="6">
        <f t="shared" si="0"/>
        <v>42926</v>
      </c>
      <c r="B15" s="7">
        <v>42926</v>
      </c>
      <c r="C15" s="39">
        <f t="shared" si="1"/>
        <v>0</v>
      </c>
      <c r="D15" s="42">
        <f t="shared" si="2"/>
        <v>0</v>
      </c>
      <c r="E15" s="41">
        <v>21</v>
      </c>
      <c r="F15" s="42">
        <f t="shared" si="3"/>
        <v>0</v>
      </c>
      <c r="G15" s="41">
        <v>20</v>
      </c>
    </row>
    <row r="16" spans="1:7">
      <c r="A16" s="6">
        <f t="shared" si="0"/>
        <v>42927</v>
      </c>
      <c r="B16" s="7">
        <v>42927</v>
      </c>
      <c r="C16" s="39">
        <f t="shared" si="1"/>
        <v>0</v>
      </c>
      <c r="D16" s="42">
        <f t="shared" si="2"/>
        <v>0</v>
      </c>
      <c r="E16" s="41">
        <v>21</v>
      </c>
      <c r="F16" s="42">
        <f t="shared" si="3"/>
        <v>0</v>
      </c>
      <c r="G16" s="41">
        <v>20</v>
      </c>
    </row>
    <row r="17" spans="1:7">
      <c r="A17" s="6">
        <f t="shared" si="0"/>
        <v>42928</v>
      </c>
      <c r="B17" s="7">
        <v>42928</v>
      </c>
      <c r="C17" s="39">
        <f t="shared" si="1"/>
        <v>0</v>
      </c>
      <c r="D17" s="42">
        <f t="shared" si="2"/>
        <v>0</v>
      </c>
      <c r="E17" s="41">
        <v>21</v>
      </c>
      <c r="F17" s="42">
        <f t="shared" si="3"/>
        <v>0</v>
      </c>
      <c r="G17" s="41">
        <v>20</v>
      </c>
    </row>
    <row r="18" spans="1:7">
      <c r="A18" s="6">
        <f t="shared" si="0"/>
        <v>42929</v>
      </c>
      <c r="B18" s="7">
        <v>42929</v>
      </c>
      <c r="C18" s="39">
        <f t="shared" si="1"/>
        <v>0</v>
      </c>
      <c r="D18" s="42">
        <f t="shared" si="2"/>
        <v>0</v>
      </c>
      <c r="E18" s="41">
        <v>21</v>
      </c>
      <c r="F18" s="42">
        <f t="shared" si="3"/>
        <v>0</v>
      </c>
      <c r="G18" s="41">
        <v>20</v>
      </c>
    </row>
    <row r="19" spans="1:7">
      <c r="A19" s="6">
        <f t="shared" si="0"/>
        <v>42930</v>
      </c>
      <c r="B19" s="7">
        <v>42930</v>
      </c>
      <c r="C19" s="39">
        <f t="shared" si="1"/>
        <v>1</v>
      </c>
      <c r="D19" s="42">
        <f t="shared" si="2"/>
        <v>1</v>
      </c>
      <c r="E19" s="41">
        <v>22</v>
      </c>
      <c r="F19" s="42">
        <f t="shared" si="3"/>
        <v>0</v>
      </c>
      <c r="G19" s="41">
        <v>20</v>
      </c>
    </row>
    <row r="20" spans="1:7">
      <c r="A20" s="6">
        <f t="shared" si="0"/>
        <v>42931</v>
      </c>
      <c r="B20" s="7">
        <v>42931</v>
      </c>
      <c r="C20" s="39">
        <f t="shared" si="1"/>
        <v>0</v>
      </c>
      <c r="D20" s="42">
        <f t="shared" si="2"/>
        <v>0</v>
      </c>
      <c r="E20" s="41">
        <f>16+6</f>
        <v>22</v>
      </c>
      <c r="F20" s="42">
        <f t="shared" si="3"/>
        <v>0</v>
      </c>
      <c r="G20" s="41">
        <v>20</v>
      </c>
    </row>
    <row r="21" spans="1:7">
      <c r="A21" s="6">
        <f t="shared" si="0"/>
        <v>42932</v>
      </c>
      <c r="B21" s="7">
        <v>42932</v>
      </c>
      <c r="C21" s="39">
        <f t="shared" si="1"/>
        <v>0</v>
      </c>
      <c r="D21" s="42">
        <f t="shared" si="2"/>
        <v>0</v>
      </c>
      <c r="E21" s="41">
        <f>16+6</f>
        <v>22</v>
      </c>
      <c r="F21" s="42">
        <f t="shared" si="3"/>
        <v>0</v>
      </c>
      <c r="G21" s="41">
        <v>20</v>
      </c>
    </row>
    <row r="22" spans="1:7">
      <c r="A22" s="6">
        <f t="shared" si="0"/>
        <v>42933</v>
      </c>
      <c r="B22" s="7">
        <v>42933</v>
      </c>
      <c r="C22" s="39">
        <f t="shared" si="1"/>
        <v>0</v>
      </c>
      <c r="D22" s="42">
        <f t="shared" si="2"/>
        <v>0</v>
      </c>
      <c r="E22" s="41">
        <v>22</v>
      </c>
      <c r="F22" s="42">
        <f t="shared" si="3"/>
        <v>0</v>
      </c>
      <c r="G22" s="41">
        <v>20</v>
      </c>
    </row>
    <row r="23" spans="1:7">
      <c r="A23" s="6">
        <f t="shared" si="0"/>
        <v>42934</v>
      </c>
      <c r="B23" s="7">
        <v>42934</v>
      </c>
      <c r="C23" s="39">
        <f t="shared" si="1"/>
        <v>0</v>
      </c>
      <c r="D23" s="42">
        <f t="shared" si="2"/>
        <v>0</v>
      </c>
      <c r="E23" s="41">
        <v>22</v>
      </c>
      <c r="F23" s="42">
        <f t="shared" si="3"/>
        <v>0</v>
      </c>
      <c r="G23" s="41">
        <v>20</v>
      </c>
    </row>
    <row r="24" spans="1:7">
      <c r="A24" s="6">
        <f t="shared" si="0"/>
        <v>42935</v>
      </c>
      <c r="B24" s="7">
        <v>42935</v>
      </c>
      <c r="C24" s="39">
        <f t="shared" si="1"/>
        <v>0</v>
      </c>
      <c r="D24" s="42">
        <f t="shared" si="2"/>
        <v>0</v>
      </c>
      <c r="E24" s="41">
        <v>22</v>
      </c>
      <c r="F24" s="42">
        <f t="shared" si="3"/>
        <v>0</v>
      </c>
      <c r="G24" s="41">
        <v>20</v>
      </c>
    </row>
    <row r="25" spans="1:7">
      <c r="A25" s="6">
        <f t="shared" si="0"/>
        <v>42936</v>
      </c>
      <c r="B25" s="7">
        <v>42936</v>
      </c>
      <c r="C25" s="39">
        <f>D25+F25</f>
        <v>0</v>
      </c>
      <c r="D25" s="42">
        <f t="shared" si="2"/>
        <v>0</v>
      </c>
      <c r="E25" s="43">
        <v>22</v>
      </c>
      <c r="F25" s="42">
        <f t="shared" si="3"/>
        <v>0</v>
      </c>
      <c r="G25" s="41">
        <v>20</v>
      </c>
    </row>
    <row r="26" spans="1:7">
      <c r="A26" s="6">
        <f t="shared" si="0"/>
        <v>42937</v>
      </c>
      <c r="B26" s="7">
        <v>42937</v>
      </c>
      <c r="C26" s="39">
        <f t="shared" si="1"/>
        <v>0</v>
      </c>
      <c r="D26" s="42">
        <f t="shared" si="2"/>
        <v>0</v>
      </c>
      <c r="E26" s="41">
        <v>22</v>
      </c>
      <c r="F26" s="42">
        <f>IF(G26-G25&lt;0,0,G26-G25)</f>
        <v>0</v>
      </c>
      <c r="G26" s="41">
        <v>20</v>
      </c>
    </row>
    <row r="27" spans="1:7">
      <c r="A27" s="6">
        <f t="shared" si="0"/>
        <v>42938</v>
      </c>
      <c r="B27" s="7">
        <v>42938</v>
      </c>
      <c r="C27" s="39">
        <f t="shared" si="1"/>
        <v>0</v>
      </c>
      <c r="D27" s="42">
        <f t="shared" si="2"/>
        <v>0</v>
      </c>
      <c r="E27" s="41">
        <v>22</v>
      </c>
      <c r="F27" s="42">
        <f t="shared" si="3"/>
        <v>0</v>
      </c>
      <c r="G27" s="41">
        <v>20</v>
      </c>
    </row>
    <row r="28" spans="1:7">
      <c r="A28" s="6">
        <f t="shared" si="0"/>
        <v>42939</v>
      </c>
      <c r="B28" s="7">
        <v>42939</v>
      </c>
      <c r="C28" s="39">
        <f t="shared" si="1"/>
        <v>0</v>
      </c>
      <c r="D28" s="42">
        <f t="shared" si="2"/>
        <v>0</v>
      </c>
      <c r="E28" s="41">
        <v>22</v>
      </c>
      <c r="F28" s="42">
        <f t="shared" si="3"/>
        <v>0</v>
      </c>
      <c r="G28" s="42">
        <v>20</v>
      </c>
    </row>
    <row r="29" spans="1:7">
      <c r="A29" s="6">
        <f t="shared" si="0"/>
        <v>42940</v>
      </c>
      <c r="B29" s="7">
        <v>42940</v>
      </c>
      <c r="C29" s="39">
        <f t="shared" si="1"/>
        <v>1</v>
      </c>
      <c r="D29" s="42">
        <f t="shared" si="2"/>
        <v>1</v>
      </c>
      <c r="E29" s="41">
        <v>23</v>
      </c>
      <c r="F29" s="42">
        <f t="shared" si="3"/>
        <v>0</v>
      </c>
      <c r="G29" s="42">
        <v>20</v>
      </c>
    </row>
    <row r="30" spans="1:7">
      <c r="A30" s="6">
        <f t="shared" si="0"/>
        <v>42941</v>
      </c>
      <c r="B30" s="7">
        <v>42941</v>
      </c>
      <c r="C30" s="39">
        <f t="shared" si="1"/>
        <v>0</v>
      </c>
      <c r="D30" s="42">
        <f>IF(E30- E29 &lt;0,0,E30-E29)</f>
        <v>0</v>
      </c>
      <c r="E30" s="41">
        <v>23</v>
      </c>
      <c r="F30" s="42">
        <f t="shared" si="3"/>
        <v>0</v>
      </c>
      <c r="G30" s="42">
        <v>20</v>
      </c>
    </row>
    <row r="31" spans="1:7">
      <c r="A31" s="6">
        <f t="shared" si="0"/>
        <v>42942</v>
      </c>
      <c r="B31" s="7">
        <v>42942</v>
      </c>
      <c r="C31" s="39">
        <f t="shared" si="1"/>
        <v>0</v>
      </c>
      <c r="D31" s="42">
        <f t="shared" si="2"/>
        <v>0</v>
      </c>
      <c r="E31" s="41">
        <v>23</v>
      </c>
      <c r="F31" s="42">
        <f t="shared" si="3"/>
        <v>0</v>
      </c>
      <c r="G31" s="42">
        <v>20</v>
      </c>
    </row>
    <row r="32" spans="1:7">
      <c r="A32" s="6">
        <f t="shared" si="0"/>
        <v>42943</v>
      </c>
      <c r="B32" s="7">
        <v>42943</v>
      </c>
      <c r="C32" s="39">
        <f t="shared" si="1"/>
        <v>0</v>
      </c>
      <c r="D32" s="42">
        <f t="shared" si="2"/>
        <v>0</v>
      </c>
      <c r="E32" s="41">
        <v>23</v>
      </c>
      <c r="F32" s="42">
        <f t="shared" si="3"/>
        <v>0</v>
      </c>
      <c r="G32" s="42">
        <v>20</v>
      </c>
    </row>
    <row r="33" spans="1:7">
      <c r="A33" s="6">
        <f t="shared" si="0"/>
        <v>42944</v>
      </c>
      <c r="B33" s="7">
        <v>42944</v>
      </c>
      <c r="C33" s="39">
        <f t="shared" si="1"/>
        <v>0</v>
      </c>
      <c r="D33" s="42">
        <f t="shared" si="2"/>
        <v>0</v>
      </c>
      <c r="E33" s="41">
        <v>23</v>
      </c>
      <c r="F33" s="42">
        <f t="shared" si="3"/>
        <v>0</v>
      </c>
      <c r="G33" s="42">
        <v>20</v>
      </c>
    </row>
    <row r="34" spans="1:7">
      <c r="A34" s="6">
        <f t="shared" si="0"/>
        <v>42945</v>
      </c>
      <c r="B34" s="7">
        <v>42945</v>
      </c>
      <c r="C34" s="39">
        <f t="shared" si="1"/>
        <v>0</v>
      </c>
      <c r="D34" s="42">
        <f t="shared" si="2"/>
        <v>0</v>
      </c>
      <c r="E34" s="41">
        <v>23</v>
      </c>
      <c r="F34" s="42">
        <f t="shared" si="3"/>
        <v>0</v>
      </c>
      <c r="G34" s="42">
        <v>20</v>
      </c>
    </row>
    <row r="35" spans="1:7">
      <c r="A35" s="6">
        <f t="shared" si="0"/>
        <v>42946</v>
      </c>
      <c r="B35" s="7">
        <v>42946</v>
      </c>
      <c r="C35" s="39">
        <f t="shared" si="1"/>
        <v>0</v>
      </c>
      <c r="D35" s="42">
        <f t="shared" si="2"/>
        <v>0</v>
      </c>
      <c r="E35" s="41">
        <v>23</v>
      </c>
      <c r="F35" s="42">
        <f t="shared" si="3"/>
        <v>0</v>
      </c>
      <c r="G35" s="42">
        <v>20</v>
      </c>
    </row>
    <row r="36" spans="1:7">
      <c r="A36" s="6">
        <f t="shared" si="0"/>
        <v>42947</v>
      </c>
      <c r="B36" s="7">
        <v>42947</v>
      </c>
      <c r="C36" s="39">
        <f t="shared" si="1"/>
        <v>0</v>
      </c>
      <c r="D36" s="42">
        <f t="shared" si="2"/>
        <v>0</v>
      </c>
      <c r="E36" s="8">
        <v>23</v>
      </c>
      <c r="F36" s="44">
        <f t="shared" si="3"/>
        <v>0</v>
      </c>
      <c r="G36" s="44">
        <v>20</v>
      </c>
    </row>
    <row r="37" spans="1:7">
      <c r="B37" s="10" t="s">
        <v>6</v>
      </c>
      <c r="C37" s="11">
        <f>SUM(C6:C36)</f>
        <v>43</v>
      </c>
      <c r="D37" s="9"/>
      <c r="E37" s="45"/>
      <c r="F37" s="44"/>
      <c r="G37" s="45"/>
    </row>
    <row r="38" spans="1:7">
      <c r="C38" s="13"/>
      <c r="D38" s="13"/>
    </row>
    <row r="39" spans="1:7">
      <c r="B39" s="14" t="s">
        <v>7</v>
      </c>
      <c r="C39" s="9">
        <v>600</v>
      </c>
      <c r="D39" s="13"/>
    </row>
    <row r="40" spans="1:7">
      <c r="B40" s="14" t="s">
        <v>8</v>
      </c>
      <c r="C40" s="9">
        <f>C37</f>
        <v>43</v>
      </c>
      <c r="D40" s="13"/>
    </row>
    <row r="41" spans="1:7">
      <c r="B41" s="14" t="s">
        <v>9</v>
      </c>
      <c r="C41" s="9">
        <f>C39-C40</f>
        <v>557</v>
      </c>
      <c r="D41" s="13"/>
    </row>
    <row r="42" spans="1:7">
      <c r="B42" s="14" t="s">
        <v>10</v>
      </c>
      <c r="C42" s="15">
        <f>C40/C39</f>
        <v>7.166666666666667E-2</v>
      </c>
      <c r="D42" s="46"/>
    </row>
    <row r="43" spans="1:7">
      <c r="B43" s="14" t="s">
        <v>11</v>
      </c>
      <c r="C43" s="9">
        <f>IF(C40&lt;C39,0,C40-C39)</f>
        <v>0</v>
      </c>
      <c r="D43" s="13"/>
    </row>
    <row r="44" spans="1:7">
      <c r="B44" s="14" t="s">
        <v>12</v>
      </c>
      <c r="C44" s="9">
        <f ca="1">(C39-C37)/C48</f>
        <v>18.566666666666666</v>
      </c>
      <c r="D44" s="13"/>
    </row>
    <row r="45" spans="1:7" ht="15.75" customHeight="1" thickBot="1"/>
    <row r="46" spans="1:7">
      <c r="B46" s="16" t="s">
        <v>13</v>
      </c>
      <c r="C46" s="17">
        <f ca="1">C50-C49</f>
        <v>1</v>
      </c>
      <c r="D46" s="17"/>
      <c r="E46" s="18"/>
      <c r="F46" s="47"/>
    </row>
    <row r="47" spans="1:7">
      <c r="B47" s="19" t="s">
        <v>14</v>
      </c>
      <c r="C47" s="20">
        <f ca="1">E49-C49+1</f>
        <v>31</v>
      </c>
      <c r="D47" s="20"/>
      <c r="E47" s="21"/>
      <c r="F47" s="47"/>
    </row>
    <row r="48" spans="1:7">
      <c r="B48" s="19" t="s">
        <v>15</v>
      </c>
      <c r="C48" s="20">
        <f ca="1">+C47-C46</f>
        <v>30</v>
      </c>
      <c r="D48" s="20"/>
      <c r="E48" s="21"/>
      <c r="F48" s="47"/>
    </row>
    <row r="49" spans="2:6">
      <c r="B49" s="22">
        <f ca="1">NOW()</f>
        <v>42949.45864409722</v>
      </c>
      <c r="C49" s="23">
        <f ca="1">EOMONTH(TODAY(),-1)+1</f>
        <v>42948</v>
      </c>
      <c r="D49" s="23"/>
      <c r="E49" s="24">
        <f ca="1">EOMONTH(NOW(),0)</f>
        <v>42978</v>
      </c>
      <c r="F49" s="48"/>
    </row>
    <row r="50" spans="2:6">
      <c r="B50" s="19" t="s">
        <v>16</v>
      </c>
      <c r="C50" s="23">
        <f ca="1">TODAY()</f>
        <v>42949</v>
      </c>
      <c r="D50" s="23"/>
      <c r="E50" s="21"/>
      <c r="F50" s="47"/>
    </row>
    <row r="51" spans="2:6">
      <c r="B51" s="19"/>
      <c r="C51" s="20"/>
      <c r="D51" s="20"/>
      <c r="E51" s="25"/>
    </row>
    <row r="52" spans="2:6">
      <c r="B52" s="26" t="s">
        <v>17</v>
      </c>
      <c r="C52" s="27"/>
      <c r="D52" s="27"/>
      <c r="E52" s="28">
        <f ca="1">TODAY()-1</f>
        <v>42948</v>
      </c>
      <c r="F52" s="49"/>
    </row>
    <row r="53" spans="2:6">
      <c r="B53" s="26" t="s">
        <v>18</v>
      </c>
      <c r="C53" s="27"/>
      <c r="D53" s="27"/>
      <c r="E53" s="29">
        <f ca="1">C46/C47</f>
        <v>3.2258064516129031E-2</v>
      </c>
      <c r="F53" s="50"/>
    </row>
    <row r="54" spans="2:6" ht="15.75" customHeight="1" thickBot="1">
      <c r="B54" s="30" t="s">
        <v>19</v>
      </c>
      <c r="C54" s="31"/>
      <c r="D54" s="31"/>
      <c r="E54" s="32">
        <f ca="1">C48/C47</f>
        <v>0.967741935483871</v>
      </c>
      <c r="F54" s="50"/>
    </row>
    <row r="57" spans="2:6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4"/>
  <sheetViews>
    <sheetView showGridLines="0" topLeftCell="A8" workbookViewId="0">
      <selection activeCell="C38" sqref="C38"/>
    </sheetView>
  </sheetViews>
  <sheetFormatPr baseColWidth="10" defaultColWidth="8.83203125" defaultRowHeight="14" x14ac:dyDescent="0"/>
  <cols>
    <col min="1" max="1" width="12.1640625" customWidth="1"/>
    <col min="2" max="2" width="22.5" bestFit="1" customWidth="1"/>
    <col min="3" max="3" width="15.5" bestFit="1" customWidth="1"/>
    <col min="4" max="4" width="14.83203125" customWidth="1"/>
  </cols>
  <sheetData>
    <row r="2" spans="1:4">
      <c r="B2" s="1" t="s">
        <v>34</v>
      </c>
    </row>
    <row r="4" spans="1:4">
      <c r="B4" s="2" t="s">
        <v>1</v>
      </c>
      <c r="C4" s="2"/>
    </row>
    <row r="5" spans="1:4">
      <c r="A5" s="3" t="s">
        <v>2</v>
      </c>
      <c r="B5" s="4" t="s">
        <v>3</v>
      </c>
      <c r="C5" s="4" t="s">
        <v>4</v>
      </c>
      <c r="D5" s="5" t="s">
        <v>5</v>
      </c>
    </row>
    <row r="6" spans="1:4">
      <c r="A6" s="6">
        <f t="shared" ref="A6:A36" si="0">B6</f>
        <v>42917</v>
      </c>
      <c r="B6" s="7">
        <v>42917</v>
      </c>
      <c r="C6" s="8">
        <f>D6</f>
        <v>3</v>
      </c>
      <c r="D6" s="8">
        <v>3</v>
      </c>
    </row>
    <row r="7" spans="1:4">
      <c r="A7" s="6">
        <f t="shared" si="0"/>
        <v>42918</v>
      </c>
      <c r="B7" s="7">
        <v>42918</v>
      </c>
      <c r="C7" s="8">
        <f t="shared" ref="C7:C36" si="1">IF(D7-D6&lt;0,0,D7-D6)</f>
        <v>5</v>
      </c>
      <c r="D7" s="8">
        <v>8</v>
      </c>
    </row>
    <row r="8" spans="1:4">
      <c r="A8" s="6">
        <f t="shared" si="0"/>
        <v>42919</v>
      </c>
      <c r="B8" s="7">
        <v>42919</v>
      </c>
      <c r="C8" s="8">
        <f t="shared" si="1"/>
        <v>9</v>
      </c>
      <c r="D8" s="8">
        <v>17</v>
      </c>
    </row>
    <row r="9" spans="1:4">
      <c r="A9" s="6">
        <f t="shared" si="0"/>
        <v>42920</v>
      </c>
      <c r="B9" s="7">
        <v>42920</v>
      </c>
      <c r="C9" s="8">
        <f t="shared" si="1"/>
        <v>9</v>
      </c>
      <c r="D9" s="8">
        <v>26</v>
      </c>
    </row>
    <row r="10" spans="1:4">
      <c r="A10" s="6">
        <f t="shared" si="0"/>
        <v>42921</v>
      </c>
      <c r="B10" s="7">
        <v>42921</v>
      </c>
      <c r="C10" s="8">
        <f t="shared" si="1"/>
        <v>6</v>
      </c>
      <c r="D10" s="8">
        <v>32</v>
      </c>
    </row>
    <row r="11" spans="1:4">
      <c r="A11" s="6">
        <f t="shared" si="0"/>
        <v>42922</v>
      </c>
      <c r="B11" s="7">
        <v>42922</v>
      </c>
      <c r="C11" s="8">
        <f t="shared" si="1"/>
        <v>12</v>
      </c>
      <c r="D11" s="8">
        <v>44</v>
      </c>
    </row>
    <row r="12" spans="1:4">
      <c r="A12" s="6">
        <f t="shared" si="0"/>
        <v>42923</v>
      </c>
      <c r="B12" s="7">
        <v>42923</v>
      </c>
      <c r="C12" s="8">
        <f t="shared" si="1"/>
        <v>11</v>
      </c>
      <c r="D12" s="8">
        <f>28+27</f>
        <v>55</v>
      </c>
    </row>
    <row r="13" spans="1:4">
      <c r="A13" s="6">
        <f t="shared" si="0"/>
        <v>42924</v>
      </c>
      <c r="B13" s="7">
        <v>42924</v>
      </c>
      <c r="C13" s="8">
        <f t="shared" si="1"/>
        <v>8</v>
      </c>
      <c r="D13" s="8">
        <f>34+29</f>
        <v>63</v>
      </c>
    </row>
    <row r="14" spans="1:4">
      <c r="A14" s="6">
        <f t="shared" si="0"/>
        <v>42925</v>
      </c>
      <c r="B14" s="7">
        <v>42925</v>
      </c>
      <c r="C14" s="8">
        <f t="shared" si="1"/>
        <v>11</v>
      </c>
      <c r="D14" s="8">
        <v>74</v>
      </c>
    </row>
    <row r="15" spans="1:4">
      <c r="A15" s="6">
        <f t="shared" si="0"/>
        <v>42926</v>
      </c>
      <c r="B15" s="7">
        <v>42926</v>
      </c>
      <c r="C15" s="8">
        <f t="shared" si="1"/>
        <v>15</v>
      </c>
      <c r="D15" s="8">
        <v>89</v>
      </c>
    </row>
    <row r="16" spans="1:4">
      <c r="A16" s="6">
        <f t="shared" si="0"/>
        <v>42927</v>
      </c>
      <c r="B16" s="7">
        <v>42927</v>
      </c>
      <c r="C16" s="8">
        <f t="shared" si="1"/>
        <v>10</v>
      </c>
      <c r="D16" s="8">
        <v>99</v>
      </c>
    </row>
    <row r="17" spans="1:4">
      <c r="A17" s="6">
        <f t="shared" si="0"/>
        <v>42928</v>
      </c>
      <c r="B17" s="7">
        <v>42928</v>
      </c>
      <c r="C17" s="8">
        <f t="shared" si="1"/>
        <v>6</v>
      </c>
      <c r="D17" s="8">
        <v>105</v>
      </c>
    </row>
    <row r="18" spans="1:4">
      <c r="A18" s="6">
        <f t="shared" si="0"/>
        <v>42929</v>
      </c>
      <c r="B18" s="7">
        <v>42929</v>
      </c>
      <c r="C18" s="8">
        <f t="shared" si="1"/>
        <v>5</v>
      </c>
      <c r="D18" s="8">
        <v>110</v>
      </c>
    </row>
    <row r="19" spans="1:4">
      <c r="A19" s="6">
        <f t="shared" si="0"/>
        <v>42930</v>
      </c>
      <c r="B19" s="7">
        <v>42930</v>
      </c>
      <c r="C19" s="8">
        <f t="shared" si="1"/>
        <v>7</v>
      </c>
      <c r="D19" s="8">
        <f>67+50</f>
        <v>117</v>
      </c>
    </row>
    <row r="20" spans="1:4">
      <c r="A20" s="6">
        <f t="shared" si="0"/>
        <v>42931</v>
      </c>
      <c r="B20" s="7">
        <v>42931</v>
      </c>
      <c r="C20" s="8">
        <f t="shared" si="1"/>
        <v>4</v>
      </c>
      <c r="D20" s="8">
        <f>69+52</f>
        <v>121</v>
      </c>
    </row>
    <row r="21" spans="1:4">
      <c r="A21" s="6">
        <f t="shared" si="0"/>
        <v>42932</v>
      </c>
      <c r="B21" s="7">
        <v>42932</v>
      </c>
      <c r="C21" s="8">
        <f t="shared" si="1"/>
        <v>6</v>
      </c>
      <c r="D21" s="8">
        <f>72+55</f>
        <v>127</v>
      </c>
    </row>
    <row r="22" spans="1:4">
      <c r="A22" s="6">
        <f t="shared" si="0"/>
        <v>42933</v>
      </c>
      <c r="B22" s="7">
        <v>42933</v>
      </c>
      <c r="C22" s="8">
        <f t="shared" si="1"/>
        <v>9</v>
      </c>
      <c r="D22" s="8">
        <f>77+59</f>
        <v>136</v>
      </c>
    </row>
    <row r="23" spans="1:4">
      <c r="A23" s="6">
        <f t="shared" si="0"/>
        <v>42934</v>
      </c>
      <c r="B23" s="7">
        <v>42934</v>
      </c>
      <c r="C23" s="8">
        <f t="shared" si="1"/>
        <v>9</v>
      </c>
      <c r="D23" s="8">
        <v>145</v>
      </c>
    </row>
    <row r="24" spans="1:4">
      <c r="A24" s="6">
        <f t="shared" si="0"/>
        <v>42935</v>
      </c>
      <c r="B24" s="7">
        <v>42935</v>
      </c>
      <c r="C24" s="8">
        <f t="shared" si="1"/>
        <v>8</v>
      </c>
      <c r="D24" s="8">
        <v>153</v>
      </c>
    </row>
    <row r="25" spans="1:4">
      <c r="A25" s="6">
        <f t="shared" si="0"/>
        <v>42936</v>
      </c>
      <c r="B25" s="7">
        <v>42936</v>
      </c>
      <c r="C25" s="8">
        <f t="shared" si="1"/>
        <v>8</v>
      </c>
      <c r="D25" s="8">
        <v>161</v>
      </c>
    </row>
    <row r="26" spans="1:4">
      <c r="A26" s="6">
        <f t="shared" si="0"/>
        <v>42937</v>
      </c>
      <c r="B26" s="7">
        <v>42937</v>
      </c>
      <c r="C26" s="8">
        <f t="shared" si="1"/>
        <v>5</v>
      </c>
      <c r="D26" s="8">
        <f>94+72</f>
        <v>166</v>
      </c>
    </row>
    <row r="27" spans="1:4">
      <c r="A27" s="6">
        <f t="shared" si="0"/>
        <v>42938</v>
      </c>
      <c r="B27" s="7">
        <v>42938</v>
      </c>
      <c r="C27" s="8">
        <f t="shared" si="1"/>
        <v>4</v>
      </c>
      <c r="D27" s="8">
        <f>98+72</f>
        <v>170</v>
      </c>
    </row>
    <row r="28" spans="1:4">
      <c r="A28" s="6">
        <f t="shared" si="0"/>
        <v>42939</v>
      </c>
      <c r="B28" s="7">
        <v>42939</v>
      </c>
      <c r="C28" s="8">
        <f t="shared" si="1"/>
        <v>7</v>
      </c>
      <c r="D28" s="8">
        <v>177</v>
      </c>
    </row>
    <row r="29" spans="1:4">
      <c r="A29" s="6">
        <f t="shared" si="0"/>
        <v>42940</v>
      </c>
      <c r="B29" s="7">
        <v>42940</v>
      </c>
      <c r="C29" s="8">
        <f t="shared" si="1"/>
        <v>9</v>
      </c>
      <c r="D29" s="8">
        <v>186</v>
      </c>
    </row>
    <row r="30" spans="1:4">
      <c r="A30" s="6">
        <f t="shared" si="0"/>
        <v>42941</v>
      </c>
      <c r="B30" s="7">
        <v>42941</v>
      </c>
      <c r="C30" s="8">
        <f t="shared" si="1"/>
        <v>10</v>
      </c>
      <c r="D30" s="8">
        <v>196</v>
      </c>
    </row>
    <row r="31" spans="1:4" ht="16.5" customHeight="1">
      <c r="A31" s="6">
        <f t="shared" si="0"/>
        <v>42942</v>
      </c>
      <c r="B31" s="7">
        <v>42942</v>
      </c>
      <c r="C31" s="8">
        <f t="shared" si="1"/>
        <v>6</v>
      </c>
      <c r="D31" s="8">
        <v>202</v>
      </c>
    </row>
    <row r="32" spans="1:4" ht="15" customHeight="1">
      <c r="A32" s="6">
        <f t="shared" si="0"/>
        <v>42943</v>
      </c>
      <c r="B32" s="7">
        <v>42943</v>
      </c>
      <c r="C32" s="8">
        <f t="shared" si="1"/>
        <v>11</v>
      </c>
      <c r="D32" s="8">
        <v>213</v>
      </c>
    </row>
    <row r="33" spans="1:4">
      <c r="A33" s="6">
        <f t="shared" si="0"/>
        <v>42944</v>
      </c>
      <c r="B33" s="7">
        <v>42944</v>
      </c>
      <c r="C33" s="8">
        <f t="shared" si="1"/>
        <v>12</v>
      </c>
      <c r="D33" s="8">
        <f>129+96</f>
        <v>225</v>
      </c>
    </row>
    <row r="34" spans="1:4">
      <c r="A34" s="6">
        <f t="shared" si="0"/>
        <v>42945</v>
      </c>
      <c r="B34" s="7">
        <v>42945</v>
      </c>
      <c r="C34" s="8">
        <f t="shared" si="1"/>
        <v>5</v>
      </c>
      <c r="D34" s="8">
        <f>131+99</f>
        <v>230</v>
      </c>
    </row>
    <row r="35" spans="1:4">
      <c r="A35" s="6">
        <f t="shared" si="0"/>
        <v>42946</v>
      </c>
      <c r="B35" s="7">
        <v>42946</v>
      </c>
      <c r="C35" s="8">
        <f t="shared" si="1"/>
        <v>13</v>
      </c>
      <c r="D35" s="8">
        <f>141+102</f>
        <v>243</v>
      </c>
    </row>
    <row r="36" spans="1:4">
      <c r="A36" s="6">
        <f t="shared" si="0"/>
        <v>42947</v>
      </c>
      <c r="B36" s="7">
        <v>42947</v>
      </c>
      <c r="C36" s="9">
        <f t="shared" si="1"/>
        <v>8</v>
      </c>
      <c r="D36" s="9">
        <v>251</v>
      </c>
    </row>
    <row r="37" spans="1:4">
      <c r="B37" s="10" t="s">
        <v>6</v>
      </c>
      <c r="C37" s="11">
        <f>SUM(C6:C36)</f>
        <v>251</v>
      </c>
      <c r="D37" s="12"/>
    </row>
    <row r="38" spans="1:4">
      <c r="C38" s="13"/>
    </row>
    <row r="39" spans="1:4">
      <c r="B39" s="14" t="s">
        <v>7</v>
      </c>
      <c r="C39" s="9">
        <v>250</v>
      </c>
    </row>
    <row r="40" spans="1:4">
      <c r="B40" s="14" t="s">
        <v>8</v>
      </c>
      <c r="C40" s="9">
        <f>C37</f>
        <v>251</v>
      </c>
    </row>
    <row r="41" spans="1:4">
      <c r="B41" s="14" t="s">
        <v>9</v>
      </c>
      <c r="C41" s="9">
        <f>C39-C40</f>
        <v>-1</v>
      </c>
    </row>
    <row r="42" spans="1:4">
      <c r="B42" s="14" t="s">
        <v>10</v>
      </c>
      <c r="C42" s="15">
        <f>C40/C39</f>
        <v>1.004</v>
      </c>
    </row>
    <row r="43" spans="1:4">
      <c r="B43" s="14" t="s">
        <v>11</v>
      </c>
      <c r="C43" s="9">
        <f>IF(C40&lt;C39,0,C40-C39)</f>
        <v>1</v>
      </c>
    </row>
    <row r="44" spans="1:4">
      <c r="B44" s="14" t="s">
        <v>12</v>
      </c>
      <c r="C44" s="9">
        <f ca="1">(C39-C37)/C48</f>
        <v>-3.3333333333333333E-2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4"/>
  <sheetViews>
    <sheetView showGridLines="0" topLeftCell="A3" workbookViewId="0">
      <selection activeCell="D37" sqref="D37"/>
    </sheetView>
  </sheetViews>
  <sheetFormatPr baseColWidth="10" defaultColWidth="8.83203125" defaultRowHeight="14" x14ac:dyDescent="0"/>
  <cols>
    <col min="1" max="1" width="12.1640625" customWidth="1"/>
    <col min="2" max="2" width="22.5" bestFit="1" customWidth="1"/>
    <col min="3" max="3" width="15.5" bestFit="1" customWidth="1"/>
    <col min="4" max="4" width="14.83203125" customWidth="1"/>
  </cols>
  <sheetData>
    <row r="2" spans="1:4">
      <c r="B2" s="1" t="s">
        <v>85</v>
      </c>
    </row>
    <row r="4" spans="1:4">
      <c r="B4" s="2" t="s">
        <v>1</v>
      </c>
      <c r="C4" s="2"/>
    </row>
    <row r="5" spans="1:4">
      <c r="A5" s="3" t="s">
        <v>2</v>
      </c>
      <c r="B5" s="4" t="s">
        <v>3</v>
      </c>
      <c r="C5" s="4" t="s">
        <v>4</v>
      </c>
      <c r="D5" s="5" t="s">
        <v>5</v>
      </c>
    </row>
    <row r="6" spans="1:4">
      <c r="A6" s="6">
        <f t="shared" ref="A6:A36" si="0">B6</f>
        <v>42917</v>
      </c>
      <c r="B6" s="7">
        <v>42917</v>
      </c>
      <c r="C6" s="8">
        <f>D6</f>
        <v>0</v>
      </c>
      <c r="D6" s="41">
        <v>0</v>
      </c>
    </row>
    <row r="7" spans="1:4">
      <c r="A7" s="6">
        <f t="shared" si="0"/>
        <v>42918</v>
      </c>
      <c r="B7" s="7">
        <v>42918</v>
      </c>
      <c r="C7" s="8">
        <f t="shared" ref="C7:C36" si="1">IF(D7-D6&lt;0,0,D7-D6)</f>
        <v>0</v>
      </c>
      <c r="D7" s="41">
        <v>0</v>
      </c>
    </row>
    <row r="8" spans="1:4">
      <c r="A8" s="6">
        <f t="shared" si="0"/>
        <v>42919</v>
      </c>
      <c r="B8" s="7">
        <v>42919</v>
      </c>
      <c r="C8" s="8">
        <f t="shared" si="1"/>
        <v>31</v>
      </c>
      <c r="D8" s="41">
        <f>16+15</f>
        <v>31</v>
      </c>
    </row>
    <row r="9" spans="1:4">
      <c r="A9" s="6">
        <f t="shared" si="0"/>
        <v>42920</v>
      </c>
      <c r="B9" s="7">
        <v>42920</v>
      </c>
      <c r="C9" s="8">
        <f t="shared" si="1"/>
        <v>25</v>
      </c>
      <c r="D9" s="41">
        <f>31+25</f>
        <v>56</v>
      </c>
    </row>
    <row r="10" spans="1:4">
      <c r="A10" s="6">
        <f t="shared" si="0"/>
        <v>42921</v>
      </c>
      <c r="B10" s="7">
        <v>42921</v>
      </c>
      <c r="C10" s="8">
        <f t="shared" si="1"/>
        <v>27</v>
      </c>
      <c r="D10" s="41">
        <f>46+37</f>
        <v>83</v>
      </c>
    </row>
    <row r="11" spans="1:4">
      <c r="A11" s="6">
        <f t="shared" si="0"/>
        <v>42922</v>
      </c>
      <c r="B11" s="7">
        <v>42922</v>
      </c>
      <c r="C11" s="8">
        <f t="shared" si="1"/>
        <v>32</v>
      </c>
      <c r="D11" s="8">
        <f>62+53</f>
        <v>115</v>
      </c>
    </row>
    <row r="12" spans="1:4">
      <c r="A12" s="6">
        <f t="shared" si="0"/>
        <v>42923</v>
      </c>
      <c r="B12" s="7">
        <v>42923</v>
      </c>
      <c r="C12" s="8">
        <f t="shared" si="1"/>
        <v>26</v>
      </c>
      <c r="D12" s="8">
        <f>76+65</f>
        <v>141</v>
      </c>
    </row>
    <row r="13" spans="1:4">
      <c r="A13" s="6">
        <f t="shared" si="0"/>
        <v>42924</v>
      </c>
      <c r="B13" s="7">
        <v>42924</v>
      </c>
      <c r="C13" s="8">
        <f t="shared" si="1"/>
        <v>22</v>
      </c>
      <c r="D13" s="8">
        <f>92+71</f>
        <v>163</v>
      </c>
    </row>
    <row r="14" spans="1:4">
      <c r="A14" s="6">
        <f t="shared" si="0"/>
        <v>42925</v>
      </c>
      <c r="B14" s="7">
        <v>42925</v>
      </c>
      <c r="C14" s="8">
        <f t="shared" si="1"/>
        <v>21</v>
      </c>
      <c r="D14" s="8">
        <v>184</v>
      </c>
    </row>
    <row r="15" spans="1:4">
      <c r="A15" s="6">
        <f t="shared" si="0"/>
        <v>42926</v>
      </c>
      <c r="B15" s="7">
        <v>42926</v>
      </c>
      <c r="C15" s="8">
        <f t="shared" si="1"/>
        <v>33</v>
      </c>
      <c r="D15" s="8">
        <v>217</v>
      </c>
    </row>
    <row r="16" spans="1:4">
      <c r="A16" s="6">
        <f t="shared" si="0"/>
        <v>42927</v>
      </c>
      <c r="B16" s="7">
        <v>42927</v>
      </c>
      <c r="C16" s="8">
        <f t="shared" si="1"/>
        <v>23</v>
      </c>
      <c r="D16" s="8">
        <v>240</v>
      </c>
    </row>
    <row r="17" spans="1:4">
      <c r="A17" s="6">
        <f t="shared" si="0"/>
        <v>42928</v>
      </c>
      <c r="B17" s="7">
        <v>42928</v>
      </c>
      <c r="C17" s="8">
        <f t="shared" si="1"/>
        <v>25</v>
      </c>
      <c r="D17" s="8">
        <v>265</v>
      </c>
    </row>
    <row r="18" spans="1:4">
      <c r="A18" s="6">
        <f t="shared" si="0"/>
        <v>42929</v>
      </c>
      <c r="B18" s="7">
        <v>42929</v>
      </c>
      <c r="C18" s="8">
        <f t="shared" si="1"/>
        <v>37</v>
      </c>
      <c r="D18" s="8">
        <v>302</v>
      </c>
    </row>
    <row r="19" spans="1:4">
      <c r="A19" s="6">
        <f t="shared" si="0"/>
        <v>42930</v>
      </c>
      <c r="B19" s="7">
        <v>42930</v>
      </c>
      <c r="C19" s="8">
        <f t="shared" si="1"/>
        <v>20</v>
      </c>
      <c r="D19" s="8">
        <f>185+137</f>
        <v>322</v>
      </c>
    </row>
    <row r="20" spans="1:4">
      <c r="A20" s="6">
        <f t="shared" si="0"/>
        <v>42931</v>
      </c>
      <c r="B20" s="7">
        <v>42931</v>
      </c>
      <c r="C20" s="8">
        <f t="shared" si="1"/>
        <v>24</v>
      </c>
      <c r="D20" s="8">
        <f>201+145</f>
        <v>346</v>
      </c>
    </row>
    <row r="21" spans="1:4">
      <c r="A21" s="6">
        <f t="shared" si="0"/>
        <v>42932</v>
      </c>
      <c r="B21" s="7">
        <v>42932</v>
      </c>
      <c r="C21" s="8">
        <f t="shared" si="1"/>
        <v>26</v>
      </c>
      <c r="D21" s="8">
        <f>220+152</f>
        <v>372</v>
      </c>
    </row>
    <row r="22" spans="1:4">
      <c r="A22" s="6">
        <f t="shared" si="0"/>
        <v>42933</v>
      </c>
      <c r="B22" s="7">
        <v>42933</v>
      </c>
      <c r="C22" s="8">
        <f t="shared" si="1"/>
        <v>18</v>
      </c>
      <c r="D22" s="8">
        <v>390</v>
      </c>
    </row>
    <row r="23" spans="1:4">
      <c r="A23" s="6">
        <f t="shared" si="0"/>
        <v>42934</v>
      </c>
      <c r="B23" s="7">
        <v>42934</v>
      </c>
      <c r="C23" s="8">
        <f t="shared" si="1"/>
        <v>25</v>
      </c>
      <c r="D23" s="8">
        <v>415</v>
      </c>
    </row>
    <row r="24" spans="1:4">
      <c r="A24" s="6">
        <f t="shared" si="0"/>
        <v>42935</v>
      </c>
      <c r="B24" s="7">
        <v>42935</v>
      </c>
      <c r="C24" s="8">
        <f t="shared" si="1"/>
        <v>22</v>
      </c>
      <c r="D24" s="8">
        <v>437</v>
      </c>
    </row>
    <row r="25" spans="1:4">
      <c r="A25" s="6">
        <f t="shared" si="0"/>
        <v>42936</v>
      </c>
      <c r="B25" s="7">
        <v>42936</v>
      </c>
      <c r="C25" s="8">
        <f t="shared" si="1"/>
        <v>22</v>
      </c>
      <c r="D25" s="8">
        <v>459</v>
      </c>
    </row>
    <row r="26" spans="1:4">
      <c r="A26" s="6">
        <f t="shared" si="0"/>
        <v>42937</v>
      </c>
      <c r="B26" s="7">
        <v>42937</v>
      </c>
      <c r="C26" s="8">
        <f t="shared" si="1"/>
        <v>28</v>
      </c>
      <c r="D26" s="8">
        <f>282+205</f>
        <v>487</v>
      </c>
    </row>
    <row r="27" spans="1:4">
      <c r="A27" s="6">
        <f t="shared" si="0"/>
        <v>42938</v>
      </c>
      <c r="B27" s="7">
        <v>42938</v>
      </c>
      <c r="C27" s="8">
        <f t="shared" si="1"/>
        <v>21</v>
      </c>
      <c r="D27" s="8">
        <f>294+214</f>
        <v>508</v>
      </c>
    </row>
    <row r="28" spans="1:4">
      <c r="A28" s="6">
        <f t="shared" si="0"/>
        <v>42939</v>
      </c>
      <c r="B28" s="7">
        <v>42939</v>
      </c>
      <c r="C28" s="8">
        <f t="shared" si="1"/>
        <v>23</v>
      </c>
      <c r="D28" s="8">
        <f>313+218</f>
        <v>531</v>
      </c>
    </row>
    <row r="29" spans="1:4">
      <c r="A29" s="6">
        <f t="shared" si="0"/>
        <v>42940</v>
      </c>
      <c r="B29" s="7">
        <v>42940</v>
      </c>
      <c r="C29" s="8">
        <f t="shared" si="1"/>
        <v>38</v>
      </c>
      <c r="D29" s="8">
        <v>569</v>
      </c>
    </row>
    <row r="30" spans="1:4">
      <c r="A30" s="6">
        <f t="shared" si="0"/>
        <v>42941</v>
      </c>
      <c r="B30" s="7">
        <v>42941</v>
      </c>
      <c r="C30" s="8">
        <f t="shared" si="1"/>
        <v>41</v>
      </c>
      <c r="D30" s="8">
        <v>610</v>
      </c>
    </row>
    <row r="31" spans="1:4" ht="16.5" customHeight="1">
      <c r="A31" s="6">
        <f t="shared" si="0"/>
        <v>42942</v>
      </c>
      <c r="B31" s="7">
        <v>42942</v>
      </c>
      <c r="C31" s="8">
        <f t="shared" si="1"/>
        <v>45</v>
      </c>
      <c r="D31" s="8">
        <v>655</v>
      </c>
    </row>
    <row r="32" spans="1:4" ht="15" customHeight="1">
      <c r="A32" s="6">
        <f t="shared" si="0"/>
        <v>42943</v>
      </c>
      <c r="B32" s="7">
        <v>42943</v>
      </c>
      <c r="C32" s="8">
        <f t="shared" si="1"/>
        <v>26</v>
      </c>
      <c r="D32" s="8">
        <v>681</v>
      </c>
    </row>
    <row r="33" spans="1:4">
      <c r="A33" s="6">
        <f t="shared" si="0"/>
        <v>42944</v>
      </c>
      <c r="B33" s="7">
        <v>42944</v>
      </c>
      <c r="C33" s="8">
        <f t="shared" si="1"/>
        <v>24</v>
      </c>
      <c r="D33" s="8">
        <f>410+295</f>
        <v>705</v>
      </c>
    </row>
    <row r="34" spans="1:4">
      <c r="A34" s="6">
        <f t="shared" si="0"/>
        <v>42945</v>
      </c>
      <c r="B34" s="7">
        <v>42945</v>
      </c>
      <c r="C34" s="8">
        <f t="shared" si="1"/>
        <v>35</v>
      </c>
      <c r="D34" s="8">
        <f>427+313</f>
        <v>740</v>
      </c>
    </row>
    <row r="35" spans="1:4">
      <c r="A35" s="6">
        <f t="shared" si="0"/>
        <v>42946</v>
      </c>
      <c r="B35" s="7">
        <v>42946</v>
      </c>
      <c r="C35" s="8">
        <f t="shared" si="1"/>
        <v>23</v>
      </c>
      <c r="D35" s="8">
        <v>763</v>
      </c>
    </row>
    <row r="36" spans="1:4">
      <c r="A36" s="6">
        <f t="shared" si="0"/>
        <v>42947</v>
      </c>
      <c r="B36" s="7">
        <v>42947</v>
      </c>
      <c r="C36" s="9">
        <f t="shared" si="1"/>
        <v>29</v>
      </c>
      <c r="D36" s="9">
        <v>792</v>
      </c>
    </row>
    <row r="37" spans="1:4">
      <c r="B37" s="10" t="s">
        <v>6</v>
      </c>
      <c r="C37" s="11">
        <f>SUM(C6:C36)</f>
        <v>792</v>
      </c>
      <c r="D37" s="12"/>
    </row>
    <row r="38" spans="1:4">
      <c r="C38" s="13"/>
    </row>
    <row r="39" spans="1:4">
      <c r="B39" s="14" t="s">
        <v>7</v>
      </c>
      <c r="C39" s="9">
        <v>5</v>
      </c>
    </row>
    <row r="40" spans="1:4">
      <c r="B40" s="14" t="s">
        <v>8</v>
      </c>
      <c r="C40" s="9">
        <f>C37</f>
        <v>792</v>
      </c>
    </row>
    <row r="41" spans="1:4">
      <c r="B41" s="14" t="s">
        <v>9</v>
      </c>
      <c r="C41" s="9">
        <f>C39-C40</f>
        <v>-787</v>
      </c>
    </row>
    <row r="42" spans="1:4">
      <c r="B42" s="14" t="s">
        <v>10</v>
      </c>
      <c r="C42" s="15">
        <f>C40/C39</f>
        <v>158.4</v>
      </c>
    </row>
    <row r="43" spans="1:4">
      <c r="B43" s="14" t="s">
        <v>11</v>
      </c>
      <c r="C43" s="9">
        <f>IF(C40&lt;C39,0,C40-C39)</f>
        <v>787</v>
      </c>
    </row>
    <row r="44" spans="1:4">
      <c r="B44" s="14" t="s">
        <v>12</v>
      </c>
      <c r="C44" s="9">
        <f ca="1">(C39-C37)/C48</f>
        <v>-26.233333333333334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7"/>
  <sheetViews>
    <sheetView showGridLines="0" workbookViewId="0">
      <selection activeCell="C38" sqref="C38"/>
    </sheetView>
  </sheetViews>
  <sheetFormatPr baseColWidth="10" defaultColWidth="8.83203125" defaultRowHeight="14" x14ac:dyDescent="0"/>
  <cols>
    <col min="1" max="1" width="12.1640625" customWidth="1"/>
    <col min="2" max="2" width="22.5" bestFit="1" customWidth="1"/>
    <col min="3" max="3" width="15.5" bestFit="1" customWidth="1"/>
    <col min="4" max="4" width="14.83203125" customWidth="1"/>
  </cols>
  <sheetData>
    <row r="2" spans="1:4">
      <c r="B2" s="1" t="s">
        <v>33</v>
      </c>
    </row>
    <row r="4" spans="1:4">
      <c r="B4" s="2" t="s">
        <v>1</v>
      </c>
      <c r="C4" s="2"/>
    </row>
    <row r="5" spans="1:4">
      <c r="A5" s="3" t="s">
        <v>2</v>
      </c>
      <c r="B5" s="4" t="s">
        <v>3</v>
      </c>
      <c r="C5" s="4" t="s">
        <v>4</v>
      </c>
      <c r="D5" s="5" t="s">
        <v>5</v>
      </c>
    </row>
    <row r="6" spans="1:4">
      <c r="A6" s="6">
        <f t="shared" ref="A6:A36" si="0">B6</f>
        <v>42917</v>
      </c>
      <c r="B6" s="7">
        <v>42917</v>
      </c>
      <c r="C6" s="8">
        <f>D6</f>
        <v>0</v>
      </c>
      <c r="D6" s="8">
        <v>0</v>
      </c>
    </row>
    <row r="7" spans="1:4">
      <c r="A7" s="6">
        <f t="shared" si="0"/>
        <v>42918</v>
      </c>
      <c r="B7" s="7">
        <v>42918</v>
      </c>
      <c r="C7" s="8">
        <f t="shared" ref="C7:C36" si="1">IF(D7-D6&lt;0,0,D7-D6)</f>
        <v>0</v>
      </c>
      <c r="D7" s="8">
        <v>0</v>
      </c>
    </row>
    <row r="8" spans="1:4">
      <c r="A8" s="6">
        <f t="shared" si="0"/>
        <v>42919</v>
      </c>
      <c r="B8" s="7">
        <v>42919</v>
      </c>
      <c r="C8" s="8">
        <f t="shared" si="1"/>
        <v>0</v>
      </c>
      <c r="D8" s="8">
        <v>0</v>
      </c>
    </row>
    <row r="9" spans="1:4">
      <c r="A9" s="6">
        <f t="shared" si="0"/>
        <v>42920</v>
      </c>
      <c r="B9" s="7">
        <v>42920</v>
      </c>
      <c r="C9" s="8">
        <f t="shared" si="1"/>
        <v>0</v>
      </c>
      <c r="D9" s="8">
        <v>0</v>
      </c>
    </row>
    <row r="10" spans="1:4">
      <c r="A10" s="6">
        <f t="shared" si="0"/>
        <v>42921</v>
      </c>
      <c r="B10" s="7">
        <v>42921</v>
      </c>
      <c r="C10" s="8">
        <f t="shared" si="1"/>
        <v>0</v>
      </c>
      <c r="D10" s="8">
        <v>0</v>
      </c>
    </row>
    <row r="11" spans="1:4">
      <c r="A11" s="6">
        <f t="shared" si="0"/>
        <v>42922</v>
      </c>
      <c r="B11" s="7">
        <v>42922</v>
      </c>
      <c r="C11" s="8">
        <f t="shared" si="1"/>
        <v>0</v>
      </c>
      <c r="D11" s="8">
        <v>0</v>
      </c>
    </row>
    <row r="12" spans="1:4">
      <c r="A12" s="6">
        <f t="shared" si="0"/>
        <v>42923</v>
      </c>
      <c r="B12" s="7">
        <v>42923</v>
      </c>
      <c r="C12" s="8">
        <f t="shared" si="1"/>
        <v>0</v>
      </c>
      <c r="D12" s="8">
        <v>0</v>
      </c>
    </row>
    <row r="13" spans="1:4">
      <c r="A13" s="6">
        <f t="shared" si="0"/>
        <v>42924</v>
      </c>
      <c r="B13" s="7">
        <v>42924</v>
      </c>
      <c r="C13" s="8">
        <f t="shared" si="1"/>
        <v>0</v>
      </c>
      <c r="D13" s="8">
        <v>0</v>
      </c>
    </row>
    <row r="14" spans="1:4">
      <c r="A14" s="6">
        <f t="shared" si="0"/>
        <v>42925</v>
      </c>
      <c r="B14" s="7">
        <v>42925</v>
      </c>
      <c r="C14" s="8">
        <f t="shared" si="1"/>
        <v>0</v>
      </c>
      <c r="D14" s="8">
        <v>0</v>
      </c>
    </row>
    <row r="15" spans="1:4">
      <c r="A15" s="6">
        <f t="shared" si="0"/>
        <v>42926</v>
      </c>
      <c r="B15" s="7">
        <v>42926</v>
      </c>
      <c r="C15" s="8">
        <f t="shared" si="1"/>
        <v>0</v>
      </c>
      <c r="D15" s="8">
        <v>0</v>
      </c>
    </row>
    <row r="16" spans="1:4">
      <c r="A16" s="6">
        <f t="shared" si="0"/>
        <v>42927</v>
      </c>
      <c r="B16" s="7">
        <v>42927</v>
      </c>
      <c r="C16" s="8">
        <f t="shared" si="1"/>
        <v>0</v>
      </c>
      <c r="D16" s="8">
        <v>0</v>
      </c>
    </row>
    <row r="17" spans="1:4">
      <c r="A17" s="6">
        <f t="shared" si="0"/>
        <v>42928</v>
      </c>
      <c r="B17" s="7">
        <v>42928</v>
      </c>
      <c r="C17" s="8">
        <f t="shared" si="1"/>
        <v>0</v>
      </c>
      <c r="D17" s="8">
        <v>0</v>
      </c>
    </row>
    <row r="18" spans="1:4">
      <c r="A18" s="6">
        <f t="shared" si="0"/>
        <v>42929</v>
      </c>
      <c r="B18" s="7">
        <v>42929</v>
      </c>
      <c r="C18" s="8">
        <f t="shared" si="1"/>
        <v>0</v>
      </c>
      <c r="D18" s="8">
        <v>0</v>
      </c>
    </row>
    <row r="19" spans="1:4">
      <c r="A19" s="6">
        <f t="shared" si="0"/>
        <v>42930</v>
      </c>
      <c r="B19" s="7">
        <v>42930</v>
      </c>
      <c r="C19" s="8">
        <f t="shared" si="1"/>
        <v>0</v>
      </c>
      <c r="D19" s="8">
        <v>0</v>
      </c>
    </row>
    <row r="20" spans="1:4">
      <c r="A20" s="6">
        <f t="shared" si="0"/>
        <v>42931</v>
      </c>
      <c r="B20" s="7">
        <v>42931</v>
      </c>
      <c r="C20" s="8">
        <f t="shared" si="1"/>
        <v>0</v>
      </c>
      <c r="D20" s="8">
        <v>0</v>
      </c>
    </row>
    <row r="21" spans="1:4">
      <c r="A21" s="6">
        <f t="shared" si="0"/>
        <v>42932</v>
      </c>
      <c r="B21" s="7">
        <v>42932</v>
      </c>
      <c r="C21" s="8">
        <f t="shared" si="1"/>
        <v>0</v>
      </c>
      <c r="D21" s="8">
        <v>0</v>
      </c>
    </row>
    <row r="22" spans="1:4">
      <c r="A22" s="6">
        <f t="shared" si="0"/>
        <v>42933</v>
      </c>
      <c r="B22" s="7">
        <v>42933</v>
      </c>
      <c r="C22" s="8">
        <f t="shared" si="1"/>
        <v>0</v>
      </c>
      <c r="D22" s="8">
        <v>0</v>
      </c>
    </row>
    <row r="23" spans="1:4">
      <c r="A23" s="6">
        <f t="shared" si="0"/>
        <v>42934</v>
      </c>
      <c r="B23" s="7">
        <v>42934</v>
      </c>
      <c r="C23" s="8">
        <f t="shared" si="1"/>
        <v>0</v>
      </c>
      <c r="D23" s="8"/>
    </row>
    <row r="24" spans="1:4">
      <c r="A24" s="6">
        <f t="shared" si="0"/>
        <v>42935</v>
      </c>
      <c r="B24" s="7">
        <v>42935</v>
      </c>
      <c r="C24" s="8">
        <f t="shared" si="1"/>
        <v>0</v>
      </c>
      <c r="D24" s="34"/>
    </row>
    <row r="25" spans="1:4">
      <c r="A25" s="6">
        <f t="shared" si="0"/>
        <v>42936</v>
      </c>
      <c r="B25" s="7">
        <v>42936</v>
      </c>
      <c r="C25" s="8">
        <f t="shared" si="1"/>
        <v>0</v>
      </c>
      <c r="D25" s="34"/>
    </row>
    <row r="26" spans="1:4">
      <c r="A26" s="6">
        <f t="shared" si="0"/>
        <v>42937</v>
      </c>
      <c r="B26" s="7">
        <v>42937</v>
      </c>
      <c r="C26" s="8">
        <f t="shared" si="1"/>
        <v>0</v>
      </c>
      <c r="D26" s="34"/>
    </row>
    <row r="27" spans="1:4">
      <c r="A27" s="6">
        <f t="shared" si="0"/>
        <v>42938</v>
      </c>
      <c r="B27" s="7">
        <v>42938</v>
      </c>
      <c r="C27" s="8">
        <f t="shared" si="1"/>
        <v>0</v>
      </c>
      <c r="D27" s="34"/>
    </row>
    <row r="28" spans="1:4">
      <c r="A28" s="6">
        <f t="shared" si="0"/>
        <v>42939</v>
      </c>
      <c r="B28" s="7">
        <v>42939</v>
      </c>
      <c r="C28" s="8">
        <f t="shared" si="1"/>
        <v>0</v>
      </c>
      <c r="D28" s="34"/>
    </row>
    <row r="29" spans="1:4">
      <c r="A29" s="6">
        <f t="shared" si="0"/>
        <v>42940</v>
      </c>
      <c r="B29" s="7">
        <v>42940</v>
      </c>
      <c r="C29" s="8">
        <f t="shared" si="1"/>
        <v>0</v>
      </c>
      <c r="D29" s="34"/>
    </row>
    <row r="30" spans="1:4">
      <c r="A30" s="6">
        <f t="shared" si="0"/>
        <v>42941</v>
      </c>
      <c r="B30" s="7">
        <v>42941</v>
      </c>
      <c r="C30" s="8">
        <f t="shared" si="1"/>
        <v>0</v>
      </c>
      <c r="D30" s="34"/>
    </row>
    <row r="31" spans="1:4" ht="16.5" customHeight="1">
      <c r="A31" s="6">
        <f t="shared" si="0"/>
        <v>42942</v>
      </c>
      <c r="B31" s="7">
        <v>42942</v>
      </c>
      <c r="C31" s="8">
        <f t="shared" si="1"/>
        <v>0</v>
      </c>
      <c r="D31" s="34"/>
    </row>
    <row r="32" spans="1:4" ht="15" customHeight="1">
      <c r="A32" s="6">
        <f t="shared" si="0"/>
        <v>42943</v>
      </c>
      <c r="B32" s="7">
        <v>42943</v>
      </c>
      <c r="C32" s="8">
        <f t="shared" si="1"/>
        <v>0</v>
      </c>
      <c r="D32" s="34"/>
    </row>
    <row r="33" spans="1:4">
      <c r="A33" s="6">
        <f t="shared" si="0"/>
        <v>42944</v>
      </c>
      <c r="B33" s="7">
        <v>42944</v>
      </c>
      <c r="C33" s="8">
        <f t="shared" si="1"/>
        <v>0</v>
      </c>
      <c r="D33" s="34"/>
    </row>
    <row r="34" spans="1:4">
      <c r="A34" s="6">
        <f t="shared" si="0"/>
        <v>42945</v>
      </c>
      <c r="B34" s="7">
        <v>42945</v>
      </c>
      <c r="C34" s="8">
        <f t="shared" si="1"/>
        <v>0</v>
      </c>
      <c r="D34" s="34"/>
    </row>
    <row r="35" spans="1:4">
      <c r="A35" s="6">
        <f t="shared" si="0"/>
        <v>42946</v>
      </c>
      <c r="B35" s="7">
        <v>42946</v>
      </c>
      <c r="C35" s="8">
        <f t="shared" si="1"/>
        <v>0</v>
      </c>
      <c r="D35" s="34"/>
    </row>
    <row r="36" spans="1:4">
      <c r="A36" s="6">
        <f t="shared" si="0"/>
        <v>42947</v>
      </c>
      <c r="B36" s="7">
        <v>42947</v>
      </c>
      <c r="C36" s="9">
        <f t="shared" si="1"/>
        <v>0</v>
      </c>
      <c r="D36" s="34"/>
    </row>
    <row r="37" spans="1:4">
      <c r="B37" s="10" t="s">
        <v>6</v>
      </c>
      <c r="C37" s="11">
        <f>SUM(C6:C36)</f>
        <v>0</v>
      </c>
      <c r="D37" s="12"/>
    </row>
    <row r="38" spans="1:4">
      <c r="C38" s="13"/>
    </row>
    <row r="39" spans="1:4">
      <c r="B39" s="14" t="s">
        <v>7</v>
      </c>
      <c r="C39" s="9">
        <v>5</v>
      </c>
    </row>
    <row r="40" spans="1:4">
      <c r="B40" s="14" t="s">
        <v>8</v>
      </c>
      <c r="C40" s="9">
        <f>C37</f>
        <v>0</v>
      </c>
    </row>
    <row r="41" spans="1:4">
      <c r="B41" s="14" t="s">
        <v>9</v>
      </c>
      <c r="C41" s="9">
        <f>C39-C40</f>
        <v>5</v>
      </c>
    </row>
    <row r="42" spans="1:4">
      <c r="B42" s="14" t="s">
        <v>10</v>
      </c>
      <c r="C42" s="15">
        <f>C40/C39</f>
        <v>0</v>
      </c>
    </row>
    <row r="43" spans="1:4">
      <c r="B43" s="14" t="s">
        <v>11</v>
      </c>
      <c r="C43" s="9">
        <f>IF(C40&lt;C39,0,C40-C39)</f>
        <v>0</v>
      </c>
    </row>
    <row r="44" spans="1:4">
      <c r="B44" s="14" t="s">
        <v>12</v>
      </c>
      <c r="C44" s="9">
        <f ca="1">(C39-C37)/C48</f>
        <v>0.16666666666666666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 ht="13" customHeight="1">
      <c r="B57" s="33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7"/>
  <sheetViews>
    <sheetView showGridLines="0" topLeftCell="A19" workbookViewId="0">
      <selection activeCell="D37" sqref="D37"/>
    </sheetView>
  </sheetViews>
  <sheetFormatPr baseColWidth="10" defaultColWidth="8.83203125" defaultRowHeight="14" x14ac:dyDescent="0"/>
  <cols>
    <col min="1" max="1" width="12.1640625" customWidth="1"/>
    <col min="2" max="2" width="22.5" bestFit="1" customWidth="1"/>
    <col min="3" max="3" width="15.5" bestFit="1" customWidth="1"/>
    <col min="4" max="4" width="14.83203125" customWidth="1"/>
  </cols>
  <sheetData>
    <row r="2" spans="1:4">
      <c r="B2" s="1" t="s">
        <v>35</v>
      </c>
    </row>
    <row r="4" spans="1:4">
      <c r="B4" s="2" t="s">
        <v>1</v>
      </c>
      <c r="C4" s="2"/>
    </row>
    <row r="5" spans="1:4">
      <c r="A5" s="3" t="s">
        <v>2</v>
      </c>
      <c r="B5" s="4" t="s">
        <v>3</v>
      </c>
      <c r="C5" s="4" t="s">
        <v>4</v>
      </c>
      <c r="D5" s="5" t="s">
        <v>5</v>
      </c>
    </row>
    <row r="6" spans="1:4">
      <c r="A6" s="6">
        <f t="shared" ref="A6:A36" si="0">B6</f>
        <v>42917</v>
      </c>
      <c r="B6" s="7">
        <v>42917</v>
      </c>
      <c r="C6" s="8">
        <f>D6</f>
        <v>0</v>
      </c>
      <c r="D6" s="8">
        <v>0</v>
      </c>
    </row>
    <row r="7" spans="1:4">
      <c r="A7" s="6">
        <f t="shared" si="0"/>
        <v>42918</v>
      </c>
      <c r="B7" s="7">
        <v>42918</v>
      </c>
      <c r="C7" s="8">
        <f t="shared" ref="C7:C36" si="1">IF(D7-D6&lt;0,0,D7-D6)</f>
        <v>33</v>
      </c>
      <c r="D7" s="8">
        <v>33</v>
      </c>
    </row>
    <row r="8" spans="1:4">
      <c r="A8" s="6">
        <f t="shared" si="0"/>
        <v>42919</v>
      </c>
      <c r="B8" s="7">
        <v>42919</v>
      </c>
      <c r="C8" s="8">
        <f t="shared" si="1"/>
        <v>17</v>
      </c>
      <c r="D8" s="8">
        <f>33+17</f>
        <v>50</v>
      </c>
    </row>
    <row r="9" spans="1:4">
      <c r="A9" s="6">
        <f t="shared" si="0"/>
        <v>42920</v>
      </c>
      <c r="B9" s="7">
        <v>42920</v>
      </c>
      <c r="C9" s="8">
        <f t="shared" si="1"/>
        <v>23</v>
      </c>
      <c r="D9" s="8">
        <v>73</v>
      </c>
    </row>
    <row r="10" spans="1:4">
      <c r="A10" s="6">
        <f t="shared" si="0"/>
        <v>42921</v>
      </c>
      <c r="B10" s="7">
        <v>42921</v>
      </c>
      <c r="C10" s="8">
        <f t="shared" si="1"/>
        <v>19</v>
      </c>
      <c r="D10" s="8">
        <v>92</v>
      </c>
    </row>
    <row r="11" spans="1:4">
      <c r="A11" s="6">
        <f t="shared" si="0"/>
        <v>42922</v>
      </c>
      <c r="B11" s="7">
        <v>42922</v>
      </c>
      <c r="C11" s="8">
        <f t="shared" si="1"/>
        <v>14</v>
      </c>
      <c r="D11" s="8">
        <v>106</v>
      </c>
    </row>
    <row r="12" spans="1:4">
      <c r="A12" s="6">
        <f t="shared" si="0"/>
        <v>42923</v>
      </c>
      <c r="B12" s="7">
        <v>42923</v>
      </c>
      <c r="C12" s="8">
        <f t="shared" si="1"/>
        <v>35</v>
      </c>
      <c r="D12" s="8">
        <f>76+65</f>
        <v>141</v>
      </c>
    </row>
    <row r="13" spans="1:4">
      <c r="A13" s="6">
        <f t="shared" si="0"/>
        <v>42924</v>
      </c>
      <c r="B13" s="7">
        <v>42924</v>
      </c>
      <c r="C13" s="8">
        <f t="shared" si="1"/>
        <v>22</v>
      </c>
      <c r="D13" s="8">
        <f>92+71</f>
        <v>163</v>
      </c>
    </row>
    <row r="14" spans="1:4">
      <c r="A14" s="6">
        <f t="shared" si="0"/>
        <v>42925</v>
      </c>
      <c r="B14" s="7">
        <v>42925</v>
      </c>
      <c r="C14" s="8">
        <f t="shared" si="1"/>
        <v>3</v>
      </c>
      <c r="D14" s="8">
        <v>166</v>
      </c>
    </row>
    <row r="15" spans="1:4">
      <c r="A15" s="6">
        <f t="shared" si="0"/>
        <v>42926</v>
      </c>
      <c r="B15" s="7">
        <v>42926</v>
      </c>
      <c r="C15" s="8">
        <f t="shared" si="1"/>
        <v>20</v>
      </c>
      <c r="D15" s="8">
        <v>186</v>
      </c>
    </row>
    <row r="16" spans="1:4">
      <c r="A16" s="6">
        <f t="shared" si="0"/>
        <v>42927</v>
      </c>
      <c r="B16" s="7">
        <v>42927</v>
      </c>
      <c r="C16" s="8">
        <f t="shared" si="1"/>
        <v>15</v>
      </c>
      <c r="D16" s="8">
        <v>201</v>
      </c>
    </row>
    <row r="17" spans="1:4">
      <c r="A17" s="6">
        <f t="shared" si="0"/>
        <v>42928</v>
      </c>
      <c r="B17" s="7">
        <v>42928</v>
      </c>
      <c r="C17" s="8">
        <f t="shared" si="1"/>
        <v>17</v>
      </c>
      <c r="D17" s="8">
        <v>218</v>
      </c>
    </row>
    <row r="18" spans="1:4">
      <c r="A18" s="6">
        <f t="shared" si="0"/>
        <v>42929</v>
      </c>
      <c r="B18" s="7">
        <v>42929</v>
      </c>
      <c r="C18" s="8">
        <f t="shared" si="1"/>
        <v>21</v>
      </c>
      <c r="D18" s="8">
        <v>239</v>
      </c>
    </row>
    <row r="19" spans="1:4">
      <c r="A19" s="6">
        <f t="shared" si="0"/>
        <v>42930</v>
      </c>
      <c r="B19" s="7">
        <v>42930</v>
      </c>
      <c r="C19" s="8">
        <f t="shared" si="1"/>
        <v>23</v>
      </c>
      <c r="D19" s="8">
        <f>164+98</f>
        <v>262</v>
      </c>
    </row>
    <row r="20" spans="1:4">
      <c r="A20" s="6">
        <f t="shared" si="0"/>
        <v>42931</v>
      </c>
      <c r="B20" s="7">
        <v>42931</v>
      </c>
      <c r="C20" s="8">
        <f t="shared" si="1"/>
        <v>9</v>
      </c>
      <c r="D20" s="8">
        <f>172+99</f>
        <v>271</v>
      </c>
    </row>
    <row r="21" spans="1:4">
      <c r="A21" s="6">
        <f t="shared" si="0"/>
        <v>42932</v>
      </c>
      <c r="B21" s="7">
        <v>42932</v>
      </c>
      <c r="C21" s="8">
        <f t="shared" si="1"/>
        <v>13</v>
      </c>
      <c r="D21" s="8">
        <f>179+105</f>
        <v>284</v>
      </c>
    </row>
    <row r="22" spans="1:4">
      <c r="A22" s="6">
        <f t="shared" si="0"/>
        <v>42933</v>
      </c>
      <c r="B22" s="7">
        <v>42933</v>
      </c>
      <c r="C22" s="8">
        <f t="shared" si="1"/>
        <v>21</v>
      </c>
      <c r="D22" s="8">
        <v>305</v>
      </c>
    </row>
    <row r="23" spans="1:4">
      <c r="A23" s="6">
        <f t="shared" si="0"/>
        <v>42934</v>
      </c>
      <c r="B23" s="7">
        <v>42934</v>
      </c>
      <c r="C23" s="8">
        <f t="shared" si="1"/>
        <v>24</v>
      </c>
      <c r="D23" s="8">
        <v>329</v>
      </c>
    </row>
    <row r="24" spans="1:4">
      <c r="A24" s="6">
        <f t="shared" si="0"/>
        <v>42935</v>
      </c>
      <c r="B24" s="7">
        <v>42935</v>
      </c>
      <c r="C24" s="8">
        <f t="shared" si="1"/>
        <v>28</v>
      </c>
      <c r="D24" s="8">
        <v>357</v>
      </c>
    </row>
    <row r="25" spans="1:4">
      <c r="A25" s="6">
        <f t="shared" si="0"/>
        <v>42936</v>
      </c>
      <c r="B25" s="7">
        <v>42936</v>
      </c>
      <c r="C25" s="8">
        <f t="shared" si="1"/>
        <v>23</v>
      </c>
      <c r="D25" s="8">
        <v>380</v>
      </c>
    </row>
    <row r="26" spans="1:4">
      <c r="A26" s="6">
        <f t="shared" si="0"/>
        <v>42937</v>
      </c>
      <c r="B26" s="7">
        <v>42937</v>
      </c>
      <c r="C26" s="8">
        <f t="shared" si="1"/>
        <v>17</v>
      </c>
      <c r="D26" s="8">
        <f>250+147</f>
        <v>397</v>
      </c>
    </row>
    <row r="27" spans="1:4">
      <c r="A27" s="6">
        <f t="shared" si="0"/>
        <v>42938</v>
      </c>
      <c r="B27" s="7">
        <v>42938</v>
      </c>
      <c r="C27" s="8">
        <f t="shared" si="1"/>
        <v>19</v>
      </c>
      <c r="D27" s="8">
        <f>263+153</f>
        <v>416</v>
      </c>
    </row>
    <row r="28" spans="1:4">
      <c r="A28" s="6">
        <f t="shared" si="0"/>
        <v>42939</v>
      </c>
      <c r="B28" s="7">
        <v>42939</v>
      </c>
      <c r="C28" s="8">
        <f t="shared" si="1"/>
        <v>24</v>
      </c>
      <c r="D28" s="8">
        <f>284+156</f>
        <v>440</v>
      </c>
    </row>
    <row r="29" spans="1:4">
      <c r="A29" s="6">
        <f t="shared" si="0"/>
        <v>42940</v>
      </c>
      <c r="B29" s="7">
        <v>42940</v>
      </c>
      <c r="C29" s="8">
        <f t="shared" si="1"/>
        <v>23</v>
      </c>
      <c r="D29" s="8">
        <v>463</v>
      </c>
    </row>
    <row r="30" spans="1:4">
      <c r="A30" s="6">
        <f t="shared" si="0"/>
        <v>42941</v>
      </c>
      <c r="B30" s="7">
        <v>42941</v>
      </c>
      <c r="C30" s="8">
        <f t="shared" si="1"/>
        <v>25</v>
      </c>
      <c r="D30" s="8">
        <v>488</v>
      </c>
    </row>
    <row r="31" spans="1:4" ht="16.5" customHeight="1">
      <c r="A31" s="6">
        <f t="shared" si="0"/>
        <v>42942</v>
      </c>
      <c r="B31" s="7">
        <v>42942</v>
      </c>
      <c r="C31" s="8">
        <f t="shared" si="1"/>
        <v>20</v>
      </c>
      <c r="D31" s="8">
        <v>508</v>
      </c>
    </row>
    <row r="32" spans="1:4" ht="15" customHeight="1">
      <c r="A32" s="6">
        <f t="shared" si="0"/>
        <v>42943</v>
      </c>
      <c r="B32" s="7">
        <v>42943</v>
      </c>
      <c r="C32" s="8">
        <f t="shared" si="1"/>
        <v>19</v>
      </c>
      <c r="D32" s="8">
        <v>527</v>
      </c>
    </row>
    <row r="33" spans="1:4">
      <c r="A33" s="6">
        <f t="shared" si="0"/>
        <v>42944</v>
      </c>
      <c r="B33" s="7">
        <v>42944</v>
      </c>
      <c r="C33" s="8">
        <f t="shared" si="1"/>
        <v>20</v>
      </c>
      <c r="D33" s="8">
        <f>354+193</f>
        <v>547</v>
      </c>
    </row>
    <row r="34" spans="1:4">
      <c r="A34" s="6">
        <f t="shared" si="0"/>
        <v>42945</v>
      </c>
      <c r="B34" s="7">
        <v>42945</v>
      </c>
      <c r="C34" s="8">
        <f t="shared" si="1"/>
        <v>13</v>
      </c>
      <c r="D34" s="8">
        <f>363+197</f>
        <v>560</v>
      </c>
    </row>
    <row r="35" spans="1:4">
      <c r="A35" s="6">
        <f t="shared" si="0"/>
        <v>42946</v>
      </c>
      <c r="B35" s="7">
        <v>42946</v>
      </c>
      <c r="C35" s="8">
        <f t="shared" si="1"/>
        <v>20</v>
      </c>
      <c r="D35" s="8">
        <v>580</v>
      </c>
    </row>
    <row r="36" spans="1:4">
      <c r="A36" s="6">
        <f t="shared" si="0"/>
        <v>42947</v>
      </c>
      <c r="B36" s="7">
        <v>42947</v>
      </c>
      <c r="C36" s="9">
        <f t="shared" si="1"/>
        <v>25</v>
      </c>
      <c r="D36" s="9">
        <v>605</v>
      </c>
    </row>
    <row r="37" spans="1:4">
      <c r="B37" s="10" t="s">
        <v>6</v>
      </c>
      <c r="C37" s="11">
        <f>SUM(C6:C36)</f>
        <v>605</v>
      </c>
    </row>
    <row r="38" spans="1:4">
      <c r="C38" s="13"/>
    </row>
    <row r="39" spans="1:4">
      <c r="B39" s="14" t="s">
        <v>7</v>
      </c>
      <c r="C39" s="9">
        <v>650</v>
      </c>
    </row>
    <row r="40" spans="1:4">
      <c r="B40" s="14" t="s">
        <v>8</v>
      </c>
      <c r="C40" s="9">
        <f>C37</f>
        <v>605</v>
      </c>
    </row>
    <row r="41" spans="1:4">
      <c r="B41" s="14" t="s">
        <v>9</v>
      </c>
      <c r="C41" s="9">
        <f>C39-C40</f>
        <v>45</v>
      </c>
    </row>
    <row r="42" spans="1:4">
      <c r="B42" s="14" t="s">
        <v>10</v>
      </c>
      <c r="C42" s="15">
        <f>C40/C39</f>
        <v>0.93076923076923079</v>
      </c>
    </row>
    <row r="43" spans="1:4">
      <c r="B43" s="14" t="s">
        <v>11</v>
      </c>
      <c r="C43" s="9">
        <f>IF(C40&lt;C39,0,C40-C39)</f>
        <v>0</v>
      </c>
    </row>
    <row r="44" spans="1:4">
      <c r="B44" s="14" t="s">
        <v>12</v>
      </c>
      <c r="C44" s="9">
        <f ca="1">(C39-C37)/C48</f>
        <v>1.5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33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workbookViewId="0">
      <selection activeCell="C38" sqref="C38"/>
    </sheetView>
  </sheetViews>
  <sheetFormatPr baseColWidth="10" defaultColWidth="8.83203125" defaultRowHeight="14" x14ac:dyDescent="0"/>
  <cols>
    <col min="1" max="1" width="13.33203125" customWidth="1"/>
    <col min="2" max="2" width="25.83203125" customWidth="1"/>
    <col min="3" max="3" width="14.6640625" bestFit="1" customWidth="1"/>
    <col min="4" max="4" width="14.83203125" customWidth="1"/>
    <col min="5" max="5" width="11.5" bestFit="1" customWidth="1"/>
    <col min="6" max="6" width="7.83203125" bestFit="1" customWidth="1"/>
  </cols>
  <sheetData>
    <row r="2" spans="1:6">
      <c r="B2" s="1" t="s">
        <v>36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4</v>
      </c>
    </row>
    <row r="6" spans="1:6">
      <c r="A6" s="6">
        <f t="shared" ref="A6:A36" si="0">B6</f>
        <v>42917</v>
      </c>
      <c r="B6" s="7">
        <v>42917</v>
      </c>
      <c r="C6" s="44">
        <v>27</v>
      </c>
      <c r="D6" s="36"/>
      <c r="E6" s="14" t="s">
        <v>37</v>
      </c>
      <c r="F6" s="9">
        <f>AVERAGE(C6:C12)</f>
        <v>48.571428571428569</v>
      </c>
    </row>
    <row r="7" spans="1:6">
      <c r="A7" s="6">
        <f t="shared" si="0"/>
        <v>42918</v>
      </c>
      <c r="B7" s="7">
        <v>42918</v>
      </c>
      <c r="C7" s="44">
        <v>12</v>
      </c>
      <c r="D7" s="36"/>
    </row>
    <row r="8" spans="1:6">
      <c r="A8" s="6">
        <f t="shared" si="0"/>
        <v>42919</v>
      </c>
      <c r="B8" s="7">
        <v>42919</v>
      </c>
      <c r="C8" s="44">
        <v>30</v>
      </c>
      <c r="D8" s="36"/>
    </row>
    <row r="9" spans="1:6">
      <c r="A9" s="6">
        <f t="shared" si="0"/>
        <v>42920</v>
      </c>
      <c r="B9" s="7">
        <v>42920</v>
      </c>
      <c r="C9" s="44">
        <v>28</v>
      </c>
      <c r="D9" s="36"/>
    </row>
    <row r="10" spans="1:6">
      <c r="A10" s="6">
        <f t="shared" si="0"/>
        <v>42921</v>
      </c>
      <c r="B10" s="7">
        <v>42921</v>
      </c>
      <c r="C10" s="44">
        <v>95</v>
      </c>
      <c r="D10" s="36"/>
    </row>
    <row r="11" spans="1:6">
      <c r="A11" s="6">
        <f t="shared" si="0"/>
        <v>42922</v>
      </c>
      <c r="B11" s="7">
        <v>42922</v>
      </c>
      <c r="C11" s="44">
        <v>75</v>
      </c>
      <c r="D11" s="36"/>
    </row>
    <row r="12" spans="1:6">
      <c r="A12" s="6">
        <f t="shared" si="0"/>
        <v>42923</v>
      </c>
      <c r="B12" s="7">
        <v>42923</v>
      </c>
      <c r="C12" s="44">
        <v>73</v>
      </c>
      <c r="D12" s="36"/>
    </row>
    <row r="13" spans="1:6">
      <c r="A13" s="6">
        <f t="shared" si="0"/>
        <v>42924</v>
      </c>
      <c r="B13" s="7">
        <v>42924</v>
      </c>
      <c r="C13" s="44">
        <v>62</v>
      </c>
      <c r="D13" s="36"/>
      <c r="E13" s="14" t="s">
        <v>38</v>
      </c>
      <c r="F13" s="9">
        <f>AVERAGE(C13:C19)</f>
        <v>79.285714285714292</v>
      </c>
    </row>
    <row r="14" spans="1:6">
      <c r="A14" s="6">
        <f t="shared" si="0"/>
        <v>42925</v>
      </c>
      <c r="B14" s="7">
        <v>42925</v>
      </c>
      <c r="C14" s="44">
        <v>49</v>
      </c>
      <c r="D14" s="36"/>
    </row>
    <row r="15" spans="1:6">
      <c r="A15" s="6">
        <f t="shared" si="0"/>
        <v>42926</v>
      </c>
      <c r="B15" s="7">
        <v>42926</v>
      </c>
      <c r="C15" s="44">
        <v>89</v>
      </c>
      <c r="D15" s="36"/>
    </row>
    <row r="16" spans="1:6">
      <c r="A16" s="6">
        <f t="shared" si="0"/>
        <v>42927</v>
      </c>
      <c r="B16" s="7">
        <v>42927</v>
      </c>
      <c r="C16" s="44">
        <v>94</v>
      </c>
      <c r="D16" s="36"/>
    </row>
    <row r="17" spans="1:6">
      <c r="A17" s="6">
        <f t="shared" si="0"/>
        <v>42928</v>
      </c>
      <c r="B17" s="7">
        <v>42928</v>
      </c>
      <c r="C17" s="44">
        <v>85</v>
      </c>
      <c r="D17" s="36"/>
    </row>
    <row r="18" spans="1:6">
      <c r="A18" s="6">
        <f t="shared" si="0"/>
        <v>42929</v>
      </c>
      <c r="B18" s="7">
        <v>42929</v>
      </c>
      <c r="C18" s="44">
        <v>91</v>
      </c>
      <c r="D18" s="36"/>
    </row>
    <row r="19" spans="1:6">
      <c r="A19" s="6">
        <f t="shared" si="0"/>
        <v>42930</v>
      </c>
      <c r="B19" s="7">
        <v>42930</v>
      </c>
      <c r="C19" s="44">
        <v>85</v>
      </c>
      <c r="D19" s="36"/>
    </row>
    <row r="20" spans="1:6">
      <c r="A20" s="6">
        <f t="shared" si="0"/>
        <v>42931</v>
      </c>
      <c r="B20" s="7">
        <v>42931</v>
      </c>
      <c r="C20" s="44">
        <v>46</v>
      </c>
      <c r="D20" s="36"/>
      <c r="E20" s="14" t="s">
        <v>39</v>
      </c>
      <c r="F20" s="9">
        <f>AVERAGE(C20:C26)</f>
        <v>72.428571428571431</v>
      </c>
    </row>
    <row r="21" spans="1:6">
      <c r="A21" s="6">
        <f t="shared" si="0"/>
        <v>42932</v>
      </c>
      <c r="B21" s="7">
        <v>42932</v>
      </c>
      <c r="C21" s="44">
        <v>55</v>
      </c>
      <c r="D21" s="36"/>
    </row>
    <row r="22" spans="1:6">
      <c r="A22" s="6">
        <f t="shared" si="0"/>
        <v>42933</v>
      </c>
      <c r="B22" s="7">
        <v>42933</v>
      </c>
      <c r="C22" s="44">
        <v>80</v>
      </c>
      <c r="D22" s="36"/>
    </row>
    <row r="23" spans="1:6">
      <c r="A23" s="6">
        <f t="shared" si="0"/>
        <v>42934</v>
      </c>
      <c r="B23" s="7">
        <v>42934</v>
      </c>
      <c r="C23" s="44">
        <v>96</v>
      </c>
      <c r="D23" s="36"/>
    </row>
    <row r="24" spans="1:6">
      <c r="A24" s="6">
        <f t="shared" si="0"/>
        <v>42935</v>
      </c>
      <c r="B24" s="7">
        <v>42935</v>
      </c>
      <c r="C24" s="44">
        <v>74</v>
      </c>
      <c r="D24" s="36"/>
    </row>
    <row r="25" spans="1:6">
      <c r="A25" s="6">
        <f t="shared" si="0"/>
        <v>42936</v>
      </c>
      <c r="B25" s="7">
        <v>42936</v>
      </c>
      <c r="C25" s="44">
        <v>77</v>
      </c>
      <c r="D25" s="36"/>
    </row>
    <row r="26" spans="1:6">
      <c r="A26" s="6">
        <f t="shared" si="0"/>
        <v>42937</v>
      </c>
      <c r="B26" s="7">
        <v>42937</v>
      </c>
      <c r="C26" s="44">
        <v>79</v>
      </c>
      <c r="D26" s="36"/>
    </row>
    <row r="27" spans="1:6">
      <c r="A27" s="6">
        <f t="shared" si="0"/>
        <v>42938</v>
      </c>
      <c r="B27" s="7">
        <v>42938</v>
      </c>
      <c r="C27" s="44">
        <v>52</v>
      </c>
      <c r="D27" s="36"/>
      <c r="E27" s="14" t="s">
        <v>40</v>
      </c>
      <c r="F27" s="9">
        <f>AVERAGE(C27:C33)</f>
        <v>74.571428571428569</v>
      </c>
    </row>
    <row r="28" spans="1:6">
      <c r="A28" s="6">
        <f t="shared" si="0"/>
        <v>42939</v>
      </c>
      <c r="B28" s="7">
        <v>42939</v>
      </c>
      <c r="C28" s="44">
        <v>50</v>
      </c>
      <c r="D28" s="36"/>
    </row>
    <row r="29" spans="1:6">
      <c r="A29" s="6">
        <f t="shared" si="0"/>
        <v>42940</v>
      </c>
      <c r="B29" s="7">
        <v>42940</v>
      </c>
      <c r="C29" s="44">
        <v>82</v>
      </c>
      <c r="D29" s="36"/>
    </row>
    <row r="30" spans="1:6">
      <c r="A30" s="6">
        <f t="shared" si="0"/>
        <v>42941</v>
      </c>
      <c r="B30" s="7">
        <v>42941</v>
      </c>
      <c r="C30" s="44">
        <v>89</v>
      </c>
      <c r="D30" s="36"/>
    </row>
    <row r="31" spans="1:6">
      <c r="A31" s="6">
        <f t="shared" si="0"/>
        <v>42942</v>
      </c>
      <c r="B31" s="7">
        <v>42942</v>
      </c>
      <c r="C31" s="44">
        <v>86</v>
      </c>
      <c r="D31" s="36"/>
    </row>
    <row r="32" spans="1:6">
      <c r="A32" s="6">
        <f t="shared" si="0"/>
        <v>42943</v>
      </c>
      <c r="B32" s="7">
        <v>42943</v>
      </c>
      <c r="C32" s="44">
        <v>101</v>
      </c>
      <c r="D32" s="36"/>
    </row>
    <row r="33" spans="1:4">
      <c r="A33" s="6">
        <f t="shared" si="0"/>
        <v>42944</v>
      </c>
      <c r="B33" s="7">
        <v>42944</v>
      </c>
      <c r="C33" s="44">
        <v>62</v>
      </c>
      <c r="D33" s="36"/>
    </row>
    <row r="34" spans="1:4">
      <c r="A34" s="6">
        <f t="shared" si="0"/>
        <v>42945</v>
      </c>
      <c r="B34" s="7">
        <v>42945</v>
      </c>
      <c r="C34" s="44">
        <v>60</v>
      </c>
      <c r="D34" s="36"/>
    </row>
    <row r="35" spans="1:4">
      <c r="A35" s="6">
        <f t="shared" si="0"/>
        <v>42946</v>
      </c>
      <c r="B35" s="7">
        <v>42946</v>
      </c>
      <c r="C35" s="44">
        <v>77</v>
      </c>
      <c r="D35" s="36"/>
    </row>
    <row r="36" spans="1:4">
      <c r="A36" s="6">
        <f t="shared" si="0"/>
        <v>42947</v>
      </c>
      <c r="B36" s="7">
        <v>42947</v>
      </c>
      <c r="C36" s="14">
        <v>94</v>
      </c>
    </row>
    <row r="37" spans="1:4">
      <c r="B37" s="10" t="s">
        <v>6</v>
      </c>
      <c r="C37" s="11">
        <f>SUM(C6:C36)</f>
        <v>2155</v>
      </c>
      <c r="D37" s="12"/>
    </row>
    <row r="38" spans="1:4">
      <c r="C38" s="13"/>
    </row>
    <row r="39" spans="1:4">
      <c r="B39" s="14" t="s">
        <v>7</v>
      </c>
      <c r="C39" s="9">
        <v>1970</v>
      </c>
    </row>
    <row r="40" spans="1:4">
      <c r="B40" s="14" t="s">
        <v>8</v>
      </c>
      <c r="C40" s="9">
        <f>C37</f>
        <v>2155</v>
      </c>
    </row>
    <row r="41" spans="1:4">
      <c r="B41" s="14" t="s">
        <v>9</v>
      </c>
      <c r="C41" s="9">
        <f>C39-C40</f>
        <v>-185</v>
      </c>
    </row>
    <row r="42" spans="1:4">
      <c r="B42" s="14" t="s">
        <v>10</v>
      </c>
      <c r="C42" s="15">
        <f>C40/C39</f>
        <v>1.0939086294416243</v>
      </c>
    </row>
    <row r="43" spans="1:4">
      <c r="B43" s="14" t="s">
        <v>11</v>
      </c>
      <c r="C43" s="9">
        <f>IF(C40&lt;C39,0,C40-C39)</f>
        <v>185</v>
      </c>
    </row>
    <row r="44" spans="1:4">
      <c r="B44" s="14" t="s">
        <v>12</v>
      </c>
      <c r="C44" s="9">
        <f ca="1">(C39-C37)/C48</f>
        <v>-6.166666666666667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workbookViewId="0">
      <selection activeCell="C6" sqref="C6:C36"/>
    </sheetView>
  </sheetViews>
  <sheetFormatPr baseColWidth="10" defaultColWidth="8.83203125" defaultRowHeight="14" x14ac:dyDescent="0"/>
  <cols>
    <col min="1" max="1" width="13.33203125" customWidth="1"/>
    <col min="2" max="2" width="25.83203125" customWidth="1"/>
    <col min="3" max="3" width="14.6640625" bestFit="1" customWidth="1"/>
    <col min="4" max="4" width="14.83203125" customWidth="1"/>
    <col min="5" max="5" width="11.5" bestFit="1" customWidth="1"/>
    <col min="6" max="6" width="7.83203125" bestFit="1" customWidth="1"/>
  </cols>
  <sheetData>
    <row r="2" spans="1:6">
      <c r="B2" s="1" t="s">
        <v>36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4</v>
      </c>
    </row>
    <row r="6" spans="1:6">
      <c r="A6" s="6">
        <f t="shared" ref="A6:A36" si="0">B6</f>
        <v>42917</v>
      </c>
      <c r="B6" s="7">
        <v>42917</v>
      </c>
      <c r="C6" s="44">
        <v>69</v>
      </c>
      <c r="D6" s="36"/>
      <c r="E6" s="14" t="s">
        <v>37</v>
      </c>
      <c r="F6" s="9">
        <f>AVERAGE(C6:C12)</f>
        <v>101.71428571428571</v>
      </c>
    </row>
    <row r="7" spans="1:6">
      <c r="A7" s="6">
        <f t="shared" si="0"/>
        <v>42918</v>
      </c>
      <c r="B7" s="7">
        <v>42918</v>
      </c>
      <c r="C7" s="44">
        <v>65</v>
      </c>
      <c r="D7" s="36"/>
    </row>
    <row r="8" spans="1:6">
      <c r="A8" s="6">
        <f t="shared" si="0"/>
        <v>42919</v>
      </c>
      <c r="B8" s="7">
        <v>42919</v>
      </c>
      <c r="C8" s="44">
        <v>104</v>
      </c>
      <c r="D8" s="36"/>
    </row>
    <row r="9" spans="1:6">
      <c r="A9" s="6">
        <f t="shared" si="0"/>
        <v>42920</v>
      </c>
      <c r="B9" s="7">
        <v>42920</v>
      </c>
      <c r="C9" s="44">
        <v>80</v>
      </c>
      <c r="D9" s="36"/>
    </row>
    <row r="10" spans="1:6">
      <c r="A10" s="6">
        <f t="shared" si="0"/>
        <v>42921</v>
      </c>
      <c r="B10" s="7">
        <v>42921</v>
      </c>
      <c r="C10" s="44">
        <v>125</v>
      </c>
      <c r="D10" s="36"/>
    </row>
    <row r="11" spans="1:6">
      <c r="A11" s="6">
        <f t="shared" si="0"/>
        <v>42922</v>
      </c>
      <c r="B11" s="7">
        <v>42922</v>
      </c>
      <c r="C11" s="44">
        <v>136</v>
      </c>
      <c r="D11" s="36"/>
    </row>
    <row r="12" spans="1:6">
      <c r="A12" s="6">
        <f t="shared" si="0"/>
        <v>42923</v>
      </c>
      <c r="B12" s="7">
        <v>42923</v>
      </c>
      <c r="C12" s="44">
        <v>133</v>
      </c>
      <c r="D12" s="36"/>
    </row>
    <row r="13" spans="1:6">
      <c r="A13" s="6">
        <f t="shared" si="0"/>
        <v>42924</v>
      </c>
      <c r="B13" s="7">
        <v>42924</v>
      </c>
      <c r="C13" s="44">
        <v>84</v>
      </c>
      <c r="D13" s="36"/>
      <c r="E13" s="14" t="s">
        <v>38</v>
      </c>
      <c r="F13" s="9">
        <f>AVERAGE(C13:C19)</f>
        <v>94.142857142857139</v>
      </c>
    </row>
    <row r="14" spans="1:6">
      <c r="A14" s="6">
        <f t="shared" si="0"/>
        <v>42925</v>
      </c>
      <c r="B14" s="7">
        <v>42925</v>
      </c>
      <c r="C14" s="44">
        <v>61</v>
      </c>
      <c r="D14" s="36"/>
    </row>
    <row r="15" spans="1:6">
      <c r="A15" s="6">
        <f t="shared" si="0"/>
        <v>42926</v>
      </c>
      <c r="B15" s="7">
        <v>42926</v>
      </c>
      <c r="C15" s="44">
        <v>105</v>
      </c>
      <c r="D15" s="36"/>
    </row>
    <row r="16" spans="1:6">
      <c r="A16" s="6">
        <f t="shared" si="0"/>
        <v>42927</v>
      </c>
      <c r="B16" s="7">
        <v>42927</v>
      </c>
      <c r="C16" s="44">
        <v>120</v>
      </c>
      <c r="D16" s="36"/>
    </row>
    <row r="17" spans="1:6">
      <c r="A17" s="6">
        <f t="shared" si="0"/>
        <v>42928</v>
      </c>
      <c r="B17" s="7">
        <v>42928</v>
      </c>
      <c r="C17" s="44">
        <v>116</v>
      </c>
      <c r="D17" s="36"/>
    </row>
    <row r="18" spans="1:6">
      <c r="A18" s="6">
        <f t="shared" si="0"/>
        <v>42929</v>
      </c>
      <c r="B18" s="7">
        <v>42929</v>
      </c>
      <c r="C18" s="44">
        <v>89</v>
      </c>
      <c r="D18" s="36"/>
    </row>
    <row r="19" spans="1:6">
      <c r="A19" s="6">
        <f t="shared" si="0"/>
        <v>42930</v>
      </c>
      <c r="B19" s="7">
        <v>42930</v>
      </c>
      <c r="C19" s="44">
        <v>84</v>
      </c>
      <c r="D19" s="36"/>
    </row>
    <row r="20" spans="1:6">
      <c r="A20" s="6">
        <f t="shared" si="0"/>
        <v>42931</v>
      </c>
      <c r="B20" s="7">
        <v>42931</v>
      </c>
      <c r="C20" s="44">
        <v>60</v>
      </c>
      <c r="D20" s="36"/>
      <c r="E20" s="14" t="s">
        <v>39</v>
      </c>
      <c r="F20" s="9">
        <f>AVERAGE(C20:C26)</f>
        <v>134.42857142857142</v>
      </c>
    </row>
    <row r="21" spans="1:6">
      <c r="A21" s="6">
        <f t="shared" si="0"/>
        <v>42932</v>
      </c>
      <c r="B21" s="7">
        <v>42932</v>
      </c>
      <c r="C21" s="44">
        <v>54</v>
      </c>
      <c r="D21" s="36"/>
    </row>
    <row r="22" spans="1:6">
      <c r="A22" s="6">
        <f t="shared" si="0"/>
        <v>42933</v>
      </c>
      <c r="B22" s="7">
        <v>42933</v>
      </c>
      <c r="C22" s="44">
        <v>116</v>
      </c>
      <c r="D22" s="36"/>
    </row>
    <row r="23" spans="1:6">
      <c r="A23" s="6">
        <f t="shared" si="0"/>
        <v>42934</v>
      </c>
      <c r="B23" s="7">
        <v>42934</v>
      </c>
      <c r="C23" s="44">
        <v>101</v>
      </c>
      <c r="D23" s="36"/>
    </row>
    <row r="24" spans="1:6">
      <c r="A24" s="6">
        <f t="shared" si="0"/>
        <v>42935</v>
      </c>
      <c r="B24" s="7">
        <v>42935</v>
      </c>
      <c r="C24" s="44">
        <v>119</v>
      </c>
      <c r="D24" s="36"/>
    </row>
    <row r="25" spans="1:6">
      <c r="A25" s="6">
        <f t="shared" si="0"/>
        <v>42936</v>
      </c>
      <c r="B25" s="7">
        <v>42936</v>
      </c>
      <c r="C25" s="44">
        <v>256</v>
      </c>
      <c r="D25" s="36"/>
    </row>
    <row r="26" spans="1:6">
      <c r="A26" s="6">
        <f t="shared" si="0"/>
        <v>42937</v>
      </c>
      <c r="B26" s="7">
        <v>42937</v>
      </c>
      <c r="C26" s="44">
        <v>235</v>
      </c>
      <c r="D26" s="36"/>
    </row>
    <row r="27" spans="1:6">
      <c r="A27" s="6">
        <f t="shared" si="0"/>
        <v>42938</v>
      </c>
      <c r="B27" s="7">
        <v>42938</v>
      </c>
      <c r="C27" s="44">
        <v>123</v>
      </c>
      <c r="D27" s="36"/>
      <c r="E27" s="14" t="s">
        <v>40</v>
      </c>
      <c r="F27" s="9">
        <f>AVERAGE(C27:C33)</f>
        <v>125.14285714285714</v>
      </c>
    </row>
    <row r="28" spans="1:6">
      <c r="A28" s="6">
        <f t="shared" si="0"/>
        <v>42939</v>
      </c>
      <c r="B28" s="7">
        <v>42939</v>
      </c>
      <c r="C28" s="44">
        <v>109</v>
      </c>
      <c r="D28" s="36"/>
    </row>
    <row r="29" spans="1:6">
      <c r="A29" s="6">
        <f t="shared" si="0"/>
        <v>42940</v>
      </c>
      <c r="B29" s="7">
        <v>42940</v>
      </c>
      <c r="C29" s="44">
        <v>139</v>
      </c>
      <c r="D29" s="36"/>
    </row>
    <row r="30" spans="1:6">
      <c r="A30" s="6">
        <f t="shared" si="0"/>
        <v>42941</v>
      </c>
      <c r="B30" s="7">
        <v>42941</v>
      </c>
      <c r="C30" s="44">
        <v>164</v>
      </c>
      <c r="D30" s="36"/>
    </row>
    <row r="31" spans="1:6">
      <c r="A31" s="6">
        <f t="shared" si="0"/>
        <v>42942</v>
      </c>
      <c r="B31" s="7">
        <v>42942</v>
      </c>
      <c r="C31" s="44">
        <v>116</v>
      </c>
      <c r="D31" s="36"/>
    </row>
    <row r="32" spans="1:6">
      <c r="A32" s="6">
        <f t="shared" si="0"/>
        <v>42943</v>
      </c>
      <c r="B32" s="7">
        <v>42943</v>
      </c>
      <c r="C32" s="44">
        <v>121</v>
      </c>
      <c r="D32" s="36"/>
    </row>
    <row r="33" spans="1:4">
      <c r="A33" s="6">
        <f t="shared" si="0"/>
        <v>42944</v>
      </c>
      <c r="B33" s="7">
        <v>42944</v>
      </c>
      <c r="C33" s="44">
        <v>104</v>
      </c>
      <c r="D33" s="36"/>
    </row>
    <row r="34" spans="1:4">
      <c r="A34" s="6">
        <f t="shared" si="0"/>
        <v>42945</v>
      </c>
      <c r="B34" s="7">
        <v>42945</v>
      </c>
      <c r="C34" s="44">
        <v>78</v>
      </c>
      <c r="D34" s="36"/>
    </row>
    <row r="35" spans="1:4">
      <c r="A35" s="6">
        <f t="shared" si="0"/>
        <v>42946</v>
      </c>
      <c r="B35" s="7">
        <v>42946</v>
      </c>
      <c r="C35" s="44">
        <v>65</v>
      </c>
      <c r="D35" s="36"/>
    </row>
    <row r="36" spans="1:4">
      <c r="A36" s="6">
        <f t="shared" si="0"/>
        <v>42947</v>
      </c>
      <c r="B36" s="7">
        <v>42947</v>
      </c>
      <c r="C36" s="14">
        <v>104</v>
      </c>
    </row>
    <row r="37" spans="1:4">
      <c r="B37" s="10" t="s">
        <v>6</v>
      </c>
      <c r="C37" s="11">
        <f>SUM(C6:C36)</f>
        <v>3435</v>
      </c>
      <c r="D37" s="12"/>
    </row>
    <row r="38" spans="1:4">
      <c r="C38" s="13"/>
    </row>
    <row r="39" spans="1:4">
      <c r="B39" s="14" t="s">
        <v>7</v>
      </c>
      <c r="C39" s="9">
        <v>2900</v>
      </c>
    </row>
    <row r="40" spans="1:4">
      <c r="B40" s="14" t="s">
        <v>8</v>
      </c>
      <c r="C40" s="9">
        <f>C37</f>
        <v>3435</v>
      </c>
    </row>
    <row r="41" spans="1:4">
      <c r="B41" s="14" t="s">
        <v>9</v>
      </c>
      <c r="C41" s="9">
        <f>C39-C40</f>
        <v>-535</v>
      </c>
    </row>
    <row r="42" spans="1:4">
      <c r="B42" s="14" t="s">
        <v>10</v>
      </c>
      <c r="C42" s="15">
        <f>C40/C39</f>
        <v>1.1844827586206896</v>
      </c>
    </row>
    <row r="43" spans="1:4">
      <c r="B43" s="14" t="s">
        <v>11</v>
      </c>
      <c r="C43" s="9">
        <f>IF(C40&lt;C39,0,C40-C39)</f>
        <v>535</v>
      </c>
    </row>
    <row r="44" spans="1:4">
      <c r="B44" s="14" t="s">
        <v>12</v>
      </c>
      <c r="C44" s="9">
        <f ca="1">(C39-C37)/C48</f>
        <v>-17.833333333333332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10" workbookViewId="0">
      <selection activeCell="D37" sqref="D37"/>
    </sheetView>
  </sheetViews>
  <sheetFormatPr baseColWidth="10" defaultColWidth="8.83203125" defaultRowHeight="14" x14ac:dyDescent="0"/>
  <cols>
    <col min="1" max="1" width="11.83203125" bestFit="1" customWidth="1"/>
    <col min="2" max="2" width="21.5" bestFit="1" customWidth="1"/>
    <col min="3" max="3" width="15.5" bestFit="1" customWidth="1"/>
    <col min="4" max="4" width="14.83203125" customWidth="1"/>
    <col min="5" max="5" width="11.5" bestFit="1" customWidth="1"/>
    <col min="6" max="6" width="7.83203125" bestFit="1" customWidth="1"/>
  </cols>
  <sheetData>
    <row r="2" spans="1:6">
      <c r="B2" s="1" t="s">
        <v>41</v>
      </c>
    </row>
    <row r="4" spans="1:6">
      <c r="B4" s="2" t="s">
        <v>1</v>
      </c>
    </row>
    <row r="5" spans="1:6">
      <c r="A5" s="3" t="s">
        <v>2</v>
      </c>
      <c r="B5" s="4" t="s">
        <v>3</v>
      </c>
      <c r="C5" s="4" t="s">
        <v>4</v>
      </c>
      <c r="D5" s="5" t="s">
        <v>5</v>
      </c>
    </row>
    <row r="6" spans="1:6">
      <c r="A6" s="6">
        <f t="shared" ref="A6:A36" si="0">B6</f>
        <v>42917</v>
      </c>
      <c r="B6" s="7">
        <v>42917</v>
      </c>
      <c r="C6" s="8">
        <f>D6</f>
        <v>37</v>
      </c>
      <c r="D6" s="8">
        <f>21+16</f>
        <v>37</v>
      </c>
      <c r="E6" s="14" t="s">
        <v>37</v>
      </c>
      <c r="F6" s="9">
        <f>AVERAGE(C6:C12)</f>
        <v>46.285714285714285</v>
      </c>
    </row>
    <row r="7" spans="1:6">
      <c r="A7" s="6">
        <f t="shared" si="0"/>
        <v>42918</v>
      </c>
      <c r="B7" s="7">
        <v>42918</v>
      </c>
      <c r="C7" s="8">
        <f t="shared" ref="C7:C36" si="1">IF(D7-D6&lt;0,0,D7-D6)</f>
        <v>46</v>
      </c>
      <c r="D7" s="8">
        <v>83</v>
      </c>
    </row>
    <row r="8" spans="1:6">
      <c r="A8" s="6">
        <f t="shared" si="0"/>
        <v>42919</v>
      </c>
      <c r="B8" s="7">
        <v>42919</v>
      </c>
      <c r="C8" s="8">
        <f t="shared" si="1"/>
        <v>65</v>
      </c>
      <c r="D8" s="8">
        <f>108+40</f>
        <v>148</v>
      </c>
    </row>
    <row r="9" spans="1:6">
      <c r="A9" s="6">
        <f t="shared" si="0"/>
        <v>42920</v>
      </c>
      <c r="B9" s="7">
        <v>42920</v>
      </c>
      <c r="C9" s="8">
        <f t="shared" si="1"/>
        <v>44</v>
      </c>
      <c r="D9" s="8">
        <v>192</v>
      </c>
    </row>
    <row r="10" spans="1:6">
      <c r="A10" s="6">
        <f t="shared" si="0"/>
        <v>42921</v>
      </c>
      <c r="B10" s="7">
        <v>42921</v>
      </c>
      <c r="C10" s="8">
        <f t="shared" si="1"/>
        <v>37</v>
      </c>
      <c r="D10" s="8">
        <v>229</v>
      </c>
    </row>
    <row r="11" spans="1:6">
      <c r="A11" s="6">
        <f t="shared" si="0"/>
        <v>42922</v>
      </c>
      <c r="B11" s="7">
        <v>42922</v>
      </c>
      <c r="C11" s="8">
        <f t="shared" si="1"/>
        <v>52</v>
      </c>
      <c r="D11" s="8">
        <v>281</v>
      </c>
    </row>
    <row r="12" spans="1:6">
      <c r="A12" s="6">
        <f t="shared" si="0"/>
        <v>42923</v>
      </c>
      <c r="B12" s="7">
        <v>42923</v>
      </c>
      <c r="C12" s="8">
        <f t="shared" si="1"/>
        <v>43</v>
      </c>
      <c r="D12" s="8">
        <f>226+98</f>
        <v>324</v>
      </c>
    </row>
    <row r="13" spans="1:6">
      <c r="A13" s="6">
        <f t="shared" si="0"/>
        <v>42924</v>
      </c>
      <c r="B13" s="7">
        <v>42924</v>
      </c>
      <c r="C13" s="8">
        <f t="shared" si="1"/>
        <v>51</v>
      </c>
      <c r="D13" s="8">
        <f>264+111</f>
        <v>375</v>
      </c>
      <c r="E13" s="14" t="s">
        <v>38</v>
      </c>
      <c r="F13" s="9">
        <f>AVERAGE(C13:C19)</f>
        <v>40.428571428571431</v>
      </c>
    </row>
    <row r="14" spans="1:6">
      <c r="A14" s="6">
        <f t="shared" si="0"/>
        <v>42925</v>
      </c>
      <c r="B14" s="7">
        <v>42925</v>
      </c>
      <c r="C14" s="8">
        <f t="shared" si="1"/>
        <v>11</v>
      </c>
      <c r="D14" s="8">
        <v>386</v>
      </c>
    </row>
    <row r="15" spans="1:6">
      <c r="A15" s="6">
        <f t="shared" si="0"/>
        <v>42926</v>
      </c>
      <c r="B15" s="7">
        <v>42926</v>
      </c>
      <c r="C15" s="8">
        <f t="shared" si="1"/>
        <v>42</v>
      </c>
      <c r="D15" s="8">
        <v>428</v>
      </c>
    </row>
    <row r="16" spans="1:6">
      <c r="A16" s="6">
        <f t="shared" si="0"/>
        <v>42927</v>
      </c>
      <c r="B16" s="7">
        <v>42927</v>
      </c>
      <c r="C16" s="8">
        <f t="shared" si="1"/>
        <v>31</v>
      </c>
      <c r="D16" s="8">
        <v>459</v>
      </c>
    </row>
    <row r="17" spans="1:6">
      <c r="A17" s="6">
        <f t="shared" si="0"/>
        <v>42928</v>
      </c>
      <c r="B17" s="7">
        <v>42928</v>
      </c>
      <c r="C17" s="8">
        <f t="shared" si="1"/>
        <v>48</v>
      </c>
      <c r="D17" s="8">
        <v>507</v>
      </c>
    </row>
    <row r="18" spans="1:6">
      <c r="A18" s="6">
        <f t="shared" si="0"/>
        <v>42929</v>
      </c>
      <c r="B18" s="7">
        <v>42929</v>
      </c>
      <c r="C18" s="8">
        <f t="shared" si="1"/>
        <v>56</v>
      </c>
      <c r="D18" s="8">
        <v>563</v>
      </c>
    </row>
    <row r="19" spans="1:6">
      <c r="A19" s="6">
        <f t="shared" si="0"/>
        <v>42930</v>
      </c>
      <c r="B19" s="7">
        <v>42930</v>
      </c>
      <c r="C19" s="8">
        <f t="shared" si="1"/>
        <v>44</v>
      </c>
      <c r="D19" s="8">
        <f>290+317</f>
        <v>607</v>
      </c>
    </row>
    <row r="20" spans="1:6">
      <c r="A20" s="6">
        <f t="shared" si="0"/>
        <v>42931</v>
      </c>
      <c r="B20" s="7">
        <v>42931</v>
      </c>
      <c r="C20" s="8">
        <f t="shared" si="1"/>
        <v>50</v>
      </c>
      <c r="D20" s="8">
        <f>419+238</f>
        <v>657</v>
      </c>
      <c r="E20" s="14" t="s">
        <v>39</v>
      </c>
      <c r="F20" s="9">
        <f>AVERAGE(C20:C26)</f>
        <v>46.714285714285715</v>
      </c>
    </row>
    <row r="21" spans="1:6">
      <c r="A21" s="6">
        <f t="shared" si="0"/>
        <v>42932</v>
      </c>
      <c r="B21" s="7">
        <v>42932</v>
      </c>
      <c r="C21" s="8">
        <f t="shared" si="1"/>
        <v>48</v>
      </c>
      <c r="D21" s="8">
        <f>450+255</f>
        <v>705</v>
      </c>
    </row>
    <row r="22" spans="1:6">
      <c r="A22" s="6">
        <f t="shared" si="0"/>
        <v>42933</v>
      </c>
      <c r="B22" s="7">
        <v>42933</v>
      </c>
      <c r="C22" s="8">
        <f t="shared" si="1"/>
        <v>39</v>
      </c>
      <c r="D22" s="8">
        <v>744</v>
      </c>
    </row>
    <row r="23" spans="1:6">
      <c r="A23" s="6">
        <f t="shared" si="0"/>
        <v>42934</v>
      </c>
      <c r="B23" s="7">
        <v>42934</v>
      </c>
      <c r="C23" s="8">
        <f t="shared" si="1"/>
        <v>47</v>
      </c>
      <c r="D23" s="8">
        <v>791</v>
      </c>
    </row>
    <row r="24" spans="1:6">
      <c r="A24" s="6">
        <f t="shared" si="0"/>
        <v>42935</v>
      </c>
      <c r="B24" s="7">
        <v>42935</v>
      </c>
      <c r="C24" s="8">
        <f t="shared" si="1"/>
        <v>58</v>
      </c>
      <c r="D24" s="8">
        <v>849</v>
      </c>
    </row>
    <row r="25" spans="1:6">
      <c r="A25" s="6">
        <f t="shared" si="0"/>
        <v>42936</v>
      </c>
      <c r="B25" s="7">
        <v>42936</v>
      </c>
      <c r="C25" s="8">
        <f t="shared" si="1"/>
        <v>52</v>
      </c>
      <c r="D25" s="8">
        <v>901</v>
      </c>
    </row>
    <row r="26" spans="1:6">
      <c r="A26" s="6">
        <f t="shared" si="0"/>
        <v>42937</v>
      </c>
      <c r="B26" s="7">
        <v>42937</v>
      </c>
      <c r="C26" s="8">
        <f t="shared" si="1"/>
        <v>33</v>
      </c>
      <c r="D26" s="8">
        <f>605+329</f>
        <v>934</v>
      </c>
    </row>
    <row r="27" spans="1:6">
      <c r="A27" s="6">
        <f t="shared" si="0"/>
        <v>42938</v>
      </c>
      <c r="B27" s="7">
        <v>42938</v>
      </c>
      <c r="C27" s="8">
        <f t="shared" si="1"/>
        <v>29</v>
      </c>
      <c r="D27" s="8">
        <f>624+339</f>
        <v>963</v>
      </c>
      <c r="E27" s="14" t="s">
        <v>40</v>
      </c>
      <c r="F27" s="9">
        <f>AVERAGE(C27:C33)</f>
        <v>45.571428571428569</v>
      </c>
    </row>
    <row r="28" spans="1:6">
      <c r="A28" s="6">
        <f t="shared" si="0"/>
        <v>42939</v>
      </c>
      <c r="B28" s="7">
        <v>42939</v>
      </c>
      <c r="C28" s="8">
        <f t="shared" si="1"/>
        <v>49</v>
      </c>
      <c r="D28" s="8">
        <f>651+361</f>
        <v>1012</v>
      </c>
    </row>
    <row r="29" spans="1:6">
      <c r="A29" s="6">
        <f t="shared" si="0"/>
        <v>42940</v>
      </c>
      <c r="B29" s="7">
        <v>42940</v>
      </c>
      <c r="C29" s="8">
        <f t="shared" si="1"/>
        <v>50</v>
      </c>
      <c r="D29" s="8">
        <v>1062</v>
      </c>
    </row>
    <row r="30" spans="1:6">
      <c r="A30" s="6">
        <f t="shared" si="0"/>
        <v>42941</v>
      </c>
      <c r="B30" s="7">
        <v>42941</v>
      </c>
      <c r="C30" s="8">
        <f t="shared" si="1"/>
        <v>57</v>
      </c>
      <c r="D30" s="8">
        <v>1119</v>
      </c>
    </row>
    <row r="31" spans="1:6">
      <c r="A31" s="6">
        <f t="shared" si="0"/>
        <v>42942</v>
      </c>
      <c r="B31" s="7">
        <v>42942</v>
      </c>
      <c r="C31" s="8">
        <f t="shared" si="1"/>
        <v>39</v>
      </c>
      <c r="D31" s="8">
        <v>1158</v>
      </c>
    </row>
    <row r="32" spans="1:6">
      <c r="A32" s="6">
        <f t="shared" si="0"/>
        <v>42943</v>
      </c>
      <c r="B32" s="7">
        <v>42943</v>
      </c>
      <c r="C32" s="8">
        <f t="shared" si="1"/>
        <v>50</v>
      </c>
      <c r="D32" s="8">
        <v>1208</v>
      </c>
    </row>
    <row r="33" spans="1:4">
      <c r="A33" s="6">
        <f t="shared" si="0"/>
        <v>42944</v>
      </c>
      <c r="B33" s="7">
        <v>42944</v>
      </c>
      <c r="C33" s="8">
        <f t="shared" si="1"/>
        <v>45</v>
      </c>
      <c r="D33" s="8">
        <f>805+448</f>
        <v>1253</v>
      </c>
    </row>
    <row r="34" spans="1:4" ht="16.5" customHeight="1">
      <c r="A34" s="6">
        <f t="shared" si="0"/>
        <v>42945</v>
      </c>
      <c r="B34" s="7">
        <v>42945</v>
      </c>
      <c r="C34" s="8">
        <f t="shared" si="1"/>
        <v>49</v>
      </c>
      <c r="D34" s="8">
        <f>836+466</f>
        <v>1302</v>
      </c>
    </row>
    <row r="35" spans="1:4">
      <c r="A35" s="6">
        <f t="shared" si="0"/>
        <v>42946</v>
      </c>
      <c r="B35" s="7">
        <v>42946</v>
      </c>
      <c r="C35" s="8">
        <f t="shared" si="1"/>
        <v>39</v>
      </c>
      <c r="D35" s="8">
        <v>1341</v>
      </c>
    </row>
    <row r="36" spans="1:4">
      <c r="A36" s="6">
        <f t="shared" si="0"/>
        <v>42947</v>
      </c>
      <c r="B36" s="7">
        <v>42947</v>
      </c>
      <c r="C36" s="9">
        <f t="shared" si="1"/>
        <v>56</v>
      </c>
      <c r="D36" s="9">
        <v>1397</v>
      </c>
    </row>
    <row r="37" spans="1:4">
      <c r="B37" s="10" t="s">
        <v>6</v>
      </c>
      <c r="C37" s="11">
        <f>SUM(C6:C36)</f>
        <v>1397</v>
      </c>
      <c r="D37" s="12"/>
    </row>
    <row r="38" spans="1:4">
      <c r="C38" s="13"/>
    </row>
    <row r="39" spans="1:4">
      <c r="B39" s="14" t="s">
        <v>7</v>
      </c>
      <c r="C39" s="9">
        <v>1200</v>
      </c>
    </row>
    <row r="40" spans="1:4">
      <c r="B40" s="14" t="s">
        <v>8</v>
      </c>
      <c r="C40" s="9">
        <f>C37</f>
        <v>1397</v>
      </c>
    </row>
    <row r="41" spans="1:4">
      <c r="B41" s="14" t="s">
        <v>9</v>
      </c>
      <c r="C41" s="9">
        <f>C39-C40</f>
        <v>-197</v>
      </c>
    </row>
    <row r="42" spans="1:4">
      <c r="B42" s="14" t="s">
        <v>10</v>
      </c>
      <c r="C42" s="15">
        <f>C40/C39</f>
        <v>1.1641666666666666</v>
      </c>
    </row>
    <row r="43" spans="1:4">
      <c r="B43" s="14" t="s">
        <v>11</v>
      </c>
      <c r="C43" s="9">
        <f>IF(C40&lt;C39,0,C40-C39)</f>
        <v>197</v>
      </c>
    </row>
    <row r="44" spans="1:4">
      <c r="B44" s="14" t="s">
        <v>12</v>
      </c>
      <c r="C44" s="9">
        <f ca="1">(C39-C37)/C48</f>
        <v>-6.5666666666666664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7"/>
  <sheetViews>
    <sheetView showGridLines="0" workbookViewId="0">
      <selection activeCell="B73" sqref="B73"/>
    </sheetView>
  </sheetViews>
  <sheetFormatPr baseColWidth="10" defaultColWidth="8.83203125" defaultRowHeight="14" x14ac:dyDescent="0"/>
  <cols>
    <col min="1" max="1" width="12.1640625" customWidth="1"/>
    <col min="2" max="2" width="22.5" bestFit="1" customWidth="1"/>
    <col min="3" max="3" width="15.5" bestFit="1" customWidth="1"/>
    <col min="4" max="4" width="14.83203125" customWidth="1"/>
  </cols>
  <sheetData>
    <row r="2" spans="1:4">
      <c r="B2" s="1" t="s">
        <v>21</v>
      </c>
    </row>
    <row r="4" spans="1:4">
      <c r="B4" s="2" t="s">
        <v>1</v>
      </c>
      <c r="C4" s="2"/>
    </row>
    <row r="5" spans="1:4">
      <c r="A5" s="3" t="s">
        <v>2</v>
      </c>
      <c r="B5" s="4" t="s">
        <v>3</v>
      </c>
      <c r="C5" s="4" t="s">
        <v>4</v>
      </c>
      <c r="D5" s="5" t="s">
        <v>5</v>
      </c>
    </row>
    <row r="6" spans="1:4">
      <c r="A6" s="6">
        <f t="shared" ref="A6:A36" si="0">B6</f>
        <v>42887</v>
      </c>
      <c r="B6" s="7">
        <v>42887</v>
      </c>
      <c r="C6" s="8">
        <f>D6</f>
        <v>0</v>
      </c>
      <c r="D6" s="34"/>
    </row>
    <row r="7" spans="1:4">
      <c r="A7" s="6">
        <f t="shared" si="0"/>
        <v>42888</v>
      </c>
      <c r="B7" s="7">
        <v>42888</v>
      </c>
      <c r="C7" s="8">
        <f t="shared" ref="C7:C36" si="1">IF(D7-D6&lt;0,0,D7-D6)</f>
        <v>0</v>
      </c>
      <c r="D7" s="34"/>
    </row>
    <row r="8" spans="1:4">
      <c r="A8" s="6">
        <f t="shared" si="0"/>
        <v>42889</v>
      </c>
      <c r="B8" s="7">
        <v>42889</v>
      </c>
      <c r="C8" s="8">
        <f t="shared" si="1"/>
        <v>0</v>
      </c>
      <c r="D8" s="34"/>
    </row>
    <row r="9" spans="1:4">
      <c r="A9" s="6">
        <f t="shared" si="0"/>
        <v>42890</v>
      </c>
      <c r="B9" s="7">
        <v>42890</v>
      </c>
      <c r="C9" s="8">
        <f t="shared" si="1"/>
        <v>0</v>
      </c>
      <c r="D9" s="34"/>
    </row>
    <row r="10" spans="1:4">
      <c r="A10" s="6">
        <f t="shared" si="0"/>
        <v>42891</v>
      </c>
      <c r="B10" s="7">
        <v>42891</v>
      </c>
      <c r="C10" s="8">
        <f t="shared" si="1"/>
        <v>0</v>
      </c>
      <c r="D10" s="34"/>
    </row>
    <row r="11" spans="1:4">
      <c r="A11" s="6">
        <f t="shared" si="0"/>
        <v>42892</v>
      </c>
      <c r="B11" s="7">
        <v>42892</v>
      </c>
      <c r="C11" s="8">
        <f t="shared" si="1"/>
        <v>0</v>
      </c>
      <c r="D11" s="34"/>
    </row>
    <row r="12" spans="1:4">
      <c r="A12" s="6">
        <f t="shared" si="0"/>
        <v>42893</v>
      </c>
      <c r="B12" s="7">
        <v>42893</v>
      </c>
      <c r="C12" s="8">
        <f t="shared" si="1"/>
        <v>0</v>
      </c>
      <c r="D12" s="34"/>
    </row>
    <row r="13" spans="1:4">
      <c r="A13" s="6">
        <f t="shared" si="0"/>
        <v>42894</v>
      </c>
      <c r="B13" s="7">
        <v>42894</v>
      </c>
      <c r="C13" s="8">
        <f t="shared" si="1"/>
        <v>0</v>
      </c>
      <c r="D13" s="34"/>
    </row>
    <row r="14" spans="1:4">
      <c r="A14" s="6">
        <f t="shared" si="0"/>
        <v>42895</v>
      </c>
      <c r="B14" s="7">
        <v>42895</v>
      </c>
      <c r="C14" s="8">
        <f t="shared" si="1"/>
        <v>0</v>
      </c>
      <c r="D14" s="34"/>
    </row>
    <row r="15" spans="1:4">
      <c r="A15" s="6">
        <f t="shared" si="0"/>
        <v>42896</v>
      </c>
      <c r="B15" s="7">
        <v>42896</v>
      </c>
      <c r="C15" s="8">
        <f t="shared" si="1"/>
        <v>0</v>
      </c>
      <c r="D15" s="34"/>
    </row>
    <row r="16" spans="1:4">
      <c r="A16" s="6">
        <f t="shared" si="0"/>
        <v>42897</v>
      </c>
      <c r="B16" s="7">
        <v>42897</v>
      </c>
      <c r="C16" s="8">
        <f t="shared" si="1"/>
        <v>0</v>
      </c>
      <c r="D16" s="34"/>
    </row>
    <row r="17" spans="1:4">
      <c r="A17" s="6">
        <f t="shared" si="0"/>
        <v>42898</v>
      </c>
      <c r="B17" s="7">
        <v>42898</v>
      </c>
      <c r="C17" s="8">
        <f t="shared" si="1"/>
        <v>0</v>
      </c>
      <c r="D17" s="34"/>
    </row>
    <row r="18" spans="1:4">
      <c r="A18" s="6">
        <f t="shared" si="0"/>
        <v>42899</v>
      </c>
      <c r="B18" s="7">
        <v>42899</v>
      </c>
      <c r="C18" s="8">
        <f t="shared" si="1"/>
        <v>0</v>
      </c>
      <c r="D18" s="34"/>
    </row>
    <row r="19" spans="1:4">
      <c r="A19" s="6">
        <f t="shared" si="0"/>
        <v>42900</v>
      </c>
      <c r="B19" s="7">
        <v>42900</v>
      </c>
      <c r="C19" s="8">
        <f t="shared" si="1"/>
        <v>0</v>
      </c>
      <c r="D19" s="34"/>
    </row>
    <row r="20" spans="1:4">
      <c r="A20" s="6">
        <f t="shared" si="0"/>
        <v>42901</v>
      </c>
      <c r="B20" s="7">
        <v>42901</v>
      </c>
      <c r="C20" s="8">
        <f t="shared" si="1"/>
        <v>0</v>
      </c>
      <c r="D20" s="34"/>
    </row>
    <row r="21" spans="1:4">
      <c r="A21" s="6">
        <f t="shared" si="0"/>
        <v>42902</v>
      </c>
      <c r="B21" s="7">
        <v>42902</v>
      </c>
      <c r="C21" s="8">
        <f t="shared" si="1"/>
        <v>0</v>
      </c>
      <c r="D21" s="34"/>
    </row>
    <row r="22" spans="1:4">
      <c r="A22" s="6">
        <f t="shared" si="0"/>
        <v>42903</v>
      </c>
      <c r="B22" s="7">
        <v>42903</v>
      </c>
      <c r="C22" s="8">
        <f t="shared" si="1"/>
        <v>0</v>
      </c>
      <c r="D22" s="34"/>
    </row>
    <row r="23" spans="1:4">
      <c r="A23" s="6">
        <f t="shared" si="0"/>
        <v>42904</v>
      </c>
      <c r="B23" s="7">
        <v>42904</v>
      </c>
      <c r="C23" s="8">
        <f t="shared" si="1"/>
        <v>0</v>
      </c>
      <c r="D23" s="34"/>
    </row>
    <row r="24" spans="1:4">
      <c r="A24" s="6">
        <f t="shared" si="0"/>
        <v>42905</v>
      </c>
      <c r="B24" s="7">
        <v>42905</v>
      </c>
      <c r="C24" s="8">
        <f t="shared" si="1"/>
        <v>0</v>
      </c>
      <c r="D24" s="34"/>
    </row>
    <row r="25" spans="1:4">
      <c r="A25" s="6">
        <f t="shared" si="0"/>
        <v>42906</v>
      </c>
      <c r="B25" s="7">
        <v>42906</v>
      </c>
      <c r="C25" s="8">
        <f t="shared" si="1"/>
        <v>0</v>
      </c>
      <c r="D25" s="34"/>
    </row>
    <row r="26" spans="1:4">
      <c r="A26" s="6">
        <f t="shared" si="0"/>
        <v>42907</v>
      </c>
      <c r="B26" s="7">
        <v>42907</v>
      </c>
      <c r="C26" s="8">
        <f t="shared" si="1"/>
        <v>0</v>
      </c>
      <c r="D26" s="34"/>
    </row>
    <row r="27" spans="1:4">
      <c r="A27" s="6">
        <f t="shared" si="0"/>
        <v>42908</v>
      </c>
      <c r="B27" s="7">
        <v>42908</v>
      </c>
      <c r="C27" s="8">
        <f t="shared" si="1"/>
        <v>0</v>
      </c>
      <c r="D27" s="34"/>
    </row>
    <row r="28" spans="1:4">
      <c r="A28" s="6">
        <f t="shared" si="0"/>
        <v>42909</v>
      </c>
      <c r="B28" s="7">
        <v>42909</v>
      </c>
      <c r="C28" s="8">
        <f t="shared" si="1"/>
        <v>0</v>
      </c>
      <c r="D28" s="34"/>
    </row>
    <row r="29" spans="1:4">
      <c r="A29" s="6">
        <f t="shared" si="0"/>
        <v>42910</v>
      </c>
      <c r="B29" s="7">
        <v>42910</v>
      </c>
      <c r="C29" s="8">
        <f t="shared" si="1"/>
        <v>0</v>
      </c>
      <c r="D29" s="34"/>
    </row>
    <row r="30" spans="1:4">
      <c r="A30" s="6">
        <f t="shared" si="0"/>
        <v>42911</v>
      </c>
      <c r="B30" s="7">
        <v>42911</v>
      </c>
      <c r="C30" s="8">
        <f t="shared" si="1"/>
        <v>0</v>
      </c>
      <c r="D30" s="34"/>
    </row>
    <row r="31" spans="1:4" ht="16.5" customHeight="1">
      <c r="A31" s="6">
        <f t="shared" si="0"/>
        <v>42912</v>
      </c>
      <c r="B31" s="7">
        <v>42912</v>
      </c>
      <c r="C31" s="8">
        <f t="shared" si="1"/>
        <v>0</v>
      </c>
      <c r="D31" s="34"/>
    </row>
    <row r="32" spans="1:4" ht="15" customHeight="1">
      <c r="A32" s="6">
        <f t="shared" si="0"/>
        <v>42913</v>
      </c>
      <c r="B32" s="7">
        <v>42913</v>
      </c>
      <c r="C32" s="8">
        <f t="shared" si="1"/>
        <v>0</v>
      </c>
      <c r="D32" s="34"/>
    </row>
    <row r="33" spans="1:4">
      <c r="A33" s="6">
        <f t="shared" si="0"/>
        <v>42914</v>
      </c>
      <c r="B33" s="7">
        <v>42914</v>
      </c>
      <c r="C33" s="8">
        <f t="shared" si="1"/>
        <v>0</v>
      </c>
      <c r="D33" s="34"/>
    </row>
    <row r="34" spans="1:4">
      <c r="A34" s="6">
        <f t="shared" si="0"/>
        <v>42915</v>
      </c>
      <c r="B34" s="7">
        <v>42915</v>
      </c>
      <c r="C34" s="8">
        <f t="shared" si="1"/>
        <v>0</v>
      </c>
      <c r="D34" s="34"/>
    </row>
    <row r="35" spans="1:4">
      <c r="A35" s="6">
        <f t="shared" si="0"/>
        <v>42916</v>
      </c>
      <c r="B35" s="7">
        <v>42916</v>
      </c>
      <c r="C35" s="8">
        <f t="shared" si="1"/>
        <v>0</v>
      </c>
      <c r="D35" s="8"/>
    </row>
    <row r="36" spans="1:4" hidden="1">
      <c r="A36" s="6">
        <f t="shared" si="0"/>
        <v>42917</v>
      </c>
      <c r="B36" s="7">
        <v>42917</v>
      </c>
      <c r="C36" s="9">
        <f t="shared" si="1"/>
        <v>0</v>
      </c>
      <c r="D36" s="9"/>
    </row>
    <row r="37" spans="1:4">
      <c r="B37" s="10" t="s">
        <v>6</v>
      </c>
      <c r="C37" s="11">
        <f>SUM(C6:C35)</f>
        <v>0</v>
      </c>
      <c r="D37" s="12"/>
    </row>
    <row r="38" spans="1:4">
      <c r="C38" s="13"/>
    </row>
    <row r="39" spans="1:4">
      <c r="B39" s="14" t="s">
        <v>7</v>
      </c>
      <c r="C39" s="9">
        <v>50</v>
      </c>
    </row>
    <row r="40" spans="1:4">
      <c r="B40" s="14" t="s">
        <v>8</v>
      </c>
      <c r="C40" s="9">
        <f>C37</f>
        <v>0</v>
      </c>
    </row>
    <row r="41" spans="1:4">
      <c r="B41" s="14" t="s">
        <v>22</v>
      </c>
      <c r="C41" s="9">
        <f>C39-C40</f>
        <v>50</v>
      </c>
    </row>
    <row r="42" spans="1:4">
      <c r="B42" s="14" t="s">
        <v>10</v>
      </c>
      <c r="C42" s="15">
        <f>C40/C39</f>
        <v>0</v>
      </c>
    </row>
    <row r="43" spans="1:4">
      <c r="B43" s="14" t="s">
        <v>11</v>
      </c>
      <c r="C43" s="9">
        <f>IF(C40&lt;C39,0,C40-C39)</f>
        <v>0</v>
      </c>
    </row>
    <row r="44" spans="1:4">
      <c r="B44" s="14" t="s">
        <v>12</v>
      </c>
      <c r="C44" s="9">
        <f ca="1">(C39-C37)/C48</f>
        <v>1.6666666666666667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 ht="13" customHeight="1">
      <c r="B57" s="33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B8" workbookViewId="0">
      <selection activeCell="D37" sqref="D37"/>
    </sheetView>
  </sheetViews>
  <sheetFormatPr baseColWidth="10" defaultColWidth="8.83203125" defaultRowHeight="14" x14ac:dyDescent="0"/>
  <cols>
    <col min="1" max="1" width="11.83203125" bestFit="1" customWidth="1"/>
    <col min="2" max="2" width="21.5" bestFit="1" customWidth="1"/>
    <col min="3" max="3" width="15.5" bestFit="1" customWidth="1"/>
    <col min="4" max="4" width="14.83203125" customWidth="1"/>
    <col min="5" max="5" width="11.5" bestFit="1" customWidth="1"/>
    <col min="6" max="6" width="7.83203125" bestFit="1" customWidth="1"/>
  </cols>
  <sheetData>
    <row r="2" spans="1:6">
      <c r="B2" s="1" t="s">
        <v>42</v>
      </c>
    </row>
    <row r="4" spans="1:6">
      <c r="B4" s="2" t="s">
        <v>1</v>
      </c>
    </row>
    <row r="5" spans="1:6">
      <c r="A5" s="3" t="s">
        <v>2</v>
      </c>
      <c r="B5" s="4" t="s">
        <v>3</v>
      </c>
      <c r="C5" s="4" t="s">
        <v>4</v>
      </c>
      <c r="D5" s="5" t="s">
        <v>5</v>
      </c>
    </row>
    <row r="6" spans="1:6">
      <c r="A6" s="6">
        <f t="shared" ref="A6:A36" si="0">B6</f>
        <v>42917</v>
      </c>
      <c r="B6" s="7">
        <v>42917</v>
      </c>
      <c r="C6" s="8">
        <f>D6</f>
        <v>10</v>
      </c>
      <c r="D6" s="8">
        <v>10</v>
      </c>
      <c r="E6" s="14" t="s">
        <v>37</v>
      </c>
      <c r="F6" s="9">
        <f>AVERAGE(C6:C12)</f>
        <v>11</v>
      </c>
    </row>
    <row r="7" spans="1:6">
      <c r="A7" s="6">
        <f t="shared" si="0"/>
        <v>42918</v>
      </c>
      <c r="B7" s="7">
        <v>42918</v>
      </c>
      <c r="C7" s="8">
        <f t="shared" ref="C7:C36" si="1">IF(D7-D6&lt;0,0,D7-D6)</f>
        <v>7</v>
      </c>
      <c r="D7" s="8">
        <v>17</v>
      </c>
    </row>
    <row r="8" spans="1:6">
      <c r="A8" s="6">
        <f t="shared" si="0"/>
        <v>42919</v>
      </c>
      <c r="B8" s="7">
        <v>42919</v>
      </c>
      <c r="C8" s="8">
        <f t="shared" si="1"/>
        <v>18</v>
      </c>
      <c r="D8" s="8">
        <f>29+6</f>
        <v>35</v>
      </c>
    </row>
    <row r="9" spans="1:6">
      <c r="A9" s="6">
        <f t="shared" si="0"/>
        <v>42920</v>
      </c>
      <c r="B9" s="7">
        <v>42920</v>
      </c>
      <c r="C9" s="8">
        <f t="shared" si="1"/>
        <v>9</v>
      </c>
      <c r="D9" s="8">
        <v>44</v>
      </c>
    </row>
    <row r="10" spans="1:6">
      <c r="A10" s="6">
        <f t="shared" si="0"/>
        <v>42921</v>
      </c>
      <c r="B10" s="7">
        <v>42921</v>
      </c>
      <c r="C10" s="8">
        <f t="shared" si="1"/>
        <v>8</v>
      </c>
      <c r="D10" s="8">
        <v>52</v>
      </c>
    </row>
    <row r="11" spans="1:6">
      <c r="A11" s="6">
        <f t="shared" si="0"/>
        <v>42922</v>
      </c>
      <c r="B11" s="7">
        <v>42922</v>
      </c>
      <c r="C11" s="8">
        <f t="shared" si="1"/>
        <v>15</v>
      </c>
      <c r="D11" s="8">
        <v>67</v>
      </c>
    </row>
    <row r="12" spans="1:6">
      <c r="A12" s="6">
        <f t="shared" si="0"/>
        <v>42923</v>
      </c>
      <c r="B12" s="7">
        <v>42923</v>
      </c>
      <c r="C12" s="8">
        <f t="shared" si="1"/>
        <v>10</v>
      </c>
      <c r="D12" s="8">
        <f>66+11</f>
        <v>77</v>
      </c>
    </row>
    <row r="13" spans="1:6">
      <c r="A13" s="6">
        <f t="shared" si="0"/>
        <v>42924</v>
      </c>
      <c r="B13" s="7">
        <v>42924</v>
      </c>
      <c r="C13" s="8">
        <f t="shared" si="1"/>
        <v>12</v>
      </c>
      <c r="D13" s="8">
        <f>77+12</f>
        <v>89</v>
      </c>
      <c r="E13" s="14" t="s">
        <v>38</v>
      </c>
      <c r="F13" s="9">
        <f>AVERAGE(C13:C19)</f>
        <v>11.428571428571429</v>
      </c>
    </row>
    <row r="14" spans="1:6">
      <c r="A14" s="6">
        <f t="shared" si="0"/>
        <v>42925</v>
      </c>
      <c r="B14" s="7">
        <v>42925</v>
      </c>
      <c r="C14" s="8">
        <f t="shared" si="1"/>
        <v>8</v>
      </c>
      <c r="D14" s="8">
        <v>97</v>
      </c>
    </row>
    <row r="15" spans="1:6">
      <c r="A15" s="6">
        <f t="shared" si="0"/>
        <v>42926</v>
      </c>
      <c r="B15" s="7">
        <v>42926</v>
      </c>
      <c r="C15" s="8">
        <f t="shared" si="1"/>
        <v>12</v>
      </c>
      <c r="D15" s="8">
        <v>109</v>
      </c>
    </row>
    <row r="16" spans="1:6">
      <c r="A16" s="6">
        <f t="shared" si="0"/>
        <v>42927</v>
      </c>
      <c r="B16" s="7">
        <v>42927</v>
      </c>
      <c r="C16" s="8">
        <f t="shared" si="1"/>
        <v>15</v>
      </c>
      <c r="D16" s="8">
        <v>124</v>
      </c>
    </row>
    <row r="17" spans="1:6">
      <c r="A17" s="6">
        <f t="shared" si="0"/>
        <v>42928</v>
      </c>
      <c r="B17" s="7">
        <v>42928</v>
      </c>
      <c r="C17" s="8">
        <f t="shared" si="1"/>
        <v>12</v>
      </c>
      <c r="D17" s="8">
        <v>136</v>
      </c>
    </row>
    <row r="18" spans="1:6">
      <c r="A18" s="6">
        <f t="shared" si="0"/>
        <v>42929</v>
      </c>
      <c r="B18" s="7">
        <v>42929</v>
      </c>
      <c r="C18" s="8">
        <f t="shared" si="1"/>
        <v>12</v>
      </c>
      <c r="D18" s="8">
        <v>148</v>
      </c>
    </row>
    <row r="19" spans="1:6">
      <c r="A19" s="6">
        <f t="shared" si="0"/>
        <v>42930</v>
      </c>
      <c r="B19" s="7">
        <v>42930</v>
      </c>
      <c r="C19" s="8">
        <f t="shared" si="1"/>
        <v>9</v>
      </c>
      <c r="D19" s="8">
        <f>134+23</f>
        <v>157</v>
      </c>
    </row>
    <row r="20" spans="1:6">
      <c r="A20" s="6">
        <f t="shared" si="0"/>
        <v>42931</v>
      </c>
      <c r="B20" s="7">
        <v>42931</v>
      </c>
      <c r="C20" s="8">
        <f t="shared" si="1"/>
        <v>5</v>
      </c>
      <c r="D20" s="8">
        <f>136+26</f>
        <v>162</v>
      </c>
      <c r="E20" s="14" t="s">
        <v>39</v>
      </c>
      <c r="F20" s="9">
        <f>AVERAGE(C20:C26)</f>
        <v>7.4285714285714288</v>
      </c>
    </row>
    <row r="21" spans="1:6">
      <c r="A21" s="6">
        <f t="shared" si="0"/>
        <v>42932</v>
      </c>
      <c r="B21" s="7">
        <v>42932</v>
      </c>
      <c r="C21" s="8">
        <f t="shared" si="1"/>
        <v>6</v>
      </c>
      <c r="D21" s="8">
        <f>142+26</f>
        <v>168</v>
      </c>
    </row>
    <row r="22" spans="1:6">
      <c r="A22" s="6">
        <f t="shared" si="0"/>
        <v>42933</v>
      </c>
      <c r="B22" s="7">
        <v>42933</v>
      </c>
      <c r="C22" s="8">
        <f t="shared" si="1"/>
        <v>5</v>
      </c>
      <c r="D22" s="8">
        <v>173</v>
      </c>
    </row>
    <row r="23" spans="1:6">
      <c r="A23" s="6">
        <f t="shared" si="0"/>
        <v>42934</v>
      </c>
      <c r="B23" s="7">
        <v>42934</v>
      </c>
      <c r="C23" s="8">
        <f t="shared" si="1"/>
        <v>7</v>
      </c>
      <c r="D23" s="8">
        <v>180</v>
      </c>
    </row>
    <row r="24" spans="1:6">
      <c r="A24" s="6">
        <f t="shared" si="0"/>
        <v>42935</v>
      </c>
      <c r="B24" s="7">
        <v>42935</v>
      </c>
      <c r="C24" s="8">
        <f t="shared" si="1"/>
        <v>7</v>
      </c>
      <c r="D24" s="8">
        <v>187</v>
      </c>
    </row>
    <row r="25" spans="1:6">
      <c r="A25" s="6">
        <f t="shared" si="0"/>
        <v>42936</v>
      </c>
      <c r="B25" s="7">
        <v>42936</v>
      </c>
      <c r="C25" s="8">
        <f t="shared" si="1"/>
        <v>15</v>
      </c>
      <c r="D25" s="8">
        <v>202</v>
      </c>
    </row>
    <row r="26" spans="1:6">
      <c r="A26" s="6">
        <f t="shared" si="0"/>
        <v>42937</v>
      </c>
      <c r="B26" s="7">
        <v>42937</v>
      </c>
      <c r="C26" s="8">
        <f t="shared" si="1"/>
        <v>7</v>
      </c>
      <c r="D26" s="8">
        <f>176+33</f>
        <v>209</v>
      </c>
    </row>
    <row r="27" spans="1:6">
      <c r="A27" s="6">
        <f t="shared" si="0"/>
        <v>42938</v>
      </c>
      <c r="B27" s="7">
        <v>42938</v>
      </c>
      <c r="C27" s="8">
        <f t="shared" si="1"/>
        <v>13</v>
      </c>
      <c r="D27" s="8">
        <f>186+36</f>
        <v>222</v>
      </c>
      <c r="E27" s="14" t="s">
        <v>40</v>
      </c>
      <c r="F27" s="9">
        <f>AVERAGE(C27:C33)</f>
        <v>12.142857142857142</v>
      </c>
    </row>
    <row r="28" spans="1:6">
      <c r="A28" s="6">
        <f t="shared" si="0"/>
        <v>42939</v>
      </c>
      <c r="B28" s="7">
        <v>42939</v>
      </c>
      <c r="C28" s="8">
        <f t="shared" si="1"/>
        <v>8</v>
      </c>
      <c r="D28" s="8">
        <f>193+37</f>
        <v>230</v>
      </c>
    </row>
    <row r="29" spans="1:6">
      <c r="A29" s="6">
        <f t="shared" si="0"/>
        <v>42940</v>
      </c>
      <c r="B29" s="7">
        <v>42940</v>
      </c>
      <c r="C29" s="8">
        <f t="shared" si="1"/>
        <v>13</v>
      </c>
      <c r="D29" s="8">
        <v>243</v>
      </c>
    </row>
    <row r="30" spans="1:6">
      <c r="A30" s="6">
        <f t="shared" si="0"/>
        <v>42941</v>
      </c>
      <c r="B30" s="7">
        <v>42941</v>
      </c>
      <c r="C30" s="8">
        <f t="shared" si="1"/>
        <v>11</v>
      </c>
      <c r="D30" s="8">
        <v>254</v>
      </c>
    </row>
    <row r="31" spans="1:6">
      <c r="A31" s="6">
        <f t="shared" si="0"/>
        <v>42942</v>
      </c>
      <c r="B31" s="7">
        <v>42942</v>
      </c>
      <c r="C31" s="8">
        <f t="shared" si="1"/>
        <v>15</v>
      </c>
      <c r="D31" s="8">
        <v>269</v>
      </c>
    </row>
    <row r="32" spans="1:6">
      <c r="A32" s="6">
        <f t="shared" si="0"/>
        <v>42943</v>
      </c>
      <c r="B32" s="7">
        <v>42943</v>
      </c>
      <c r="C32" s="8">
        <f t="shared" si="1"/>
        <v>14</v>
      </c>
      <c r="D32" s="8">
        <v>283</v>
      </c>
    </row>
    <row r="33" spans="1:4">
      <c r="A33" s="6">
        <f t="shared" si="0"/>
        <v>42944</v>
      </c>
      <c r="B33" s="7">
        <v>42944</v>
      </c>
      <c r="C33" s="8">
        <f t="shared" si="1"/>
        <v>11</v>
      </c>
      <c r="D33" s="8">
        <f>247+47</f>
        <v>294</v>
      </c>
    </row>
    <row r="34" spans="1:4">
      <c r="A34" s="6">
        <f t="shared" si="0"/>
        <v>42945</v>
      </c>
      <c r="B34" s="7">
        <v>42945</v>
      </c>
      <c r="C34" s="8">
        <f t="shared" si="1"/>
        <v>9</v>
      </c>
      <c r="D34" s="8">
        <f>254+49</f>
        <v>303</v>
      </c>
    </row>
    <row r="35" spans="1:4">
      <c r="A35" s="6">
        <f t="shared" si="0"/>
        <v>42946</v>
      </c>
      <c r="B35" s="7">
        <v>42946</v>
      </c>
      <c r="C35" s="8">
        <f t="shared" si="1"/>
        <v>9</v>
      </c>
      <c r="D35" s="8">
        <v>312</v>
      </c>
    </row>
    <row r="36" spans="1:4">
      <c r="A36" s="6">
        <f t="shared" si="0"/>
        <v>42947</v>
      </c>
      <c r="B36" s="7">
        <v>42947</v>
      </c>
      <c r="C36" s="9">
        <f t="shared" si="1"/>
        <v>7</v>
      </c>
      <c r="D36" s="9">
        <v>319</v>
      </c>
    </row>
    <row r="37" spans="1:4">
      <c r="B37" s="10" t="s">
        <v>6</v>
      </c>
      <c r="C37" s="11">
        <f>SUM(C6:C36)</f>
        <v>319</v>
      </c>
      <c r="D37" s="12"/>
    </row>
    <row r="38" spans="1:4">
      <c r="C38" s="13"/>
    </row>
    <row r="39" spans="1:4">
      <c r="B39" s="14" t="s">
        <v>7</v>
      </c>
      <c r="C39" s="9">
        <v>300</v>
      </c>
    </row>
    <row r="40" spans="1:4">
      <c r="B40" s="14" t="s">
        <v>8</v>
      </c>
      <c r="C40" s="9">
        <f>C37</f>
        <v>319</v>
      </c>
    </row>
    <row r="41" spans="1:4">
      <c r="B41" s="14" t="s">
        <v>9</v>
      </c>
      <c r="C41" s="9">
        <f>C39-C40</f>
        <v>-19</v>
      </c>
    </row>
    <row r="42" spans="1:4">
      <c r="B42" s="14" t="s">
        <v>10</v>
      </c>
      <c r="C42" s="15">
        <f>C40/C39</f>
        <v>1.0633333333333332</v>
      </c>
    </row>
    <row r="43" spans="1:4">
      <c r="B43" s="14" t="s">
        <v>11</v>
      </c>
      <c r="C43" s="9">
        <f>IF(C40&lt;C39,0,C40-C39)</f>
        <v>19</v>
      </c>
    </row>
    <row r="44" spans="1:4">
      <c r="B44" s="14" t="s">
        <v>12</v>
      </c>
      <c r="C44" s="9">
        <f ca="1">(C39-C37)/C48</f>
        <v>-0.6333333333333333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5" workbookViewId="0">
      <selection activeCell="D37" sqref="D37"/>
    </sheetView>
  </sheetViews>
  <sheetFormatPr baseColWidth="10" defaultColWidth="8.83203125" defaultRowHeight="14" x14ac:dyDescent="0"/>
  <cols>
    <col min="1" max="1" width="11.83203125" customWidth="1"/>
    <col min="2" max="2" width="20.33203125" bestFit="1" customWidth="1"/>
    <col min="3" max="3" width="15.83203125" bestFit="1" customWidth="1"/>
    <col min="4" max="4" width="14.83203125" customWidth="1"/>
  </cols>
  <sheetData>
    <row r="2" spans="1:6">
      <c r="B2" s="1" t="s">
        <v>43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4</v>
      </c>
      <c r="D5" s="5" t="s">
        <v>5</v>
      </c>
    </row>
    <row r="6" spans="1:6">
      <c r="A6" s="6">
        <f t="shared" ref="A6:A36" si="0">B6</f>
        <v>42917</v>
      </c>
      <c r="B6" s="7">
        <v>42917</v>
      </c>
      <c r="C6" s="39">
        <f>D6</f>
        <v>14</v>
      </c>
      <c r="D6" s="8">
        <v>14</v>
      </c>
      <c r="E6" s="14" t="s">
        <v>37</v>
      </c>
      <c r="F6" s="9">
        <f>AVERAGE(C6:C12)</f>
        <v>14.142857142857142</v>
      </c>
    </row>
    <row r="7" spans="1:6">
      <c r="A7" s="6">
        <f t="shared" si="0"/>
        <v>42918</v>
      </c>
      <c r="B7" s="7">
        <v>42918</v>
      </c>
      <c r="C7" s="44">
        <f t="shared" ref="C7:C36" si="1">IF(D7-D6&lt;0,0,D7-D6)</f>
        <v>14</v>
      </c>
      <c r="D7" s="8">
        <v>28</v>
      </c>
    </row>
    <row r="8" spans="1:6">
      <c r="A8" s="6">
        <f t="shared" si="0"/>
        <v>42919</v>
      </c>
      <c r="B8" s="7">
        <v>42919</v>
      </c>
      <c r="C8" s="44">
        <f t="shared" si="1"/>
        <v>14</v>
      </c>
      <c r="D8" s="8">
        <f>34+8</f>
        <v>42</v>
      </c>
    </row>
    <row r="9" spans="1:6">
      <c r="A9" s="6">
        <f t="shared" si="0"/>
        <v>42920</v>
      </c>
      <c r="B9" s="7">
        <v>42920</v>
      </c>
      <c r="C9" s="44">
        <f t="shared" si="1"/>
        <v>7</v>
      </c>
      <c r="D9" s="8">
        <v>49</v>
      </c>
    </row>
    <row r="10" spans="1:6">
      <c r="A10" s="6">
        <f t="shared" si="0"/>
        <v>42921</v>
      </c>
      <c r="B10" s="7">
        <v>42921</v>
      </c>
      <c r="C10" s="44">
        <f t="shared" si="1"/>
        <v>13</v>
      </c>
      <c r="D10" s="8">
        <v>62</v>
      </c>
    </row>
    <row r="11" spans="1:6">
      <c r="A11" s="6">
        <f t="shared" si="0"/>
        <v>42922</v>
      </c>
      <c r="B11" s="7">
        <v>42922</v>
      </c>
      <c r="C11" s="44">
        <f t="shared" si="1"/>
        <v>10</v>
      </c>
      <c r="D11" s="8">
        <v>72</v>
      </c>
    </row>
    <row r="12" spans="1:6">
      <c r="A12" s="6">
        <f t="shared" si="0"/>
        <v>42923</v>
      </c>
      <c r="B12" s="7">
        <v>42923</v>
      </c>
      <c r="C12" s="44">
        <f t="shared" si="1"/>
        <v>27</v>
      </c>
      <c r="D12" s="8">
        <f>84+15</f>
        <v>99</v>
      </c>
    </row>
    <row r="13" spans="1:6">
      <c r="A13" s="6">
        <f t="shared" si="0"/>
        <v>42924</v>
      </c>
      <c r="B13" s="7">
        <v>42924</v>
      </c>
      <c r="C13" s="44">
        <f t="shared" si="1"/>
        <v>30</v>
      </c>
      <c r="D13" s="8">
        <f>113+16</f>
        <v>129</v>
      </c>
      <c r="E13" s="14" t="s">
        <v>38</v>
      </c>
      <c r="F13" s="9">
        <f>AVERAGE(C13:C19)</f>
        <v>23.714285714285715</v>
      </c>
    </row>
    <row r="14" spans="1:6">
      <c r="A14" s="6">
        <f t="shared" si="0"/>
        <v>42925</v>
      </c>
      <c r="B14" s="7">
        <v>42925</v>
      </c>
      <c r="C14" s="44">
        <f t="shared" si="1"/>
        <v>25</v>
      </c>
      <c r="D14" s="8">
        <v>154</v>
      </c>
    </row>
    <row r="15" spans="1:6">
      <c r="A15" s="6">
        <f t="shared" si="0"/>
        <v>42926</v>
      </c>
      <c r="B15" s="7">
        <v>42926</v>
      </c>
      <c r="C15" s="44">
        <f t="shared" si="1"/>
        <v>5</v>
      </c>
      <c r="D15" s="8">
        <v>159</v>
      </c>
    </row>
    <row r="16" spans="1:6">
      <c r="A16" s="6">
        <f t="shared" si="0"/>
        <v>42927</v>
      </c>
      <c r="B16" s="7">
        <v>42927</v>
      </c>
      <c r="C16" s="44">
        <f t="shared" si="1"/>
        <v>13</v>
      </c>
      <c r="D16" s="8">
        <v>172</v>
      </c>
    </row>
    <row r="17" spans="1:6">
      <c r="A17" s="6">
        <f t="shared" si="0"/>
        <v>42928</v>
      </c>
      <c r="B17" s="7">
        <v>42928</v>
      </c>
      <c r="C17" s="44">
        <f t="shared" si="1"/>
        <v>32</v>
      </c>
      <c r="D17" s="8">
        <v>204</v>
      </c>
    </row>
    <row r="18" spans="1:6">
      <c r="A18" s="6">
        <f t="shared" si="0"/>
        <v>42929</v>
      </c>
      <c r="B18" s="7">
        <v>42929</v>
      </c>
      <c r="C18" s="44">
        <f t="shared" si="1"/>
        <v>31</v>
      </c>
      <c r="D18" s="8">
        <v>235</v>
      </c>
    </row>
    <row r="19" spans="1:6">
      <c r="A19" s="6">
        <f t="shared" si="0"/>
        <v>42930</v>
      </c>
      <c r="B19" s="7">
        <v>42930</v>
      </c>
      <c r="C19" s="44">
        <f t="shared" si="1"/>
        <v>30</v>
      </c>
      <c r="D19" s="8">
        <f>231+34</f>
        <v>265</v>
      </c>
    </row>
    <row r="20" spans="1:6">
      <c r="A20" s="6">
        <f t="shared" si="0"/>
        <v>42931</v>
      </c>
      <c r="B20" s="7">
        <v>42931</v>
      </c>
      <c r="C20" s="44">
        <f t="shared" si="1"/>
        <v>27</v>
      </c>
      <c r="D20" s="8">
        <f>255+37</f>
        <v>292</v>
      </c>
      <c r="E20" s="14" t="s">
        <v>39</v>
      </c>
      <c r="F20" s="9">
        <f>AVERAGE(C20:C26)</f>
        <v>22.571428571428573</v>
      </c>
    </row>
    <row r="21" spans="1:6">
      <c r="A21" s="6">
        <f t="shared" si="0"/>
        <v>42932</v>
      </c>
      <c r="B21" s="7">
        <v>42932</v>
      </c>
      <c r="C21" s="44">
        <f t="shared" si="1"/>
        <v>29</v>
      </c>
      <c r="D21" s="8">
        <f>280+41</f>
        <v>321</v>
      </c>
    </row>
    <row r="22" spans="1:6">
      <c r="A22" s="6">
        <f t="shared" si="0"/>
        <v>42933</v>
      </c>
      <c r="B22" s="7">
        <v>42933</v>
      </c>
      <c r="C22" s="44">
        <f t="shared" si="1"/>
        <v>25</v>
      </c>
      <c r="D22" s="8">
        <v>346</v>
      </c>
    </row>
    <row r="23" spans="1:6">
      <c r="A23" s="6">
        <f t="shared" si="0"/>
        <v>42934</v>
      </c>
      <c r="B23" s="7">
        <v>42934</v>
      </c>
      <c r="C23" s="44">
        <f t="shared" si="1"/>
        <v>37</v>
      </c>
      <c r="D23" s="8">
        <v>383</v>
      </c>
    </row>
    <row r="24" spans="1:6">
      <c r="A24" s="6">
        <f t="shared" si="0"/>
        <v>42935</v>
      </c>
      <c r="B24" s="7">
        <v>42935</v>
      </c>
      <c r="C24" s="44">
        <f t="shared" si="1"/>
        <v>16</v>
      </c>
      <c r="D24" s="8">
        <v>399</v>
      </c>
    </row>
    <row r="25" spans="1:6">
      <c r="A25" s="6">
        <f t="shared" si="0"/>
        <v>42936</v>
      </c>
      <c r="B25" s="7">
        <v>42936</v>
      </c>
      <c r="C25" s="44">
        <f t="shared" si="1"/>
        <v>15</v>
      </c>
      <c r="D25" s="8">
        <v>414</v>
      </c>
    </row>
    <row r="26" spans="1:6">
      <c r="A26" s="6">
        <f t="shared" si="0"/>
        <v>42937</v>
      </c>
      <c r="B26" s="7">
        <v>42937</v>
      </c>
      <c r="C26" s="44">
        <f t="shared" si="1"/>
        <v>9</v>
      </c>
      <c r="D26" s="8">
        <f>368+55</f>
        <v>423</v>
      </c>
    </row>
    <row r="27" spans="1:6">
      <c r="A27" s="6">
        <f t="shared" si="0"/>
        <v>42938</v>
      </c>
      <c r="B27" s="7">
        <v>42938</v>
      </c>
      <c r="C27" s="44">
        <f t="shared" si="1"/>
        <v>16</v>
      </c>
      <c r="D27" s="8">
        <f>380+59</f>
        <v>439</v>
      </c>
      <c r="E27" s="14" t="s">
        <v>40</v>
      </c>
      <c r="F27" s="9">
        <f>AVERAGE(C27:C33)</f>
        <v>17.714285714285715</v>
      </c>
    </row>
    <row r="28" spans="1:6">
      <c r="A28" s="6">
        <f t="shared" si="0"/>
        <v>42939</v>
      </c>
      <c r="B28" s="7">
        <v>42939</v>
      </c>
      <c r="C28" s="44">
        <f t="shared" si="1"/>
        <v>22</v>
      </c>
      <c r="D28" s="8">
        <f>397+64</f>
        <v>461</v>
      </c>
    </row>
    <row r="29" spans="1:6">
      <c r="A29" s="6">
        <f t="shared" si="0"/>
        <v>42940</v>
      </c>
      <c r="B29" s="7">
        <v>42940</v>
      </c>
      <c r="C29" s="44">
        <v>7</v>
      </c>
      <c r="D29" s="8">
        <v>488</v>
      </c>
    </row>
    <row r="30" spans="1:6">
      <c r="A30" s="6">
        <f t="shared" si="0"/>
        <v>42941</v>
      </c>
      <c r="B30" s="7">
        <v>42941</v>
      </c>
      <c r="C30" s="44">
        <f t="shared" si="1"/>
        <v>46</v>
      </c>
      <c r="D30" s="8">
        <v>534</v>
      </c>
    </row>
    <row r="31" spans="1:6">
      <c r="A31" s="6">
        <f t="shared" si="0"/>
        <v>42942</v>
      </c>
      <c r="B31" s="7">
        <v>42942</v>
      </c>
      <c r="C31" s="44">
        <f t="shared" si="1"/>
        <v>12</v>
      </c>
      <c r="D31" s="8">
        <v>546</v>
      </c>
    </row>
    <row r="32" spans="1:6">
      <c r="A32" s="6">
        <f t="shared" si="0"/>
        <v>42943</v>
      </c>
      <c r="B32" s="7">
        <v>42943</v>
      </c>
      <c r="C32" s="44">
        <f t="shared" si="1"/>
        <v>11</v>
      </c>
      <c r="D32" s="8">
        <v>557</v>
      </c>
    </row>
    <row r="33" spans="1:4">
      <c r="A33" s="6">
        <f t="shared" si="0"/>
        <v>42944</v>
      </c>
      <c r="B33" s="7">
        <v>42944</v>
      </c>
      <c r="C33" s="44">
        <f t="shared" si="1"/>
        <v>10</v>
      </c>
      <c r="D33" s="8">
        <f>485+82</f>
        <v>567</v>
      </c>
    </row>
    <row r="34" spans="1:4">
      <c r="A34" s="6">
        <f t="shared" si="0"/>
        <v>42945</v>
      </c>
      <c r="B34" s="7">
        <v>42945</v>
      </c>
      <c r="C34" s="44">
        <f t="shared" si="1"/>
        <v>25</v>
      </c>
      <c r="D34" s="8">
        <f>506+86</f>
        <v>592</v>
      </c>
    </row>
    <row r="35" spans="1:4">
      <c r="A35" s="6">
        <f t="shared" si="0"/>
        <v>42946</v>
      </c>
      <c r="B35" s="7">
        <v>42946</v>
      </c>
      <c r="C35" s="44">
        <f t="shared" si="1"/>
        <v>14</v>
      </c>
      <c r="D35" s="8">
        <v>606</v>
      </c>
    </row>
    <row r="36" spans="1:4">
      <c r="A36" s="6">
        <f t="shared" si="0"/>
        <v>42947</v>
      </c>
      <c r="B36" s="7">
        <v>42947</v>
      </c>
      <c r="C36" s="14">
        <f t="shared" si="1"/>
        <v>28</v>
      </c>
      <c r="D36" s="9">
        <v>634</v>
      </c>
    </row>
    <row r="37" spans="1:4">
      <c r="B37" s="10" t="s">
        <v>6</v>
      </c>
      <c r="C37" s="11">
        <f>SUM(C6:C36)</f>
        <v>614</v>
      </c>
      <c r="D37" s="12"/>
    </row>
    <row r="38" spans="1:4">
      <c r="C38" s="13"/>
    </row>
    <row r="39" spans="1:4">
      <c r="B39" s="14" t="s">
        <v>7</v>
      </c>
      <c r="C39" s="9">
        <v>350</v>
      </c>
    </row>
    <row r="40" spans="1:4">
      <c r="B40" s="14" t="s">
        <v>8</v>
      </c>
      <c r="C40" s="9">
        <f>C37</f>
        <v>614</v>
      </c>
    </row>
    <row r="41" spans="1:4">
      <c r="B41" s="14" t="s">
        <v>9</v>
      </c>
      <c r="C41" s="9">
        <f>C39-C40</f>
        <v>-264</v>
      </c>
    </row>
    <row r="42" spans="1:4">
      <c r="B42" s="14" t="s">
        <v>10</v>
      </c>
      <c r="C42" s="15">
        <f>C40/C39</f>
        <v>1.7542857142857142</v>
      </c>
    </row>
    <row r="43" spans="1:4">
      <c r="B43" s="14" t="s">
        <v>11</v>
      </c>
      <c r="C43" s="9">
        <f>IF(C40&lt;C39,0,C40-C39)</f>
        <v>264</v>
      </c>
    </row>
    <row r="44" spans="1:4">
      <c r="B44" s="14" t="s">
        <v>12</v>
      </c>
      <c r="C44" s="9">
        <f ca="1">(C39-C37)/C48</f>
        <v>-8.8000000000000007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7"/>
  <sheetViews>
    <sheetView showGridLines="0" topLeftCell="A4" workbookViewId="0">
      <selection activeCell="D37" sqref="D37"/>
    </sheetView>
  </sheetViews>
  <sheetFormatPr baseColWidth="10" defaultColWidth="8.83203125" defaultRowHeight="14" x14ac:dyDescent="0"/>
  <cols>
    <col min="1" max="1" width="12.33203125" customWidth="1"/>
    <col min="2" max="2" width="18.1640625" customWidth="1"/>
    <col min="3" max="3" width="15.83203125" bestFit="1" customWidth="1"/>
    <col min="4" max="4" width="14.83203125" customWidth="1"/>
  </cols>
  <sheetData>
    <row r="2" spans="1:4">
      <c r="B2" s="1" t="s">
        <v>44</v>
      </c>
    </row>
    <row r="4" spans="1:4">
      <c r="B4" s="2" t="s">
        <v>1</v>
      </c>
      <c r="C4" s="2"/>
    </row>
    <row r="5" spans="1:4">
      <c r="A5" s="3" t="s">
        <v>2</v>
      </c>
      <c r="B5" s="4" t="s">
        <v>3</v>
      </c>
      <c r="C5" s="4" t="s">
        <v>4</v>
      </c>
      <c r="D5" s="5" t="s">
        <v>5</v>
      </c>
    </row>
    <row r="6" spans="1:4">
      <c r="A6" s="6">
        <f t="shared" ref="A6:A36" si="0">B6</f>
        <v>42917</v>
      </c>
      <c r="B6" s="7">
        <v>42917</v>
      </c>
      <c r="C6" s="8">
        <f>D6</f>
        <v>10</v>
      </c>
      <c r="D6" s="8">
        <v>10</v>
      </c>
    </row>
    <row r="7" spans="1:4">
      <c r="A7" s="6">
        <f t="shared" si="0"/>
        <v>42918</v>
      </c>
      <c r="B7" s="7">
        <v>42918</v>
      </c>
      <c r="C7" s="8">
        <f t="shared" ref="C7:C36" si="1">IF(D7-D6&lt;0,0,D7-D6)</f>
        <v>15</v>
      </c>
      <c r="D7" s="8">
        <v>25</v>
      </c>
    </row>
    <row r="8" spans="1:4">
      <c r="A8" s="6">
        <f t="shared" si="0"/>
        <v>42919</v>
      </c>
      <c r="B8" s="7">
        <v>42919</v>
      </c>
      <c r="C8" s="8">
        <f t="shared" si="1"/>
        <v>15</v>
      </c>
      <c r="D8" s="8">
        <v>40</v>
      </c>
    </row>
    <row r="9" spans="1:4">
      <c r="A9" s="6">
        <f t="shared" si="0"/>
        <v>42920</v>
      </c>
      <c r="B9" s="7">
        <v>42920</v>
      </c>
      <c r="C9" s="8">
        <f t="shared" si="1"/>
        <v>14</v>
      </c>
      <c r="D9" s="8">
        <v>54</v>
      </c>
    </row>
    <row r="10" spans="1:4">
      <c r="A10" s="6">
        <f t="shared" si="0"/>
        <v>42921</v>
      </c>
      <c r="B10" s="7">
        <v>42921</v>
      </c>
      <c r="C10" s="8">
        <f t="shared" si="1"/>
        <v>17</v>
      </c>
      <c r="D10" s="8">
        <v>71</v>
      </c>
    </row>
    <row r="11" spans="1:4">
      <c r="A11" s="6">
        <f t="shared" si="0"/>
        <v>42922</v>
      </c>
      <c r="B11" s="7">
        <v>42922</v>
      </c>
      <c r="C11" s="8">
        <f t="shared" si="1"/>
        <v>11</v>
      </c>
      <c r="D11" s="8">
        <v>82</v>
      </c>
    </row>
    <row r="12" spans="1:4">
      <c r="A12" s="6">
        <f t="shared" si="0"/>
        <v>42923</v>
      </c>
      <c r="B12" s="7">
        <v>42923</v>
      </c>
      <c r="C12" s="8">
        <f t="shared" si="1"/>
        <v>13</v>
      </c>
      <c r="D12" s="8">
        <f>78+17</f>
        <v>95</v>
      </c>
    </row>
    <row r="13" spans="1:4">
      <c r="A13" s="6">
        <f t="shared" si="0"/>
        <v>42924</v>
      </c>
      <c r="B13" s="7">
        <v>42924</v>
      </c>
      <c r="C13" s="8">
        <f t="shared" si="1"/>
        <v>10</v>
      </c>
      <c r="D13" s="8">
        <f>87+18</f>
        <v>105</v>
      </c>
    </row>
    <row r="14" spans="1:4">
      <c r="A14" s="6">
        <f t="shared" si="0"/>
        <v>42925</v>
      </c>
      <c r="B14" s="7">
        <v>42925</v>
      </c>
      <c r="C14" s="8">
        <f t="shared" si="1"/>
        <v>8</v>
      </c>
      <c r="D14" s="8">
        <v>113</v>
      </c>
    </row>
    <row r="15" spans="1:4">
      <c r="A15" s="6">
        <f t="shared" si="0"/>
        <v>42926</v>
      </c>
      <c r="B15" s="7">
        <v>42926</v>
      </c>
      <c r="C15" s="8">
        <f t="shared" si="1"/>
        <v>12</v>
      </c>
      <c r="D15" s="8">
        <v>125</v>
      </c>
    </row>
    <row r="16" spans="1:4">
      <c r="A16" s="6">
        <f t="shared" si="0"/>
        <v>42927</v>
      </c>
      <c r="B16" s="7">
        <v>42927</v>
      </c>
      <c r="C16" s="8">
        <f t="shared" si="1"/>
        <v>9</v>
      </c>
      <c r="D16" s="8">
        <v>134</v>
      </c>
    </row>
    <row r="17" spans="1:4">
      <c r="A17" s="6">
        <f t="shared" si="0"/>
        <v>42928</v>
      </c>
      <c r="B17" s="7">
        <v>42928</v>
      </c>
      <c r="C17" s="8">
        <f t="shared" si="1"/>
        <v>10</v>
      </c>
      <c r="D17" s="8">
        <v>144</v>
      </c>
    </row>
    <row r="18" spans="1:4">
      <c r="A18" s="6">
        <f t="shared" si="0"/>
        <v>42929</v>
      </c>
      <c r="B18" s="7">
        <v>42929</v>
      </c>
      <c r="C18" s="8">
        <f t="shared" si="1"/>
        <v>13</v>
      </c>
      <c r="D18" s="8">
        <v>157</v>
      </c>
    </row>
    <row r="19" spans="1:4">
      <c r="A19" s="6">
        <f t="shared" si="0"/>
        <v>42930</v>
      </c>
      <c r="B19" s="7">
        <v>42930</v>
      </c>
      <c r="C19" s="8">
        <f t="shared" si="1"/>
        <v>9</v>
      </c>
      <c r="D19" s="8">
        <f>139+27</f>
        <v>166</v>
      </c>
    </row>
    <row r="20" spans="1:4">
      <c r="A20" s="6">
        <f t="shared" si="0"/>
        <v>42931</v>
      </c>
      <c r="B20" s="7">
        <v>42931</v>
      </c>
      <c r="C20" s="8">
        <f t="shared" si="1"/>
        <v>9</v>
      </c>
      <c r="D20" s="8">
        <f>145+30</f>
        <v>175</v>
      </c>
    </row>
    <row r="21" spans="1:4">
      <c r="A21" s="6">
        <f t="shared" si="0"/>
        <v>42932</v>
      </c>
      <c r="B21" s="7">
        <v>42932</v>
      </c>
      <c r="C21" s="8">
        <f t="shared" si="1"/>
        <v>6</v>
      </c>
      <c r="D21" s="8">
        <f>151+30</f>
        <v>181</v>
      </c>
    </row>
    <row r="22" spans="1:4">
      <c r="A22" s="6">
        <f t="shared" si="0"/>
        <v>42933</v>
      </c>
      <c r="B22" s="7">
        <v>42933</v>
      </c>
      <c r="C22" s="8">
        <f t="shared" si="1"/>
        <v>10</v>
      </c>
      <c r="D22" s="8">
        <v>191</v>
      </c>
    </row>
    <row r="23" spans="1:4">
      <c r="A23" s="6">
        <f t="shared" si="0"/>
        <v>42934</v>
      </c>
      <c r="B23" s="7">
        <v>42934</v>
      </c>
      <c r="C23" s="8">
        <f t="shared" si="1"/>
        <v>15</v>
      </c>
      <c r="D23" s="8">
        <v>206</v>
      </c>
    </row>
    <row r="24" spans="1:4">
      <c r="A24" s="6">
        <f t="shared" si="0"/>
        <v>42935</v>
      </c>
      <c r="B24" s="7">
        <v>42935</v>
      </c>
      <c r="C24" s="8">
        <f t="shared" si="1"/>
        <v>24</v>
      </c>
      <c r="D24" s="8">
        <v>230</v>
      </c>
    </row>
    <row r="25" spans="1:4">
      <c r="A25" s="6">
        <f t="shared" si="0"/>
        <v>42936</v>
      </c>
      <c r="B25" s="7">
        <v>42936</v>
      </c>
      <c r="C25" s="8">
        <f t="shared" si="1"/>
        <v>14</v>
      </c>
      <c r="D25" s="8">
        <v>244</v>
      </c>
    </row>
    <row r="26" spans="1:4">
      <c r="A26" s="6">
        <f t="shared" si="0"/>
        <v>42937</v>
      </c>
      <c r="B26" s="7">
        <v>42937</v>
      </c>
      <c r="C26" s="8">
        <f t="shared" si="1"/>
        <v>4</v>
      </c>
      <c r="D26" s="8">
        <f>201+47</f>
        <v>248</v>
      </c>
    </row>
    <row r="27" spans="1:4">
      <c r="A27" s="6">
        <f t="shared" si="0"/>
        <v>42938</v>
      </c>
      <c r="B27" s="7">
        <v>42938</v>
      </c>
      <c r="C27" s="8">
        <f t="shared" si="1"/>
        <v>10</v>
      </c>
      <c r="D27" s="8">
        <f>208+50</f>
        <v>258</v>
      </c>
    </row>
    <row r="28" spans="1:4">
      <c r="A28" s="6">
        <f t="shared" si="0"/>
        <v>42939</v>
      </c>
      <c r="B28" s="7">
        <v>42939</v>
      </c>
      <c r="C28" s="8">
        <f t="shared" si="1"/>
        <v>14</v>
      </c>
      <c r="D28" s="8">
        <f>221+51</f>
        <v>272</v>
      </c>
    </row>
    <row r="29" spans="1:4">
      <c r="A29" s="6">
        <f t="shared" si="0"/>
        <v>42940</v>
      </c>
      <c r="B29" s="7">
        <v>42940</v>
      </c>
      <c r="C29" s="8">
        <f t="shared" si="1"/>
        <v>18</v>
      </c>
      <c r="D29" s="8">
        <v>290</v>
      </c>
    </row>
    <row r="30" spans="1:4">
      <c r="A30" s="6">
        <f t="shared" si="0"/>
        <v>42941</v>
      </c>
      <c r="B30" s="7">
        <v>42941</v>
      </c>
      <c r="C30" s="8">
        <f t="shared" si="1"/>
        <v>21</v>
      </c>
      <c r="D30" s="8">
        <v>311</v>
      </c>
    </row>
    <row r="31" spans="1:4">
      <c r="A31" s="6">
        <f t="shared" si="0"/>
        <v>42942</v>
      </c>
      <c r="B31" s="7">
        <v>42942</v>
      </c>
      <c r="C31" s="8">
        <f t="shared" si="1"/>
        <v>13</v>
      </c>
      <c r="D31" s="8">
        <v>324</v>
      </c>
    </row>
    <row r="32" spans="1:4">
      <c r="A32" s="6">
        <f t="shared" si="0"/>
        <v>42943</v>
      </c>
      <c r="B32" s="7">
        <v>42943</v>
      </c>
      <c r="C32" s="8">
        <f t="shared" si="1"/>
        <v>13</v>
      </c>
      <c r="D32" s="8">
        <v>337</v>
      </c>
    </row>
    <row r="33" spans="1:4">
      <c r="A33" s="6">
        <f t="shared" si="0"/>
        <v>42944</v>
      </c>
      <c r="B33" s="7">
        <v>42944</v>
      </c>
      <c r="C33" s="8">
        <f t="shared" si="1"/>
        <v>7</v>
      </c>
      <c r="D33" s="8">
        <f>284+60</f>
        <v>344</v>
      </c>
    </row>
    <row r="34" spans="1:4">
      <c r="A34" s="6">
        <f t="shared" si="0"/>
        <v>42945</v>
      </c>
      <c r="B34" s="7">
        <v>42945</v>
      </c>
      <c r="C34" s="8">
        <f t="shared" si="1"/>
        <v>10</v>
      </c>
      <c r="D34" s="8">
        <f>293+61</f>
        <v>354</v>
      </c>
    </row>
    <row r="35" spans="1:4">
      <c r="A35" s="6">
        <f t="shared" si="0"/>
        <v>42946</v>
      </c>
      <c r="B35" s="7">
        <v>42946</v>
      </c>
      <c r="C35" s="8">
        <f t="shared" si="1"/>
        <v>11</v>
      </c>
      <c r="D35" s="8">
        <v>365</v>
      </c>
    </row>
    <row r="36" spans="1:4">
      <c r="A36" s="6">
        <f t="shared" si="0"/>
        <v>42947</v>
      </c>
      <c r="B36" s="7">
        <v>42947</v>
      </c>
      <c r="C36" s="9">
        <f t="shared" si="1"/>
        <v>15</v>
      </c>
      <c r="D36" s="9">
        <v>380</v>
      </c>
    </row>
    <row r="37" spans="1:4">
      <c r="B37" s="10" t="s">
        <v>6</v>
      </c>
      <c r="C37" s="11">
        <f>SUM(C6:C36)</f>
        <v>380</v>
      </c>
      <c r="D37" s="12"/>
    </row>
    <row r="38" spans="1:4">
      <c r="C38" s="13"/>
    </row>
    <row r="39" spans="1:4">
      <c r="B39" s="14" t="s">
        <v>7</v>
      </c>
      <c r="C39" s="9">
        <v>350</v>
      </c>
    </row>
    <row r="40" spans="1:4">
      <c r="B40" s="14" t="s">
        <v>8</v>
      </c>
      <c r="C40" s="9">
        <f>C37</f>
        <v>380</v>
      </c>
    </row>
    <row r="41" spans="1:4">
      <c r="B41" s="14" t="s">
        <v>9</v>
      </c>
      <c r="C41" s="9">
        <f>C39-C40</f>
        <v>-30</v>
      </c>
    </row>
    <row r="42" spans="1:4">
      <c r="B42" s="14" t="s">
        <v>10</v>
      </c>
      <c r="C42" s="15">
        <f>C40/C39</f>
        <v>1.0857142857142856</v>
      </c>
    </row>
    <row r="43" spans="1:4">
      <c r="B43" s="14" t="s">
        <v>11</v>
      </c>
      <c r="C43" s="9">
        <f>IF(C40&lt;C39,0,C40-C39)</f>
        <v>30</v>
      </c>
    </row>
    <row r="44" spans="1:4">
      <c r="B44" s="14" t="s">
        <v>12</v>
      </c>
      <c r="C44" s="9">
        <f ca="1">(C39-C37)/C48</f>
        <v>-1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7"/>
  <sheetViews>
    <sheetView showGridLines="0" workbookViewId="0">
      <selection activeCell="E36" sqref="E36"/>
    </sheetView>
  </sheetViews>
  <sheetFormatPr baseColWidth="10" defaultColWidth="8.83203125" defaultRowHeight="14" x14ac:dyDescent="0"/>
  <cols>
    <col min="1" max="1" width="13.33203125" customWidth="1"/>
    <col min="2" max="2" width="25.1640625" customWidth="1"/>
    <col min="3" max="3" width="14.6640625" bestFit="1" customWidth="1"/>
    <col min="4" max="4" width="14.83203125" customWidth="1"/>
    <col min="5" max="5" width="11.5" bestFit="1" customWidth="1"/>
    <col min="6" max="6" width="7.83203125" bestFit="1" customWidth="1"/>
  </cols>
  <sheetData>
    <row r="2" spans="1:5">
      <c r="B2" s="1" t="s">
        <v>45</v>
      </c>
    </row>
    <row r="4" spans="1:5">
      <c r="B4" s="2" t="s">
        <v>1</v>
      </c>
      <c r="C4" s="2"/>
    </row>
    <row r="5" spans="1:5">
      <c r="A5" s="3" t="s">
        <v>2</v>
      </c>
      <c r="B5" s="4" t="s">
        <v>3</v>
      </c>
      <c r="C5" s="4" t="s">
        <v>4</v>
      </c>
    </row>
    <row r="6" spans="1:5">
      <c r="A6" s="6">
        <f t="shared" ref="A6:A36" si="0">B6</f>
        <v>42917</v>
      </c>
      <c r="B6" s="7">
        <v>42917</v>
      </c>
      <c r="C6" s="44">
        <v>47</v>
      </c>
      <c r="D6" s="14"/>
      <c r="E6" s="9">
        <f>AVERAGE(C6:C12)</f>
        <v>81.285714285714292</v>
      </c>
    </row>
    <row r="7" spans="1:5">
      <c r="A7" s="6">
        <f t="shared" si="0"/>
        <v>42918</v>
      </c>
      <c r="B7" s="7">
        <v>42918</v>
      </c>
      <c r="C7" s="44">
        <v>41</v>
      </c>
    </row>
    <row r="8" spans="1:5">
      <c r="A8" s="6">
        <f t="shared" si="0"/>
        <v>42919</v>
      </c>
      <c r="B8" s="7">
        <v>42919</v>
      </c>
      <c r="C8" s="44">
        <v>94</v>
      </c>
    </row>
    <row r="9" spans="1:5">
      <c r="A9" s="6">
        <f t="shared" si="0"/>
        <v>42920</v>
      </c>
      <c r="B9" s="7">
        <v>42920</v>
      </c>
      <c r="C9" s="44">
        <v>51</v>
      </c>
    </row>
    <row r="10" spans="1:5">
      <c r="A10" s="6">
        <f t="shared" si="0"/>
        <v>42921</v>
      </c>
      <c r="B10" s="7">
        <v>42921</v>
      </c>
      <c r="C10" s="44">
        <v>100</v>
      </c>
    </row>
    <row r="11" spans="1:5">
      <c r="A11" s="6">
        <f t="shared" si="0"/>
        <v>42922</v>
      </c>
      <c r="B11" s="7">
        <v>42922</v>
      </c>
      <c r="C11" s="44">
        <v>126</v>
      </c>
    </row>
    <row r="12" spans="1:5">
      <c r="A12" s="6">
        <f t="shared" si="0"/>
        <v>42923</v>
      </c>
      <c r="B12" s="7">
        <v>42923</v>
      </c>
      <c r="C12" s="44">
        <v>110</v>
      </c>
    </row>
    <row r="13" spans="1:5">
      <c r="A13" s="6">
        <f t="shared" si="0"/>
        <v>42924</v>
      </c>
      <c r="B13" s="7">
        <v>42924</v>
      </c>
      <c r="C13" s="44">
        <v>72</v>
      </c>
      <c r="D13" s="14"/>
      <c r="E13" s="9">
        <f>AVERAGE(C13:C19)</f>
        <v>104</v>
      </c>
    </row>
    <row r="14" spans="1:5">
      <c r="A14" s="6">
        <f t="shared" si="0"/>
        <v>42925</v>
      </c>
      <c r="B14" s="7">
        <v>42925</v>
      </c>
      <c r="C14" s="44">
        <v>61</v>
      </c>
    </row>
    <row r="15" spans="1:5">
      <c r="A15" s="6">
        <f t="shared" si="0"/>
        <v>42926</v>
      </c>
      <c r="B15" s="7">
        <v>42926</v>
      </c>
      <c r="C15" s="44">
        <v>117</v>
      </c>
    </row>
    <row r="16" spans="1:5">
      <c r="A16" s="6">
        <f t="shared" si="0"/>
        <v>42927</v>
      </c>
      <c r="B16" s="7">
        <v>42927</v>
      </c>
      <c r="C16" s="44">
        <v>116</v>
      </c>
    </row>
    <row r="17" spans="1:5">
      <c r="A17" s="6">
        <f t="shared" si="0"/>
        <v>42928</v>
      </c>
      <c r="B17" s="7">
        <v>42928</v>
      </c>
      <c r="C17" s="44">
        <v>120</v>
      </c>
    </row>
    <row r="18" spans="1:5">
      <c r="A18" s="6">
        <f t="shared" si="0"/>
        <v>42929</v>
      </c>
      <c r="B18" s="7">
        <v>42929</v>
      </c>
      <c r="C18" s="44">
        <v>122</v>
      </c>
    </row>
    <row r="19" spans="1:5">
      <c r="A19" s="6">
        <f t="shared" si="0"/>
        <v>42930</v>
      </c>
      <c r="B19" s="7">
        <v>42930</v>
      </c>
      <c r="C19" s="44">
        <v>120</v>
      </c>
    </row>
    <row r="20" spans="1:5">
      <c r="A20" s="6">
        <f t="shared" si="0"/>
        <v>42931</v>
      </c>
      <c r="B20" s="7">
        <v>42931</v>
      </c>
      <c r="C20" s="44">
        <v>54</v>
      </c>
      <c r="D20" s="14"/>
      <c r="E20" s="9">
        <f>AVERAGE(C20:C26)</f>
        <v>97.714285714285708</v>
      </c>
    </row>
    <row r="21" spans="1:5">
      <c r="A21" s="6">
        <f t="shared" si="0"/>
        <v>42932</v>
      </c>
      <c r="B21" s="7">
        <v>42932</v>
      </c>
      <c r="C21" s="44">
        <v>61</v>
      </c>
    </row>
    <row r="22" spans="1:5">
      <c r="A22" s="6">
        <f t="shared" si="0"/>
        <v>42933</v>
      </c>
      <c r="B22" s="7">
        <v>42933</v>
      </c>
      <c r="C22" s="44">
        <v>119</v>
      </c>
    </row>
    <row r="23" spans="1:5">
      <c r="A23" s="6">
        <f t="shared" si="0"/>
        <v>42934</v>
      </c>
      <c r="B23" s="7">
        <v>42934</v>
      </c>
      <c r="C23" s="44">
        <v>128</v>
      </c>
    </row>
    <row r="24" spans="1:5">
      <c r="A24" s="6">
        <f t="shared" si="0"/>
        <v>42935</v>
      </c>
      <c r="B24" s="7">
        <v>42935</v>
      </c>
      <c r="C24" s="44">
        <v>123</v>
      </c>
    </row>
    <row r="25" spans="1:5">
      <c r="A25" s="6">
        <f t="shared" si="0"/>
        <v>42936</v>
      </c>
      <c r="B25" s="7">
        <v>42936</v>
      </c>
      <c r="C25" s="44">
        <v>110</v>
      </c>
    </row>
    <row r="26" spans="1:5">
      <c r="A26" s="6">
        <f t="shared" si="0"/>
        <v>42937</v>
      </c>
      <c r="B26" s="7">
        <v>42937</v>
      </c>
      <c r="C26" s="44">
        <v>89</v>
      </c>
    </row>
    <row r="27" spans="1:5">
      <c r="A27" s="6">
        <f t="shared" si="0"/>
        <v>42938</v>
      </c>
      <c r="B27" s="7">
        <v>42938</v>
      </c>
      <c r="C27" s="44">
        <v>55</v>
      </c>
      <c r="D27" s="14"/>
      <c r="E27" s="9">
        <f>AVERAGE(C27:C33)</f>
        <v>98.857142857142861</v>
      </c>
    </row>
    <row r="28" spans="1:5">
      <c r="A28" s="6">
        <f t="shared" si="0"/>
        <v>42939</v>
      </c>
      <c r="B28" s="7">
        <v>42939</v>
      </c>
      <c r="C28" s="44">
        <v>45</v>
      </c>
      <c r="D28" s="36"/>
    </row>
    <row r="29" spans="1:5">
      <c r="A29" s="6">
        <f t="shared" si="0"/>
        <v>42940</v>
      </c>
      <c r="B29" s="7">
        <v>42940</v>
      </c>
      <c r="C29" s="44">
        <v>121</v>
      </c>
      <c r="D29" s="36"/>
    </row>
    <row r="30" spans="1:5">
      <c r="A30" s="6">
        <f t="shared" si="0"/>
        <v>42941</v>
      </c>
      <c r="B30" s="7">
        <v>42941</v>
      </c>
      <c r="C30" s="44">
        <v>125</v>
      </c>
      <c r="D30" s="36"/>
    </row>
    <row r="31" spans="1:5">
      <c r="A31" s="6">
        <f t="shared" si="0"/>
        <v>42942</v>
      </c>
      <c r="B31" s="7">
        <v>42942</v>
      </c>
      <c r="C31" s="44">
        <v>120</v>
      </c>
      <c r="D31" s="36"/>
    </row>
    <row r="32" spans="1:5">
      <c r="A32" s="6">
        <f t="shared" si="0"/>
        <v>42943</v>
      </c>
      <c r="B32" s="7">
        <v>42943</v>
      </c>
      <c r="C32" s="44">
        <v>122</v>
      </c>
      <c r="D32" s="36"/>
    </row>
    <row r="33" spans="1:4">
      <c r="A33" s="6">
        <f t="shared" si="0"/>
        <v>42944</v>
      </c>
      <c r="B33" s="7">
        <v>42944</v>
      </c>
      <c r="C33" s="44">
        <v>104</v>
      </c>
      <c r="D33" s="36"/>
    </row>
    <row r="34" spans="1:4">
      <c r="A34" s="6">
        <f t="shared" si="0"/>
        <v>42945</v>
      </c>
      <c r="B34" s="7">
        <v>42945</v>
      </c>
      <c r="C34" s="44">
        <v>42</v>
      </c>
      <c r="D34" s="36"/>
    </row>
    <row r="35" spans="1:4">
      <c r="A35" s="6">
        <f t="shared" si="0"/>
        <v>42946</v>
      </c>
      <c r="B35" s="7">
        <v>42946</v>
      </c>
      <c r="C35" s="44">
        <v>65</v>
      </c>
      <c r="D35" s="36"/>
    </row>
    <row r="36" spans="1:4">
      <c r="A36" s="6">
        <f t="shared" si="0"/>
        <v>42947</v>
      </c>
      <c r="B36" s="7">
        <v>42947</v>
      </c>
      <c r="C36" s="14">
        <v>143</v>
      </c>
    </row>
    <row r="37" spans="1:4">
      <c r="B37" s="10" t="s">
        <v>6</v>
      </c>
      <c r="C37" s="11">
        <f>SUM(C6:C36)</f>
        <v>2923</v>
      </c>
      <c r="D37" s="12"/>
    </row>
    <row r="38" spans="1:4">
      <c r="C38" s="13"/>
    </row>
    <row r="39" spans="1:4">
      <c r="B39" s="14" t="s">
        <v>7</v>
      </c>
      <c r="C39" s="9">
        <v>3321</v>
      </c>
    </row>
    <row r="40" spans="1:4">
      <c r="B40" s="14" t="s">
        <v>8</v>
      </c>
      <c r="C40" s="9">
        <f>C37</f>
        <v>2923</v>
      </c>
    </row>
    <row r="41" spans="1:4">
      <c r="B41" s="14" t="s">
        <v>9</v>
      </c>
      <c r="C41" s="9">
        <f>C39-C40</f>
        <v>398</v>
      </c>
    </row>
    <row r="42" spans="1:4">
      <c r="B42" s="14" t="s">
        <v>10</v>
      </c>
      <c r="C42" s="15">
        <f>C40/C39</f>
        <v>0.88015657934357117</v>
      </c>
    </row>
    <row r="43" spans="1:4">
      <c r="B43" s="14" t="s">
        <v>11</v>
      </c>
      <c r="C43" s="9">
        <f>IF(C40&lt;C39,0,C40-C39)</f>
        <v>0</v>
      </c>
    </row>
    <row r="44" spans="1:4">
      <c r="B44" s="14" t="s">
        <v>12</v>
      </c>
      <c r="C44" s="9">
        <f ca="1">(C39-C37)/C48</f>
        <v>13.266666666666667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2" workbookViewId="0">
      <selection activeCell="D37" sqref="D37"/>
    </sheetView>
  </sheetViews>
  <sheetFormatPr baseColWidth="10" defaultColWidth="8.83203125" defaultRowHeight="14" x14ac:dyDescent="0"/>
  <cols>
    <col min="1" max="1" width="11.83203125" customWidth="1"/>
    <col min="2" max="2" width="20.33203125" bestFit="1" customWidth="1"/>
    <col min="3" max="3" width="15.83203125" bestFit="1" customWidth="1"/>
    <col min="4" max="4" width="14.83203125" customWidth="1"/>
  </cols>
  <sheetData>
    <row r="2" spans="1:6">
      <c r="B2" s="1" t="s">
        <v>46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4</v>
      </c>
      <c r="D5" s="5" t="s">
        <v>5</v>
      </c>
    </row>
    <row r="6" spans="1:6">
      <c r="A6" s="6">
        <f t="shared" ref="A6:A36" si="0">B6</f>
        <v>42917</v>
      </c>
      <c r="B6" s="7">
        <v>42917</v>
      </c>
      <c r="C6" s="39">
        <f>D6</f>
        <v>19</v>
      </c>
      <c r="D6" s="8">
        <v>19</v>
      </c>
      <c r="E6" s="14" t="s">
        <v>37</v>
      </c>
      <c r="F6" s="9">
        <f>AVERAGE(C6:C12)</f>
        <v>34.428571428571431</v>
      </c>
    </row>
    <row r="7" spans="1:6">
      <c r="A7" s="6">
        <f t="shared" si="0"/>
        <v>42918</v>
      </c>
      <c r="B7" s="7">
        <v>42918</v>
      </c>
      <c r="C7" s="44">
        <f t="shared" ref="C7:C36" si="1">IF(D7-D6&lt;0,0,D7-D6)</f>
        <v>33</v>
      </c>
      <c r="D7" s="8">
        <v>52</v>
      </c>
    </row>
    <row r="8" spans="1:6">
      <c r="A8" s="6">
        <f t="shared" si="0"/>
        <v>42919</v>
      </c>
      <c r="B8" s="7">
        <v>42919</v>
      </c>
      <c r="C8" s="44">
        <f t="shared" si="1"/>
        <v>48</v>
      </c>
      <c r="D8" s="8">
        <f>84+16</f>
        <v>100</v>
      </c>
    </row>
    <row r="9" spans="1:6">
      <c r="A9" s="6">
        <f t="shared" si="0"/>
        <v>42920</v>
      </c>
      <c r="B9" s="7">
        <v>42920</v>
      </c>
      <c r="C9" s="44">
        <f t="shared" si="1"/>
        <v>30</v>
      </c>
      <c r="D9" s="8">
        <v>130</v>
      </c>
    </row>
    <row r="10" spans="1:6">
      <c r="A10" s="6">
        <f t="shared" si="0"/>
        <v>42921</v>
      </c>
      <c r="B10" s="7">
        <v>42921</v>
      </c>
      <c r="C10" s="44">
        <f t="shared" si="1"/>
        <v>34</v>
      </c>
      <c r="D10" s="8">
        <v>164</v>
      </c>
    </row>
    <row r="11" spans="1:6">
      <c r="A11" s="6">
        <f t="shared" si="0"/>
        <v>42922</v>
      </c>
      <c r="B11" s="7">
        <v>42922</v>
      </c>
      <c r="C11" s="44">
        <f t="shared" si="1"/>
        <v>35</v>
      </c>
      <c r="D11" s="8">
        <v>199</v>
      </c>
    </row>
    <row r="12" spans="1:6">
      <c r="A12" s="6">
        <f t="shared" si="0"/>
        <v>42923</v>
      </c>
      <c r="B12" s="7">
        <v>42923</v>
      </c>
      <c r="C12" s="44">
        <f t="shared" si="1"/>
        <v>42</v>
      </c>
      <c r="D12" s="8">
        <f>201+40</f>
        <v>241</v>
      </c>
    </row>
    <row r="13" spans="1:6">
      <c r="A13" s="6">
        <f t="shared" si="0"/>
        <v>42924</v>
      </c>
      <c r="B13" s="7">
        <v>42924</v>
      </c>
      <c r="C13" s="44">
        <f t="shared" si="1"/>
        <v>36</v>
      </c>
      <c r="D13" s="8">
        <v>277</v>
      </c>
      <c r="E13" s="14" t="s">
        <v>38</v>
      </c>
      <c r="F13" s="9">
        <f>AVERAGE(C13:C19)</f>
        <v>25.428571428571427</v>
      </c>
    </row>
    <row r="14" spans="1:6">
      <c r="A14" s="6">
        <f t="shared" si="0"/>
        <v>42925</v>
      </c>
      <c r="B14" s="7">
        <v>42925</v>
      </c>
      <c r="C14" s="44">
        <f t="shared" si="1"/>
        <v>27</v>
      </c>
      <c r="D14" s="8">
        <v>304</v>
      </c>
    </row>
    <row r="15" spans="1:6">
      <c r="A15" s="6">
        <f t="shared" si="0"/>
        <v>42926</v>
      </c>
      <c r="B15" s="7">
        <v>42926</v>
      </c>
      <c r="C15" s="44">
        <f t="shared" si="1"/>
        <v>30</v>
      </c>
      <c r="D15" s="8">
        <v>334</v>
      </c>
    </row>
    <row r="16" spans="1:6">
      <c r="A16" s="6">
        <f t="shared" si="0"/>
        <v>42927</v>
      </c>
      <c r="B16" s="7">
        <v>42927</v>
      </c>
      <c r="C16" s="44">
        <f t="shared" si="1"/>
        <v>24</v>
      </c>
      <c r="D16" s="8">
        <v>358</v>
      </c>
    </row>
    <row r="17" spans="1:6">
      <c r="A17" s="6">
        <f t="shared" si="0"/>
        <v>42928</v>
      </c>
      <c r="B17" s="7">
        <v>42928</v>
      </c>
      <c r="C17" s="44">
        <f t="shared" si="1"/>
        <v>27</v>
      </c>
      <c r="D17" s="8">
        <v>385</v>
      </c>
    </row>
    <row r="18" spans="1:6">
      <c r="A18" s="6">
        <f t="shared" si="0"/>
        <v>42929</v>
      </c>
      <c r="B18" s="7">
        <v>42929</v>
      </c>
      <c r="C18" s="44">
        <f t="shared" si="1"/>
        <v>17</v>
      </c>
      <c r="D18" s="8">
        <v>402</v>
      </c>
    </row>
    <row r="19" spans="1:6">
      <c r="A19" s="6">
        <f t="shared" si="0"/>
        <v>42930</v>
      </c>
      <c r="B19" s="7">
        <v>42930</v>
      </c>
      <c r="C19" s="44">
        <f t="shared" si="1"/>
        <v>17</v>
      </c>
      <c r="D19" s="8">
        <f>338+81</f>
        <v>419</v>
      </c>
    </row>
    <row r="20" spans="1:6">
      <c r="A20" s="6">
        <f t="shared" si="0"/>
        <v>42931</v>
      </c>
      <c r="B20" s="7">
        <v>42931</v>
      </c>
      <c r="C20" s="44">
        <f t="shared" si="1"/>
        <v>39</v>
      </c>
      <c r="D20" s="8">
        <f>372+86</f>
        <v>458</v>
      </c>
      <c r="E20" s="14" t="s">
        <v>39</v>
      </c>
      <c r="F20" s="9">
        <f>AVERAGE(C20:C26)</f>
        <v>34.857142857142854</v>
      </c>
    </row>
    <row r="21" spans="1:6">
      <c r="A21" s="6">
        <f t="shared" si="0"/>
        <v>42932</v>
      </c>
      <c r="B21" s="7">
        <v>42932</v>
      </c>
      <c r="C21" s="44">
        <f t="shared" si="1"/>
        <v>35</v>
      </c>
      <c r="D21" s="8">
        <f>402+91</f>
        <v>493</v>
      </c>
    </row>
    <row r="22" spans="1:6">
      <c r="A22" s="6">
        <f t="shared" si="0"/>
        <v>42933</v>
      </c>
      <c r="B22" s="7">
        <v>42933</v>
      </c>
      <c r="C22" s="44">
        <f t="shared" si="1"/>
        <v>35</v>
      </c>
      <c r="D22" s="8">
        <v>528</v>
      </c>
    </row>
    <row r="23" spans="1:6">
      <c r="A23" s="6">
        <f t="shared" si="0"/>
        <v>42934</v>
      </c>
      <c r="B23" s="7">
        <v>42934</v>
      </c>
      <c r="C23" s="44">
        <f t="shared" si="1"/>
        <v>19</v>
      </c>
      <c r="D23" s="8">
        <v>547</v>
      </c>
    </row>
    <row r="24" spans="1:6">
      <c r="A24" s="6">
        <f t="shared" si="0"/>
        <v>42935</v>
      </c>
      <c r="B24" s="7">
        <v>42935</v>
      </c>
      <c r="C24" s="44">
        <f t="shared" si="1"/>
        <v>62</v>
      </c>
      <c r="D24" s="8">
        <v>609</v>
      </c>
    </row>
    <row r="25" spans="1:6">
      <c r="A25" s="6">
        <f t="shared" si="0"/>
        <v>42936</v>
      </c>
      <c r="B25" s="7">
        <v>42936</v>
      </c>
      <c r="C25" s="44">
        <f t="shared" si="1"/>
        <v>24</v>
      </c>
      <c r="D25" s="8">
        <v>633</v>
      </c>
    </row>
    <row r="26" spans="1:6">
      <c r="A26" s="6">
        <f t="shared" si="0"/>
        <v>42937</v>
      </c>
      <c r="B26" s="7">
        <v>42937</v>
      </c>
      <c r="C26" s="44">
        <f t="shared" si="1"/>
        <v>30</v>
      </c>
      <c r="D26" s="8">
        <f>535+128</f>
        <v>663</v>
      </c>
    </row>
    <row r="27" spans="1:6">
      <c r="A27" s="6">
        <f t="shared" si="0"/>
        <v>42938</v>
      </c>
      <c r="B27" s="7">
        <v>42938</v>
      </c>
      <c r="C27" s="44">
        <f t="shared" si="1"/>
        <v>27</v>
      </c>
      <c r="D27" s="8">
        <f>558+132</f>
        <v>690</v>
      </c>
      <c r="E27" s="14" t="s">
        <v>40</v>
      </c>
      <c r="F27" s="9">
        <f>AVERAGE(C27:C33)</f>
        <v>33.714285714285715</v>
      </c>
    </row>
    <row r="28" spans="1:6">
      <c r="A28" s="6">
        <f t="shared" si="0"/>
        <v>42939</v>
      </c>
      <c r="B28" s="7">
        <v>42939</v>
      </c>
      <c r="C28" s="44">
        <f t="shared" si="1"/>
        <v>39</v>
      </c>
      <c r="D28" s="8">
        <f>588+141</f>
        <v>729</v>
      </c>
    </row>
    <row r="29" spans="1:6">
      <c r="A29" s="6">
        <f t="shared" si="0"/>
        <v>42940</v>
      </c>
      <c r="B29" s="7">
        <v>42940</v>
      </c>
      <c r="C29" s="44">
        <f t="shared" si="1"/>
        <v>37</v>
      </c>
      <c r="D29" s="8">
        <v>766</v>
      </c>
    </row>
    <row r="30" spans="1:6">
      <c r="A30" s="6">
        <f t="shared" si="0"/>
        <v>42941</v>
      </c>
      <c r="B30" s="7">
        <v>42941</v>
      </c>
      <c r="C30" s="44">
        <f t="shared" si="1"/>
        <v>61</v>
      </c>
      <c r="D30" s="8">
        <v>827</v>
      </c>
    </row>
    <row r="31" spans="1:6">
      <c r="A31" s="6">
        <f t="shared" si="0"/>
        <v>42942</v>
      </c>
      <c r="B31" s="7">
        <v>42942</v>
      </c>
      <c r="C31" s="44">
        <f t="shared" si="1"/>
        <v>19</v>
      </c>
      <c r="D31" s="8">
        <v>846</v>
      </c>
    </row>
    <row r="32" spans="1:6">
      <c r="A32" s="6">
        <f t="shared" si="0"/>
        <v>42943</v>
      </c>
      <c r="B32" s="7">
        <v>42943</v>
      </c>
      <c r="C32" s="44">
        <f t="shared" si="1"/>
        <v>24</v>
      </c>
      <c r="D32" s="8">
        <v>870</v>
      </c>
    </row>
    <row r="33" spans="1:4">
      <c r="A33" s="6">
        <f t="shared" si="0"/>
        <v>42944</v>
      </c>
      <c r="B33" s="7">
        <v>42944</v>
      </c>
      <c r="C33" s="44">
        <f t="shared" si="1"/>
        <v>29</v>
      </c>
      <c r="D33" s="8">
        <f>729+170</f>
        <v>899</v>
      </c>
    </row>
    <row r="34" spans="1:4">
      <c r="A34" s="6">
        <f t="shared" si="0"/>
        <v>42945</v>
      </c>
      <c r="B34" s="7">
        <v>42945</v>
      </c>
      <c r="C34" s="44">
        <f t="shared" si="1"/>
        <v>43</v>
      </c>
      <c r="D34" s="8">
        <f>763+179</f>
        <v>942</v>
      </c>
    </row>
    <row r="35" spans="1:4">
      <c r="A35" s="6">
        <f t="shared" si="0"/>
        <v>42946</v>
      </c>
      <c r="B35" s="7">
        <v>42946</v>
      </c>
      <c r="C35" s="44">
        <f t="shared" si="1"/>
        <v>26</v>
      </c>
      <c r="D35" s="8">
        <v>968</v>
      </c>
    </row>
    <row r="36" spans="1:4">
      <c r="A36" s="6">
        <f t="shared" si="0"/>
        <v>42947</v>
      </c>
      <c r="B36" s="7">
        <v>42947</v>
      </c>
      <c r="C36" s="14">
        <f t="shared" si="1"/>
        <v>39</v>
      </c>
      <c r="D36" s="9">
        <v>1007</v>
      </c>
    </row>
    <row r="37" spans="1:4">
      <c r="B37" s="10" t="s">
        <v>6</v>
      </c>
      <c r="C37" s="11">
        <f>SUM(C6:C36)</f>
        <v>1007</v>
      </c>
      <c r="D37" s="12"/>
    </row>
    <row r="38" spans="1:4">
      <c r="C38" s="13"/>
    </row>
    <row r="39" spans="1:4">
      <c r="B39" s="14" t="s">
        <v>7</v>
      </c>
      <c r="C39" s="9">
        <v>950</v>
      </c>
    </row>
    <row r="40" spans="1:4">
      <c r="B40" s="14" t="s">
        <v>8</v>
      </c>
      <c r="C40" s="9">
        <f>C37</f>
        <v>1007</v>
      </c>
    </row>
    <row r="41" spans="1:4">
      <c r="B41" s="14" t="s">
        <v>9</v>
      </c>
      <c r="C41" s="9">
        <f>C39-C40</f>
        <v>-57</v>
      </c>
    </row>
    <row r="42" spans="1:4">
      <c r="B42" s="14" t="s">
        <v>10</v>
      </c>
      <c r="C42" s="15">
        <f>C40/C39</f>
        <v>1.06</v>
      </c>
    </row>
    <row r="43" spans="1:4">
      <c r="B43" s="14" t="s">
        <v>11</v>
      </c>
      <c r="C43" s="9">
        <f>IF(C40&lt;C39,0,C40-C39)</f>
        <v>57</v>
      </c>
    </row>
    <row r="44" spans="1:4">
      <c r="B44" s="14" t="s">
        <v>12</v>
      </c>
      <c r="C44" s="9">
        <f ca="1">(C39-C37)/C48</f>
        <v>-1.9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7"/>
  <sheetViews>
    <sheetView showGridLines="0" topLeftCell="A11" workbookViewId="0">
      <selection activeCell="D37" sqref="D37"/>
    </sheetView>
  </sheetViews>
  <sheetFormatPr baseColWidth="10" defaultColWidth="8.83203125" defaultRowHeight="14" x14ac:dyDescent="0"/>
  <cols>
    <col min="1" max="1" width="11.6640625" customWidth="1"/>
    <col min="2" max="2" width="18.33203125" customWidth="1"/>
    <col min="3" max="3" width="15.83203125" bestFit="1" customWidth="1"/>
    <col min="4" max="4" width="14.83203125" customWidth="1"/>
  </cols>
  <sheetData>
    <row r="2" spans="1:4">
      <c r="B2" s="1" t="s">
        <v>47</v>
      </c>
    </row>
    <row r="4" spans="1:4">
      <c r="B4" s="2" t="s">
        <v>1</v>
      </c>
      <c r="C4" s="2"/>
    </row>
    <row r="5" spans="1:4">
      <c r="A5" s="3" t="s">
        <v>2</v>
      </c>
      <c r="B5" s="4" t="s">
        <v>3</v>
      </c>
      <c r="C5" s="4" t="s">
        <v>4</v>
      </c>
      <c r="D5" s="5" t="s">
        <v>5</v>
      </c>
    </row>
    <row r="6" spans="1:4">
      <c r="A6" s="6">
        <f t="shared" ref="A6:A36" si="0">B6</f>
        <v>42917</v>
      </c>
      <c r="B6" s="7">
        <v>42917</v>
      </c>
      <c r="C6" s="39">
        <f>D6</f>
        <v>9</v>
      </c>
      <c r="D6" s="8">
        <v>9</v>
      </c>
    </row>
    <row r="7" spans="1:4">
      <c r="A7" s="6">
        <f t="shared" si="0"/>
        <v>42918</v>
      </c>
      <c r="B7" s="7">
        <v>42918</v>
      </c>
      <c r="C7" s="44">
        <f t="shared" ref="C7:C36" si="1">IF(D7-D6&lt;0,0,D7-D6)</f>
        <v>11</v>
      </c>
      <c r="D7" s="8">
        <v>20</v>
      </c>
    </row>
    <row r="8" spans="1:4">
      <c r="A8" s="6">
        <f t="shared" si="0"/>
        <v>42919</v>
      </c>
      <c r="B8" s="7">
        <v>42919</v>
      </c>
      <c r="C8" s="44">
        <f t="shared" si="1"/>
        <v>16</v>
      </c>
      <c r="D8" s="8">
        <v>36</v>
      </c>
    </row>
    <row r="9" spans="1:4">
      <c r="A9" s="6">
        <f t="shared" si="0"/>
        <v>42920</v>
      </c>
      <c r="B9" s="7">
        <v>42920</v>
      </c>
      <c r="C9" s="44">
        <f t="shared" si="1"/>
        <v>4</v>
      </c>
      <c r="D9" s="8">
        <v>40</v>
      </c>
    </row>
    <row r="10" spans="1:4">
      <c r="A10" s="6">
        <f t="shared" si="0"/>
        <v>42921</v>
      </c>
      <c r="B10" s="7">
        <v>42921</v>
      </c>
      <c r="C10" s="44">
        <f t="shared" si="1"/>
        <v>11</v>
      </c>
      <c r="D10" s="8">
        <v>51</v>
      </c>
    </row>
    <row r="11" spans="1:4">
      <c r="A11" s="6">
        <f t="shared" si="0"/>
        <v>42922</v>
      </c>
      <c r="B11" s="7">
        <v>42922</v>
      </c>
      <c r="C11" s="44">
        <f t="shared" si="1"/>
        <v>7</v>
      </c>
      <c r="D11" s="8">
        <v>58</v>
      </c>
    </row>
    <row r="12" spans="1:4">
      <c r="A12" s="6">
        <f t="shared" si="0"/>
        <v>42923</v>
      </c>
      <c r="B12" s="7">
        <v>42923</v>
      </c>
      <c r="C12" s="44">
        <f t="shared" si="1"/>
        <v>10</v>
      </c>
      <c r="D12" s="8">
        <v>68</v>
      </c>
    </row>
    <row r="13" spans="1:4">
      <c r="A13" s="6">
        <f t="shared" si="0"/>
        <v>42924</v>
      </c>
      <c r="B13" s="7">
        <v>42924</v>
      </c>
      <c r="C13" s="44">
        <f t="shared" si="1"/>
        <v>5</v>
      </c>
      <c r="D13" s="52">
        <v>73</v>
      </c>
    </row>
    <row r="14" spans="1:4">
      <c r="A14" s="6">
        <f t="shared" si="0"/>
        <v>42925</v>
      </c>
      <c r="B14" s="7">
        <v>42925</v>
      </c>
      <c r="C14" s="44">
        <f t="shared" si="1"/>
        <v>7</v>
      </c>
      <c r="D14" s="8">
        <v>80</v>
      </c>
    </row>
    <row r="15" spans="1:4">
      <c r="A15" s="6">
        <f t="shared" si="0"/>
        <v>42926</v>
      </c>
      <c r="B15" s="7">
        <v>42926</v>
      </c>
      <c r="C15" s="44">
        <f t="shared" si="1"/>
        <v>8</v>
      </c>
      <c r="D15" s="8">
        <v>88</v>
      </c>
    </row>
    <row r="16" spans="1:4">
      <c r="A16" s="6">
        <f t="shared" si="0"/>
        <v>42927</v>
      </c>
      <c r="B16" s="7">
        <v>42927</v>
      </c>
      <c r="C16" s="44">
        <f t="shared" si="1"/>
        <v>7</v>
      </c>
      <c r="D16" s="8">
        <v>95</v>
      </c>
    </row>
    <row r="17" spans="1:4">
      <c r="A17" s="6">
        <f t="shared" si="0"/>
        <v>42928</v>
      </c>
      <c r="B17" s="7">
        <v>42928</v>
      </c>
      <c r="C17" s="44">
        <f t="shared" si="1"/>
        <v>8</v>
      </c>
      <c r="D17" s="8">
        <v>103</v>
      </c>
    </row>
    <row r="18" spans="1:4">
      <c r="A18" s="6">
        <f t="shared" si="0"/>
        <v>42929</v>
      </c>
      <c r="B18" s="7">
        <v>42929</v>
      </c>
      <c r="C18" s="44">
        <f t="shared" si="1"/>
        <v>11</v>
      </c>
      <c r="D18" s="8">
        <v>114</v>
      </c>
    </row>
    <row r="19" spans="1:4">
      <c r="A19" s="6">
        <f t="shared" si="0"/>
        <v>42930</v>
      </c>
      <c r="B19" s="7">
        <v>42930</v>
      </c>
      <c r="C19" s="44">
        <f t="shared" si="1"/>
        <v>6</v>
      </c>
      <c r="D19" s="8">
        <f>115+5</f>
        <v>120</v>
      </c>
    </row>
    <row r="20" spans="1:4">
      <c r="A20" s="6">
        <f t="shared" si="0"/>
        <v>42931</v>
      </c>
      <c r="B20" s="7">
        <v>42931</v>
      </c>
      <c r="C20" s="44">
        <f t="shared" si="1"/>
        <v>4</v>
      </c>
      <c r="D20" s="8">
        <f>119+5</f>
        <v>124</v>
      </c>
    </row>
    <row r="21" spans="1:4">
      <c r="A21" s="6">
        <f t="shared" si="0"/>
        <v>42932</v>
      </c>
      <c r="B21" s="7">
        <v>42932</v>
      </c>
      <c r="C21" s="44">
        <f t="shared" si="1"/>
        <v>12</v>
      </c>
      <c r="D21" s="8">
        <v>136</v>
      </c>
    </row>
    <row r="22" spans="1:4">
      <c r="A22" s="6">
        <f t="shared" si="0"/>
        <v>42933</v>
      </c>
      <c r="B22" s="7">
        <v>42933</v>
      </c>
      <c r="C22" s="44">
        <f t="shared" si="1"/>
        <v>8</v>
      </c>
      <c r="D22" s="8">
        <v>144</v>
      </c>
    </row>
    <row r="23" spans="1:4">
      <c r="A23" s="6">
        <f t="shared" si="0"/>
        <v>42934</v>
      </c>
      <c r="B23" s="7">
        <v>42934</v>
      </c>
      <c r="C23" s="44">
        <f t="shared" si="1"/>
        <v>8</v>
      </c>
      <c r="D23" s="8">
        <v>152</v>
      </c>
    </row>
    <row r="24" spans="1:4">
      <c r="A24" s="6">
        <f t="shared" si="0"/>
        <v>42935</v>
      </c>
      <c r="B24" s="7">
        <v>42935</v>
      </c>
      <c r="C24" s="44">
        <f t="shared" si="1"/>
        <v>7</v>
      </c>
      <c r="D24" s="8">
        <v>159</v>
      </c>
    </row>
    <row r="25" spans="1:4">
      <c r="A25" s="6">
        <f t="shared" si="0"/>
        <v>42936</v>
      </c>
      <c r="B25" s="7">
        <v>42936</v>
      </c>
      <c r="C25" s="44">
        <f t="shared" si="1"/>
        <v>10</v>
      </c>
      <c r="D25" s="8">
        <v>169</v>
      </c>
    </row>
    <row r="26" spans="1:4">
      <c r="A26" s="6">
        <f t="shared" si="0"/>
        <v>42937</v>
      </c>
      <c r="B26" s="7">
        <v>42937</v>
      </c>
      <c r="C26" s="44">
        <f t="shared" si="1"/>
        <v>10</v>
      </c>
      <c r="D26" s="8">
        <f>172+7</f>
        <v>179</v>
      </c>
    </row>
    <row r="27" spans="1:4">
      <c r="A27" s="6">
        <f t="shared" si="0"/>
        <v>42938</v>
      </c>
      <c r="B27" s="7">
        <v>42938</v>
      </c>
      <c r="C27" s="44">
        <f t="shared" si="1"/>
        <v>12</v>
      </c>
      <c r="D27" s="8">
        <f>183+8</f>
        <v>191</v>
      </c>
    </row>
    <row r="28" spans="1:4">
      <c r="A28" s="6">
        <f t="shared" si="0"/>
        <v>42939</v>
      </c>
      <c r="B28" s="7">
        <v>42939</v>
      </c>
      <c r="C28" s="44">
        <f t="shared" si="1"/>
        <v>11</v>
      </c>
      <c r="D28" s="8">
        <f>194+8</f>
        <v>202</v>
      </c>
    </row>
    <row r="29" spans="1:4">
      <c r="A29" s="6">
        <f t="shared" si="0"/>
        <v>42940</v>
      </c>
      <c r="B29" s="7">
        <v>42940</v>
      </c>
      <c r="C29" s="44">
        <f t="shared" si="1"/>
        <v>20</v>
      </c>
      <c r="D29" s="8">
        <v>222</v>
      </c>
    </row>
    <row r="30" spans="1:4">
      <c r="A30" s="6">
        <f t="shared" si="0"/>
        <v>42941</v>
      </c>
      <c r="B30" s="7">
        <v>42941</v>
      </c>
      <c r="C30" s="44">
        <f t="shared" si="1"/>
        <v>4</v>
      </c>
      <c r="D30" s="8">
        <v>226</v>
      </c>
    </row>
    <row r="31" spans="1:4">
      <c r="A31" s="6">
        <f t="shared" si="0"/>
        <v>42942</v>
      </c>
      <c r="B31" s="7">
        <v>42942</v>
      </c>
      <c r="C31" s="44">
        <f t="shared" si="1"/>
        <v>11</v>
      </c>
      <c r="D31" s="8">
        <v>237</v>
      </c>
    </row>
    <row r="32" spans="1:4">
      <c r="A32" s="6">
        <f t="shared" si="0"/>
        <v>42943</v>
      </c>
      <c r="B32" s="7">
        <v>42943</v>
      </c>
      <c r="C32" s="44">
        <f t="shared" si="1"/>
        <v>7</v>
      </c>
      <c r="D32" s="8">
        <v>244</v>
      </c>
    </row>
    <row r="33" spans="1:4">
      <c r="A33" s="6">
        <f t="shared" si="0"/>
        <v>42944</v>
      </c>
      <c r="B33" s="7">
        <v>42944</v>
      </c>
      <c r="C33" s="44">
        <f t="shared" si="1"/>
        <v>12</v>
      </c>
      <c r="D33" s="8">
        <f>241+15</f>
        <v>256</v>
      </c>
    </row>
    <row r="34" spans="1:4" ht="16.5" customHeight="1">
      <c r="A34" s="6">
        <f t="shared" si="0"/>
        <v>42945</v>
      </c>
      <c r="B34" s="7">
        <v>42945</v>
      </c>
      <c r="C34" s="44">
        <f t="shared" si="1"/>
        <v>12</v>
      </c>
      <c r="D34" s="8">
        <f>253+15</f>
        <v>268</v>
      </c>
    </row>
    <row r="35" spans="1:4">
      <c r="A35" s="6">
        <f t="shared" si="0"/>
        <v>42946</v>
      </c>
      <c r="B35" s="7">
        <v>42946</v>
      </c>
      <c r="C35" s="44">
        <f t="shared" si="1"/>
        <v>15</v>
      </c>
      <c r="D35" s="8">
        <v>283</v>
      </c>
    </row>
    <row r="36" spans="1:4">
      <c r="A36" s="6">
        <f t="shared" si="0"/>
        <v>42947</v>
      </c>
      <c r="B36" s="7">
        <v>42947</v>
      </c>
      <c r="C36" s="14">
        <f t="shared" si="1"/>
        <v>19</v>
      </c>
      <c r="D36" s="9">
        <v>302</v>
      </c>
    </row>
    <row r="37" spans="1:4">
      <c r="B37" s="10" t="s">
        <v>6</v>
      </c>
      <c r="C37" s="11">
        <f>SUM(C6:C36)</f>
        <v>302</v>
      </c>
      <c r="D37" s="12"/>
    </row>
    <row r="38" spans="1:4">
      <c r="C38" s="13"/>
    </row>
    <row r="39" spans="1:4">
      <c r="B39" s="14" t="s">
        <v>7</v>
      </c>
      <c r="C39" s="9">
        <v>300</v>
      </c>
    </row>
    <row r="40" spans="1:4">
      <c r="B40" s="14" t="s">
        <v>8</v>
      </c>
      <c r="C40" s="9">
        <f>C37</f>
        <v>302</v>
      </c>
    </row>
    <row r="41" spans="1:4">
      <c r="B41" s="14" t="s">
        <v>9</v>
      </c>
      <c r="C41" s="9">
        <f>C39-C40</f>
        <v>-2</v>
      </c>
    </row>
    <row r="42" spans="1:4">
      <c r="B42" s="14" t="s">
        <v>10</v>
      </c>
      <c r="C42" s="15">
        <f>C40/C39</f>
        <v>1.0066666666666666</v>
      </c>
    </row>
    <row r="43" spans="1:4">
      <c r="B43" s="14" t="s">
        <v>11</v>
      </c>
      <c r="C43" s="9">
        <f>IF(C40&lt;C39,0,C40-C39)</f>
        <v>2</v>
      </c>
    </row>
    <row r="44" spans="1:4">
      <c r="B44" s="14" t="s">
        <v>12</v>
      </c>
      <c r="C44" s="9">
        <f ca="1">(C39-C37)/C48</f>
        <v>-6.6666666666666666E-2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7"/>
  <sheetViews>
    <sheetView showGridLines="0" topLeftCell="A3" workbookViewId="0">
      <selection activeCell="F32" sqref="F32"/>
    </sheetView>
  </sheetViews>
  <sheetFormatPr baseColWidth="10" defaultColWidth="8.83203125" defaultRowHeight="14" x14ac:dyDescent="0"/>
  <cols>
    <col min="1" max="1" width="13.33203125" customWidth="1"/>
    <col min="2" max="2" width="25.1640625" customWidth="1"/>
    <col min="3" max="3" width="14.6640625" bestFit="1" customWidth="1"/>
    <col min="4" max="4" width="14.83203125" customWidth="1"/>
    <col min="5" max="5" width="11.5" bestFit="1" customWidth="1"/>
    <col min="6" max="6" width="7.83203125" bestFit="1" customWidth="1"/>
  </cols>
  <sheetData>
    <row r="2" spans="1:5">
      <c r="B2" s="1" t="s">
        <v>48</v>
      </c>
    </row>
    <row r="4" spans="1:5">
      <c r="B4" s="2" t="s">
        <v>1</v>
      </c>
      <c r="C4" s="2"/>
    </row>
    <row r="5" spans="1:5">
      <c r="A5" s="3" t="s">
        <v>2</v>
      </c>
      <c r="B5" s="4" t="s">
        <v>3</v>
      </c>
      <c r="C5" s="4" t="s">
        <v>4</v>
      </c>
    </row>
    <row r="6" spans="1:5">
      <c r="A6" s="6">
        <f t="shared" ref="A6:A36" si="0">B6</f>
        <v>42917</v>
      </c>
      <c r="B6" s="7">
        <v>42917</v>
      </c>
      <c r="C6" s="44">
        <v>16</v>
      </c>
      <c r="D6" s="44"/>
      <c r="E6" s="9">
        <f>AVERAGE(C6:C12)</f>
        <v>25.571428571428573</v>
      </c>
    </row>
    <row r="7" spans="1:5">
      <c r="A7" s="6">
        <f t="shared" si="0"/>
        <v>42918</v>
      </c>
      <c r="B7" s="7">
        <v>42918</v>
      </c>
      <c r="C7" s="44">
        <v>17</v>
      </c>
      <c r="D7" s="36"/>
    </row>
    <row r="8" spans="1:5">
      <c r="A8" s="6">
        <f t="shared" si="0"/>
        <v>42919</v>
      </c>
      <c r="B8" s="7">
        <v>42919</v>
      </c>
      <c r="C8" s="44">
        <v>22</v>
      </c>
      <c r="D8" s="36"/>
    </row>
    <row r="9" spans="1:5">
      <c r="A9" s="6">
        <f t="shared" si="0"/>
        <v>42920</v>
      </c>
      <c r="B9" s="7">
        <v>42920</v>
      </c>
      <c r="C9" s="44">
        <v>17</v>
      </c>
      <c r="D9" s="36"/>
    </row>
    <row r="10" spans="1:5">
      <c r="A10" s="6">
        <f t="shared" si="0"/>
        <v>42921</v>
      </c>
      <c r="B10" s="7">
        <v>42921</v>
      </c>
      <c r="C10" s="44">
        <v>37</v>
      </c>
      <c r="D10" s="36"/>
    </row>
    <row r="11" spans="1:5">
      <c r="A11" s="6">
        <f t="shared" si="0"/>
        <v>42922</v>
      </c>
      <c r="B11" s="7">
        <v>42922</v>
      </c>
      <c r="C11" s="44">
        <v>33</v>
      </c>
      <c r="D11" s="36"/>
    </row>
    <row r="12" spans="1:5">
      <c r="A12" s="6">
        <f t="shared" si="0"/>
        <v>42923</v>
      </c>
      <c r="B12" s="7">
        <v>42923</v>
      </c>
      <c r="C12" s="44">
        <v>37</v>
      </c>
      <c r="D12" s="36"/>
    </row>
    <row r="13" spans="1:5">
      <c r="A13" s="6">
        <f t="shared" si="0"/>
        <v>42924</v>
      </c>
      <c r="B13" s="7">
        <v>42924</v>
      </c>
      <c r="C13" s="44">
        <v>16</v>
      </c>
      <c r="D13" s="44"/>
      <c r="E13" s="9">
        <f>AVERAGE(C13:C19)</f>
        <v>29.714285714285715</v>
      </c>
    </row>
    <row r="14" spans="1:5">
      <c r="A14" s="6">
        <f t="shared" si="0"/>
        <v>42925</v>
      </c>
      <c r="B14" s="7">
        <v>42925</v>
      </c>
      <c r="C14" s="44">
        <v>23</v>
      </c>
      <c r="D14" s="36"/>
    </row>
    <row r="15" spans="1:5">
      <c r="A15" s="6">
        <f t="shared" si="0"/>
        <v>42926</v>
      </c>
      <c r="B15" s="7">
        <v>42926</v>
      </c>
      <c r="C15" s="44">
        <v>27</v>
      </c>
      <c r="D15" s="36"/>
    </row>
    <row r="16" spans="1:5">
      <c r="A16" s="6">
        <f t="shared" si="0"/>
        <v>42927</v>
      </c>
      <c r="B16" s="7">
        <v>42927</v>
      </c>
      <c r="C16" s="44">
        <v>36</v>
      </c>
      <c r="D16" s="36"/>
    </row>
    <row r="17" spans="1:5">
      <c r="A17" s="6">
        <f t="shared" si="0"/>
        <v>42928</v>
      </c>
      <c r="B17" s="7">
        <v>42928</v>
      </c>
      <c r="C17" s="44">
        <v>42</v>
      </c>
      <c r="D17" s="36"/>
    </row>
    <row r="18" spans="1:5">
      <c r="A18" s="6">
        <f t="shared" si="0"/>
        <v>42929</v>
      </c>
      <c r="B18" s="7">
        <v>42929</v>
      </c>
      <c r="C18" s="44">
        <v>45</v>
      </c>
      <c r="D18" s="36"/>
    </row>
    <row r="19" spans="1:5">
      <c r="A19" s="6">
        <f t="shared" si="0"/>
        <v>42930</v>
      </c>
      <c r="B19" s="7">
        <v>42930</v>
      </c>
      <c r="C19" s="44">
        <v>19</v>
      </c>
      <c r="D19" s="36"/>
    </row>
    <row r="20" spans="1:5">
      <c r="A20" s="6">
        <f t="shared" si="0"/>
        <v>42931</v>
      </c>
      <c r="B20" s="7">
        <v>42931</v>
      </c>
      <c r="C20" s="44">
        <v>16</v>
      </c>
      <c r="D20" s="44"/>
      <c r="E20" s="9">
        <f>AVERAGE(C20:C26)</f>
        <v>25.714285714285715</v>
      </c>
    </row>
    <row r="21" spans="1:5">
      <c r="A21" s="6">
        <f t="shared" si="0"/>
        <v>42932</v>
      </c>
      <c r="B21" s="7">
        <v>42932</v>
      </c>
      <c r="C21" s="44">
        <v>17</v>
      </c>
      <c r="D21" s="36"/>
    </row>
    <row r="22" spans="1:5">
      <c r="A22" s="6">
        <f t="shared" si="0"/>
        <v>42933</v>
      </c>
      <c r="B22" s="7">
        <v>42933</v>
      </c>
      <c r="C22" s="44">
        <v>30</v>
      </c>
      <c r="D22" s="36"/>
    </row>
    <row r="23" spans="1:5">
      <c r="A23" s="6">
        <f t="shared" si="0"/>
        <v>42934</v>
      </c>
      <c r="B23" s="7">
        <v>42934</v>
      </c>
      <c r="C23" s="44">
        <v>34</v>
      </c>
      <c r="D23" s="36"/>
    </row>
    <row r="24" spans="1:5">
      <c r="A24" s="6">
        <f t="shared" si="0"/>
        <v>42935</v>
      </c>
      <c r="B24" s="7">
        <v>42935</v>
      </c>
      <c r="C24" s="44">
        <v>27</v>
      </c>
      <c r="D24" s="36"/>
    </row>
    <row r="25" spans="1:5">
      <c r="A25" s="6">
        <f t="shared" si="0"/>
        <v>42936</v>
      </c>
      <c r="B25" s="7">
        <v>42936</v>
      </c>
      <c r="C25" s="44">
        <v>32</v>
      </c>
      <c r="D25" s="36"/>
    </row>
    <row r="26" spans="1:5">
      <c r="A26" s="6">
        <f t="shared" si="0"/>
        <v>42937</v>
      </c>
      <c r="B26" s="7">
        <v>42937</v>
      </c>
      <c r="C26" s="44">
        <v>24</v>
      </c>
      <c r="D26" s="36"/>
    </row>
    <row r="27" spans="1:5">
      <c r="A27" s="6">
        <f t="shared" si="0"/>
        <v>42938</v>
      </c>
      <c r="B27" s="7">
        <v>42938</v>
      </c>
      <c r="C27" s="44">
        <v>26</v>
      </c>
      <c r="D27" s="44"/>
      <c r="E27" s="9">
        <f>AVERAGE(C27:C33)</f>
        <v>33.428571428571431</v>
      </c>
    </row>
    <row r="28" spans="1:5">
      <c r="A28" s="6">
        <f t="shared" si="0"/>
        <v>42939</v>
      </c>
      <c r="B28" s="7">
        <v>42939</v>
      </c>
      <c r="C28" s="44">
        <v>14</v>
      </c>
      <c r="D28" s="36"/>
    </row>
    <row r="29" spans="1:5">
      <c r="A29" s="6">
        <f t="shared" si="0"/>
        <v>42940</v>
      </c>
      <c r="B29" s="7">
        <v>42940</v>
      </c>
      <c r="C29" s="44">
        <v>30</v>
      </c>
      <c r="D29" s="36"/>
    </row>
    <row r="30" spans="1:5">
      <c r="A30" s="6">
        <f t="shared" si="0"/>
        <v>42941</v>
      </c>
      <c r="B30" s="7">
        <v>42941</v>
      </c>
      <c r="C30" s="44">
        <v>35</v>
      </c>
      <c r="D30" s="36"/>
    </row>
    <row r="31" spans="1:5">
      <c r="A31" s="6">
        <f t="shared" si="0"/>
        <v>42942</v>
      </c>
      <c r="B31" s="7">
        <v>42942</v>
      </c>
      <c r="C31" s="44">
        <v>49</v>
      </c>
      <c r="D31" s="36"/>
    </row>
    <row r="32" spans="1:5">
      <c r="A32" s="6">
        <f t="shared" si="0"/>
        <v>42943</v>
      </c>
      <c r="B32" s="7">
        <v>42943</v>
      </c>
      <c r="C32" s="44">
        <v>47</v>
      </c>
      <c r="D32" s="36"/>
    </row>
    <row r="33" spans="1:4">
      <c r="A33" s="6">
        <f t="shared" si="0"/>
        <v>42944</v>
      </c>
      <c r="B33" s="7">
        <v>42944</v>
      </c>
      <c r="C33" s="44">
        <v>33</v>
      </c>
      <c r="D33" s="36"/>
    </row>
    <row r="34" spans="1:4">
      <c r="A34" s="6">
        <f t="shared" si="0"/>
        <v>42945</v>
      </c>
      <c r="B34" s="7">
        <v>42945</v>
      </c>
      <c r="C34" s="44">
        <v>24</v>
      </c>
      <c r="D34" s="36"/>
    </row>
    <row r="35" spans="1:4">
      <c r="A35" s="6">
        <f t="shared" si="0"/>
        <v>42946</v>
      </c>
      <c r="B35" s="7">
        <v>42946</v>
      </c>
      <c r="C35" s="44">
        <v>19</v>
      </c>
      <c r="D35" s="36"/>
    </row>
    <row r="36" spans="1:4">
      <c r="A36" s="6">
        <f t="shared" si="0"/>
        <v>42947</v>
      </c>
      <c r="B36" s="7">
        <v>42947</v>
      </c>
      <c r="C36" s="14">
        <v>38</v>
      </c>
    </row>
    <row r="37" spans="1:4">
      <c r="B37" s="10" t="s">
        <v>6</v>
      </c>
      <c r="C37" s="11">
        <f>SUM(C6:C36)</f>
        <v>882</v>
      </c>
      <c r="D37" s="12"/>
    </row>
    <row r="38" spans="1:4">
      <c r="C38" s="13"/>
    </row>
    <row r="39" spans="1:4">
      <c r="B39" s="14" t="s">
        <v>7</v>
      </c>
      <c r="C39" s="9">
        <v>330</v>
      </c>
    </row>
    <row r="40" spans="1:4">
      <c r="B40" s="14" t="s">
        <v>8</v>
      </c>
      <c r="C40" s="9">
        <f>C37</f>
        <v>882</v>
      </c>
    </row>
    <row r="41" spans="1:4">
      <c r="B41" s="14" t="s">
        <v>9</v>
      </c>
      <c r="C41" s="9">
        <f>C39-C40</f>
        <v>-552</v>
      </c>
    </row>
    <row r="42" spans="1:4">
      <c r="B42" s="14" t="s">
        <v>10</v>
      </c>
      <c r="C42" s="15">
        <f>C40/C39</f>
        <v>2.6727272727272728</v>
      </c>
    </row>
    <row r="43" spans="1:4">
      <c r="B43" s="14" t="s">
        <v>11</v>
      </c>
      <c r="C43" s="9">
        <f>IF(C40&lt;C39,0,C40-C39)</f>
        <v>552</v>
      </c>
    </row>
    <row r="44" spans="1:4">
      <c r="B44" s="14" t="s">
        <v>12</v>
      </c>
      <c r="C44" s="9">
        <f ca="1">(C39-C37)/C48</f>
        <v>-18.399999999999999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4"/>
  <sheetViews>
    <sheetView showGridLines="0" topLeftCell="A5" workbookViewId="0">
      <selection activeCell="E35" sqref="E35"/>
    </sheetView>
  </sheetViews>
  <sheetFormatPr baseColWidth="10" defaultColWidth="8.83203125" defaultRowHeight="14" x14ac:dyDescent="0"/>
  <cols>
    <col min="1" max="1" width="11.6640625" customWidth="1"/>
    <col min="2" max="2" width="18.33203125" customWidth="1"/>
    <col min="3" max="3" width="15.83203125" bestFit="1" customWidth="1"/>
    <col min="4" max="4" width="14.83203125" customWidth="1"/>
  </cols>
  <sheetData>
    <row r="2" spans="1:4">
      <c r="B2" s="1" t="s">
        <v>50</v>
      </c>
    </row>
    <row r="4" spans="1:4">
      <c r="B4" s="2" t="s">
        <v>1</v>
      </c>
      <c r="C4" s="2"/>
    </row>
    <row r="5" spans="1:4">
      <c r="A5" s="3" t="s">
        <v>2</v>
      </c>
      <c r="B5" s="4" t="s">
        <v>3</v>
      </c>
      <c r="C5" s="5" t="s">
        <v>5</v>
      </c>
    </row>
    <row r="6" spans="1:4">
      <c r="A6" s="6">
        <f t="shared" ref="A6:A36" si="0">B6</f>
        <v>42917</v>
      </c>
      <c r="B6" s="7">
        <v>42917</v>
      </c>
      <c r="C6" s="8">
        <v>247</v>
      </c>
      <c r="D6" s="36"/>
    </row>
    <row r="7" spans="1:4">
      <c r="A7" s="6">
        <f t="shared" si="0"/>
        <v>42918</v>
      </c>
      <c r="B7" s="7">
        <v>42918</v>
      </c>
      <c r="C7" s="8">
        <v>225</v>
      </c>
      <c r="D7" s="36"/>
    </row>
    <row r="8" spans="1:4">
      <c r="A8" s="6">
        <f t="shared" si="0"/>
        <v>42919</v>
      </c>
      <c r="B8" s="7">
        <v>42919</v>
      </c>
      <c r="C8" s="8">
        <v>381</v>
      </c>
      <c r="D8" s="36"/>
    </row>
    <row r="9" spans="1:4">
      <c r="A9" s="6">
        <f t="shared" si="0"/>
        <v>42920</v>
      </c>
      <c r="B9" s="7">
        <v>42920</v>
      </c>
      <c r="C9" s="8">
        <v>215</v>
      </c>
      <c r="D9" s="36"/>
    </row>
    <row r="10" spans="1:4">
      <c r="A10" s="6">
        <f t="shared" si="0"/>
        <v>42921</v>
      </c>
      <c r="B10" s="7">
        <v>42921</v>
      </c>
      <c r="C10" s="8">
        <v>490</v>
      </c>
      <c r="D10" s="36"/>
    </row>
    <row r="11" spans="1:4">
      <c r="A11" s="6">
        <f t="shared" si="0"/>
        <v>42922</v>
      </c>
      <c r="B11" s="7">
        <v>42922</v>
      </c>
      <c r="C11" s="8">
        <v>539</v>
      </c>
      <c r="D11" s="36"/>
    </row>
    <row r="12" spans="1:4">
      <c r="A12" s="6">
        <f t="shared" si="0"/>
        <v>42923</v>
      </c>
      <c r="B12" s="7">
        <v>42923</v>
      </c>
      <c r="C12" s="8">
        <v>505</v>
      </c>
      <c r="D12" s="36"/>
    </row>
    <row r="13" spans="1:4">
      <c r="A13" s="6">
        <f t="shared" si="0"/>
        <v>42924</v>
      </c>
      <c r="B13" s="7">
        <v>42924</v>
      </c>
      <c r="C13" s="8">
        <v>208</v>
      </c>
      <c r="D13" s="36"/>
    </row>
    <row r="14" spans="1:4">
      <c r="A14" s="6">
        <f t="shared" si="0"/>
        <v>42925</v>
      </c>
      <c r="B14" s="7">
        <v>42925</v>
      </c>
      <c r="C14" s="8">
        <v>215</v>
      </c>
      <c r="D14" s="36"/>
    </row>
    <row r="15" spans="1:4">
      <c r="A15" s="6">
        <f t="shared" si="0"/>
        <v>42926</v>
      </c>
      <c r="B15" s="7">
        <v>42926</v>
      </c>
      <c r="C15" s="8">
        <v>547</v>
      </c>
      <c r="D15" s="36"/>
    </row>
    <row r="16" spans="1:4">
      <c r="A16" s="6">
        <f t="shared" si="0"/>
        <v>42927</v>
      </c>
      <c r="B16" s="7">
        <v>42927</v>
      </c>
      <c r="C16" s="8">
        <v>507</v>
      </c>
      <c r="D16" s="36"/>
    </row>
    <row r="17" spans="1:4">
      <c r="A17" s="6">
        <f t="shared" si="0"/>
        <v>42928</v>
      </c>
      <c r="B17" s="7">
        <v>42928</v>
      </c>
      <c r="C17" s="8">
        <v>668</v>
      </c>
      <c r="D17" s="36"/>
    </row>
    <row r="18" spans="1:4">
      <c r="A18" s="6">
        <f t="shared" si="0"/>
        <v>42929</v>
      </c>
      <c r="B18" s="7">
        <v>42929</v>
      </c>
      <c r="C18" s="8">
        <v>923</v>
      </c>
      <c r="D18" s="36"/>
    </row>
    <row r="19" spans="1:4">
      <c r="A19" s="6">
        <f t="shared" si="0"/>
        <v>42930</v>
      </c>
      <c r="B19" s="7">
        <v>42930</v>
      </c>
      <c r="C19" s="8">
        <v>781</v>
      </c>
      <c r="D19" s="36"/>
    </row>
    <row r="20" spans="1:4">
      <c r="A20" s="6">
        <f t="shared" si="0"/>
        <v>42931</v>
      </c>
      <c r="B20" s="7">
        <v>42931</v>
      </c>
      <c r="C20" s="8">
        <v>528</v>
      </c>
      <c r="D20" s="36"/>
    </row>
    <row r="21" spans="1:4">
      <c r="A21" s="6">
        <f t="shared" si="0"/>
        <v>42932</v>
      </c>
      <c r="B21" s="7">
        <v>42932</v>
      </c>
      <c r="C21" s="8">
        <v>527</v>
      </c>
      <c r="D21" s="36"/>
    </row>
    <row r="22" spans="1:4">
      <c r="A22" s="6">
        <f t="shared" si="0"/>
        <v>42933</v>
      </c>
      <c r="B22" s="7">
        <v>42933</v>
      </c>
      <c r="C22" s="8">
        <v>963</v>
      </c>
      <c r="D22" s="36"/>
    </row>
    <row r="23" spans="1:4">
      <c r="A23" s="6">
        <f t="shared" si="0"/>
        <v>42934</v>
      </c>
      <c r="B23" s="7">
        <v>42934</v>
      </c>
      <c r="C23" s="8">
        <v>903</v>
      </c>
      <c r="D23" s="36"/>
    </row>
    <row r="24" spans="1:4">
      <c r="A24" s="6">
        <f t="shared" si="0"/>
        <v>42935</v>
      </c>
      <c r="B24" s="7">
        <v>42935</v>
      </c>
      <c r="C24" s="8">
        <v>961</v>
      </c>
      <c r="D24" s="36"/>
    </row>
    <row r="25" spans="1:4">
      <c r="A25" s="6">
        <f t="shared" si="0"/>
        <v>42936</v>
      </c>
      <c r="B25" s="7">
        <v>42936</v>
      </c>
      <c r="C25" s="8">
        <v>885</v>
      </c>
      <c r="D25" s="36"/>
    </row>
    <row r="26" spans="1:4">
      <c r="A26" s="6">
        <f t="shared" si="0"/>
        <v>42937</v>
      </c>
      <c r="B26" s="7">
        <v>42937</v>
      </c>
      <c r="C26" s="8">
        <v>753</v>
      </c>
      <c r="D26" s="36"/>
    </row>
    <row r="27" spans="1:4">
      <c r="A27" s="6">
        <f t="shared" si="0"/>
        <v>42938</v>
      </c>
      <c r="B27" s="7">
        <v>42938</v>
      </c>
      <c r="C27" s="8">
        <v>540</v>
      </c>
      <c r="D27" s="36"/>
    </row>
    <row r="28" spans="1:4">
      <c r="A28" s="6">
        <f t="shared" si="0"/>
        <v>42939</v>
      </c>
      <c r="B28" s="7">
        <v>42939</v>
      </c>
      <c r="C28" s="8">
        <v>598</v>
      </c>
      <c r="D28" s="36"/>
    </row>
    <row r="29" spans="1:4">
      <c r="A29" s="6">
        <f t="shared" si="0"/>
        <v>42940</v>
      </c>
      <c r="B29" s="7">
        <v>42940</v>
      </c>
      <c r="C29" s="8">
        <v>942</v>
      </c>
      <c r="D29" s="36"/>
    </row>
    <row r="30" spans="1:4">
      <c r="A30" s="6">
        <f t="shared" si="0"/>
        <v>42941</v>
      </c>
      <c r="B30" s="7">
        <v>42941</v>
      </c>
      <c r="C30" s="8">
        <v>986</v>
      </c>
      <c r="D30" s="36"/>
    </row>
    <row r="31" spans="1:4">
      <c r="A31" s="6">
        <f t="shared" si="0"/>
        <v>42942</v>
      </c>
      <c r="B31" s="7">
        <v>42942</v>
      </c>
      <c r="C31" s="52">
        <v>930</v>
      </c>
      <c r="D31" s="36"/>
    </row>
    <row r="32" spans="1:4">
      <c r="A32" s="6">
        <f t="shared" si="0"/>
        <v>42943</v>
      </c>
      <c r="B32" s="7">
        <v>42943</v>
      </c>
      <c r="C32" s="8">
        <v>944</v>
      </c>
      <c r="D32" s="36"/>
    </row>
    <row r="33" spans="1:4">
      <c r="A33" s="6">
        <f t="shared" si="0"/>
        <v>42944</v>
      </c>
      <c r="B33" s="7">
        <v>42944</v>
      </c>
      <c r="C33" s="52">
        <v>849</v>
      </c>
      <c r="D33" s="36"/>
    </row>
    <row r="34" spans="1:4" ht="16.5" customHeight="1">
      <c r="A34" s="6">
        <f t="shared" si="0"/>
        <v>42945</v>
      </c>
      <c r="B34" s="7">
        <v>42945</v>
      </c>
      <c r="C34" s="8">
        <v>500</v>
      </c>
      <c r="D34" s="36"/>
    </row>
    <row r="35" spans="1:4">
      <c r="A35" s="6">
        <f t="shared" si="0"/>
        <v>42946</v>
      </c>
      <c r="B35" s="7">
        <v>42946</v>
      </c>
      <c r="C35" s="8">
        <v>482</v>
      </c>
      <c r="D35" s="36"/>
    </row>
    <row r="36" spans="1:4">
      <c r="A36" s="6">
        <f t="shared" si="0"/>
        <v>42947</v>
      </c>
      <c r="B36" s="7">
        <v>42947</v>
      </c>
      <c r="C36" s="9">
        <v>827</v>
      </c>
    </row>
    <row r="37" spans="1:4">
      <c r="B37" s="10" t="s">
        <v>6</v>
      </c>
      <c r="C37" s="11">
        <f>SUM(C6:C36)</f>
        <v>19569</v>
      </c>
      <c r="D37" s="12"/>
    </row>
    <row r="38" spans="1:4">
      <c r="C38" s="13"/>
    </row>
    <row r="39" spans="1:4">
      <c r="B39" s="14" t="s">
        <v>7</v>
      </c>
      <c r="C39" s="9">
        <v>11385</v>
      </c>
    </row>
    <row r="40" spans="1:4">
      <c r="B40" s="14" t="s">
        <v>8</v>
      </c>
      <c r="C40" s="9">
        <f>C37</f>
        <v>19569</v>
      </c>
    </row>
    <row r="41" spans="1:4">
      <c r="B41" s="14" t="s">
        <v>9</v>
      </c>
      <c r="C41" s="9">
        <f>C39-C40</f>
        <v>-8184</v>
      </c>
    </row>
    <row r="42" spans="1:4">
      <c r="B42" s="14" t="s">
        <v>10</v>
      </c>
      <c r="C42" s="15">
        <f>C40/C39</f>
        <v>1.7188405797101449</v>
      </c>
    </row>
    <row r="43" spans="1:4">
      <c r="B43" s="14" t="s">
        <v>11</v>
      </c>
      <c r="C43" s="9">
        <f>IF(C40&lt;C39,0,C40-C39)</f>
        <v>8184</v>
      </c>
    </row>
    <row r="44" spans="1:4">
      <c r="B44" s="14" t="s">
        <v>12</v>
      </c>
      <c r="C44" s="9">
        <f ca="1">(C39-C37)/C48</f>
        <v>-272.8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51" t="s">
        <v>20</v>
      </c>
    </row>
    <row r="58" spans="2:4">
      <c r="B58" s="53"/>
    </row>
    <row r="59" spans="2:4">
      <c r="B59" s="53"/>
    </row>
    <row r="60" spans="2:4">
      <c r="B60" s="53"/>
    </row>
    <row r="61" spans="2:4">
      <c r="B61" s="53"/>
    </row>
    <row r="62" spans="2:4">
      <c r="B62" s="53"/>
    </row>
    <row r="63" spans="2:4">
      <c r="B63" s="53"/>
    </row>
    <row r="64" spans="2:4">
      <c r="B64" s="53"/>
    </row>
    <row r="65" spans="2:2">
      <c r="B65" s="53"/>
    </row>
    <row r="66" spans="2:2">
      <c r="B66" s="53"/>
    </row>
    <row r="67" spans="2:2">
      <c r="B67" s="53"/>
    </row>
    <row r="68" spans="2:2">
      <c r="B68" s="53"/>
    </row>
    <row r="69" spans="2:2">
      <c r="B69" s="53"/>
    </row>
    <row r="70" spans="2:2">
      <c r="B70" s="53"/>
    </row>
    <row r="71" spans="2:2">
      <c r="B71" s="53"/>
    </row>
    <row r="72" spans="2:2">
      <c r="B72" s="53"/>
    </row>
    <row r="73" spans="2:2">
      <c r="B73" s="53"/>
    </row>
    <row r="74" spans="2:2">
      <c r="B74" s="5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7" workbookViewId="0">
      <selection activeCell="F35" sqref="F35"/>
    </sheetView>
  </sheetViews>
  <sheetFormatPr baseColWidth="10" defaultColWidth="8.83203125" defaultRowHeight="14" x14ac:dyDescent="0"/>
  <cols>
    <col min="1" max="1" width="13.1640625" customWidth="1"/>
    <col min="2" max="2" width="20.33203125" bestFit="1" customWidth="1"/>
    <col min="3" max="3" width="16.33203125" customWidth="1"/>
    <col min="4" max="4" width="14.83203125" customWidth="1"/>
    <col min="5" max="5" width="13.83203125" customWidth="1"/>
  </cols>
  <sheetData>
    <row r="2" spans="1:6">
      <c r="B2" s="1" t="s">
        <v>84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4</v>
      </c>
      <c r="D5" s="5" t="s">
        <v>5</v>
      </c>
    </row>
    <row r="6" spans="1:6">
      <c r="A6" s="6">
        <f t="shared" ref="A6:A36" si="0">B6</f>
        <v>42917</v>
      </c>
      <c r="B6" s="7">
        <v>42917</v>
      </c>
      <c r="C6" s="8">
        <f>D6</f>
        <v>0</v>
      </c>
      <c r="D6" s="52">
        <v>0</v>
      </c>
      <c r="E6" s="14" t="s">
        <v>37</v>
      </c>
      <c r="F6" s="9">
        <f>AVERAGE(C6:C12)</f>
        <v>0</v>
      </c>
    </row>
    <row r="7" spans="1:6">
      <c r="A7" s="6">
        <f t="shared" si="0"/>
        <v>42918</v>
      </c>
      <c r="B7" s="7">
        <v>42918</v>
      </c>
      <c r="C7" s="8">
        <f t="shared" ref="C7:C36" si="1">IF(D7-D6&lt;0,0,D7-D6)</f>
        <v>0</v>
      </c>
      <c r="D7" s="8">
        <v>0</v>
      </c>
    </row>
    <row r="8" spans="1:6">
      <c r="A8" s="6">
        <f t="shared" si="0"/>
        <v>42919</v>
      </c>
      <c r="B8" s="7">
        <v>42919</v>
      </c>
      <c r="C8" s="8">
        <f t="shared" si="1"/>
        <v>0</v>
      </c>
      <c r="D8" s="8">
        <v>0</v>
      </c>
    </row>
    <row r="9" spans="1:6">
      <c r="A9" s="6">
        <f t="shared" si="0"/>
        <v>42920</v>
      </c>
      <c r="B9" s="7">
        <v>42920</v>
      </c>
      <c r="C9" s="8">
        <f t="shared" si="1"/>
        <v>0</v>
      </c>
      <c r="D9" s="8">
        <v>0</v>
      </c>
    </row>
    <row r="10" spans="1:6">
      <c r="A10" s="6">
        <f t="shared" si="0"/>
        <v>42921</v>
      </c>
      <c r="B10" s="7">
        <v>42921</v>
      </c>
      <c r="C10" s="8">
        <f t="shared" si="1"/>
        <v>0</v>
      </c>
      <c r="D10" s="8">
        <v>0</v>
      </c>
    </row>
    <row r="11" spans="1:6">
      <c r="A11" s="6">
        <f t="shared" si="0"/>
        <v>42922</v>
      </c>
      <c r="B11" s="7">
        <v>42922</v>
      </c>
      <c r="C11" s="8">
        <f t="shared" si="1"/>
        <v>0</v>
      </c>
      <c r="D11" s="8">
        <v>0</v>
      </c>
    </row>
    <row r="12" spans="1:6">
      <c r="A12" s="6">
        <f t="shared" si="0"/>
        <v>42923</v>
      </c>
      <c r="B12" s="7">
        <v>42923</v>
      </c>
      <c r="C12" s="8">
        <f t="shared" si="1"/>
        <v>0</v>
      </c>
      <c r="D12" s="8">
        <v>0</v>
      </c>
    </row>
    <row r="13" spans="1:6">
      <c r="A13" s="6">
        <f t="shared" si="0"/>
        <v>42924</v>
      </c>
      <c r="B13" s="7">
        <v>42924</v>
      </c>
      <c r="C13" s="8">
        <f t="shared" si="1"/>
        <v>0</v>
      </c>
      <c r="D13" s="8">
        <v>0</v>
      </c>
      <c r="E13" s="14" t="s">
        <v>38</v>
      </c>
      <c r="F13" s="9">
        <f>AVERAGE(C13:C19)</f>
        <v>0.14285714285714285</v>
      </c>
    </row>
    <row r="14" spans="1:6">
      <c r="A14" s="6">
        <f t="shared" si="0"/>
        <v>42925</v>
      </c>
      <c r="B14" s="7">
        <v>42925</v>
      </c>
      <c r="C14" s="8">
        <f t="shared" si="1"/>
        <v>0</v>
      </c>
      <c r="D14" s="8">
        <v>0</v>
      </c>
    </row>
    <row r="15" spans="1:6">
      <c r="A15" s="6">
        <f t="shared" si="0"/>
        <v>42926</v>
      </c>
      <c r="B15" s="7">
        <v>42926</v>
      </c>
      <c r="C15" s="8">
        <f t="shared" si="1"/>
        <v>0</v>
      </c>
      <c r="D15" s="8">
        <v>0</v>
      </c>
    </row>
    <row r="16" spans="1:6">
      <c r="A16" s="6">
        <f t="shared" si="0"/>
        <v>42927</v>
      </c>
      <c r="B16" s="7">
        <v>42927</v>
      </c>
      <c r="C16" s="8">
        <f t="shared" si="1"/>
        <v>0</v>
      </c>
      <c r="D16" s="8">
        <v>0</v>
      </c>
    </row>
    <row r="17" spans="1:6">
      <c r="A17" s="6">
        <f t="shared" si="0"/>
        <v>42928</v>
      </c>
      <c r="B17" s="7">
        <v>42928</v>
      </c>
      <c r="C17" s="8">
        <f t="shared" si="1"/>
        <v>1</v>
      </c>
      <c r="D17" s="8">
        <v>1</v>
      </c>
    </row>
    <row r="18" spans="1:6">
      <c r="A18" s="6">
        <f t="shared" si="0"/>
        <v>42929</v>
      </c>
      <c r="B18" s="7">
        <v>42929</v>
      </c>
      <c r="C18" s="8">
        <f t="shared" si="1"/>
        <v>0</v>
      </c>
      <c r="D18" s="8">
        <v>1</v>
      </c>
    </row>
    <row r="19" spans="1:6">
      <c r="A19" s="6">
        <f t="shared" si="0"/>
        <v>42930</v>
      </c>
      <c r="B19" s="7">
        <v>42930</v>
      </c>
      <c r="C19" s="8">
        <f t="shared" si="1"/>
        <v>0</v>
      </c>
      <c r="D19" s="8">
        <v>1</v>
      </c>
    </row>
    <row r="20" spans="1:6">
      <c r="A20" s="6">
        <f t="shared" si="0"/>
        <v>42931</v>
      </c>
      <c r="B20" s="7">
        <v>42931</v>
      </c>
      <c r="C20" s="8">
        <f t="shared" si="1"/>
        <v>0</v>
      </c>
      <c r="D20" s="8">
        <v>1</v>
      </c>
      <c r="E20" s="14" t="s">
        <v>39</v>
      </c>
      <c r="F20" s="9">
        <f>AVERAGE(C20:C26)</f>
        <v>0</v>
      </c>
    </row>
    <row r="21" spans="1:6">
      <c r="A21" s="6">
        <f t="shared" si="0"/>
        <v>42932</v>
      </c>
      <c r="B21" s="7">
        <v>42932</v>
      </c>
      <c r="C21" s="8">
        <f t="shared" si="1"/>
        <v>0</v>
      </c>
      <c r="D21" s="8">
        <v>1</v>
      </c>
    </row>
    <row r="22" spans="1:6">
      <c r="A22" s="6">
        <f t="shared" si="0"/>
        <v>42933</v>
      </c>
      <c r="B22" s="7">
        <v>42933</v>
      </c>
      <c r="C22" s="8">
        <f t="shared" si="1"/>
        <v>0</v>
      </c>
      <c r="D22" s="8">
        <v>1</v>
      </c>
    </row>
    <row r="23" spans="1:6">
      <c r="A23" s="6">
        <f t="shared" si="0"/>
        <v>42934</v>
      </c>
      <c r="B23" s="7">
        <v>42934</v>
      </c>
      <c r="C23" s="8">
        <f t="shared" si="1"/>
        <v>0</v>
      </c>
      <c r="D23" s="8">
        <v>1</v>
      </c>
    </row>
    <row r="24" spans="1:6">
      <c r="A24" s="6">
        <f t="shared" si="0"/>
        <v>42935</v>
      </c>
      <c r="B24" s="7">
        <v>42935</v>
      </c>
      <c r="C24" s="8">
        <f t="shared" si="1"/>
        <v>0</v>
      </c>
      <c r="D24" s="8">
        <v>1</v>
      </c>
    </row>
    <row r="25" spans="1:6">
      <c r="A25" s="6">
        <f t="shared" si="0"/>
        <v>42936</v>
      </c>
      <c r="B25" s="7">
        <v>42936</v>
      </c>
      <c r="C25" s="8">
        <f t="shared" si="1"/>
        <v>0</v>
      </c>
      <c r="D25" s="8">
        <v>1</v>
      </c>
    </row>
    <row r="26" spans="1:6">
      <c r="A26" s="6">
        <f t="shared" si="0"/>
        <v>42937</v>
      </c>
      <c r="B26" s="7">
        <v>42937</v>
      </c>
      <c r="C26" s="8">
        <f t="shared" si="1"/>
        <v>0</v>
      </c>
      <c r="D26" s="8">
        <v>1</v>
      </c>
    </row>
    <row r="27" spans="1:6">
      <c r="A27" s="6">
        <f t="shared" si="0"/>
        <v>42938</v>
      </c>
      <c r="B27" s="7">
        <v>42938</v>
      </c>
      <c r="C27" s="8">
        <f t="shared" si="1"/>
        <v>0</v>
      </c>
      <c r="D27" s="8">
        <v>1</v>
      </c>
      <c r="E27" s="14" t="s">
        <v>40</v>
      </c>
      <c r="F27" s="9">
        <f>AVERAGE(C27:C33)</f>
        <v>0</v>
      </c>
    </row>
    <row r="28" spans="1:6">
      <c r="A28" s="6">
        <f t="shared" si="0"/>
        <v>42939</v>
      </c>
      <c r="B28" s="7">
        <v>42939</v>
      </c>
      <c r="C28" s="8">
        <f t="shared" si="1"/>
        <v>0</v>
      </c>
      <c r="D28" s="8">
        <v>1</v>
      </c>
    </row>
    <row r="29" spans="1:6">
      <c r="A29" s="6">
        <f t="shared" si="0"/>
        <v>42940</v>
      </c>
      <c r="B29" s="7">
        <v>42940</v>
      </c>
      <c r="C29" s="8">
        <f t="shared" si="1"/>
        <v>0</v>
      </c>
      <c r="D29" s="8">
        <v>1</v>
      </c>
    </row>
    <row r="30" spans="1:6">
      <c r="A30" s="6">
        <f t="shared" si="0"/>
        <v>42941</v>
      </c>
      <c r="B30" s="7">
        <v>42941</v>
      </c>
      <c r="C30" s="8">
        <f t="shared" si="1"/>
        <v>0</v>
      </c>
      <c r="D30" s="8">
        <v>1</v>
      </c>
    </row>
    <row r="31" spans="1:6">
      <c r="A31" s="6">
        <f t="shared" si="0"/>
        <v>42942</v>
      </c>
      <c r="B31" s="7">
        <v>42942</v>
      </c>
      <c r="C31" s="8">
        <f t="shared" si="1"/>
        <v>0</v>
      </c>
      <c r="D31" s="8">
        <v>1</v>
      </c>
    </row>
    <row r="32" spans="1:6">
      <c r="A32" s="6">
        <f t="shared" si="0"/>
        <v>42943</v>
      </c>
      <c r="B32" s="7">
        <v>42943</v>
      </c>
      <c r="C32" s="8">
        <f t="shared" si="1"/>
        <v>0</v>
      </c>
      <c r="D32" s="8">
        <v>1</v>
      </c>
    </row>
    <row r="33" spans="1:4">
      <c r="A33" s="6">
        <f t="shared" si="0"/>
        <v>42944</v>
      </c>
      <c r="B33" s="7">
        <v>42944</v>
      </c>
      <c r="C33" s="8">
        <f t="shared" si="1"/>
        <v>0</v>
      </c>
      <c r="D33" s="8">
        <v>1</v>
      </c>
    </row>
    <row r="34" spans="1:4">
      <c r="A34" s="6">
        <f t="shared" si="0"/>
        <v>42945</v>
      </c>
      <c r="B34" s="7">
        <v>42945</v>
      </c>
      <c r="C34" s="8">
        <f t="shared" si="1"/>
        <v>0</v>
      </c>
      <c r="D34" s="8">
        <v>1</v>
      </c>
    </row>
    <row r="35" spans="1:4">
      <c r="A35" s="6">
        <f t="shared" si="0"/>
        <v>42946</v>
      </c>
      <c r="B35" s="7">
        <v>42946</v>
      </c>
      <c r="C35" s="8">
        <f t="shared" si="1"/>
        <v>0</v>
      </c>
      <c r="D35" s="8">
        <v>1</v>
      </c>
    </row>
    <row r="36" spans="1:4">
      <c r="A36" s="6">
        <f t="shared" si="0"/>
        <v>42947</v>
      </c>
      <c r="B36" s="7">
        <v>42947</v>
      </c>
      <c r="C36" s="9">
        <f t="shared" si="1"/>
        <v>0</v>
      </c>
      <c r="D36" s="9">
        <v>1</v>
      </c>
    </row>
    <row r="37" spans="1:4">
      <c r="B37" s="10" t="s">
        <v>6</v>
      </c>
      <c r="C37" s="11">
        <f>SUM(C6:C36)</f>
        <v>1</v>
      </c>
      <c r="D37" s="12"/>
    </row>
    <row r="38" spans="1:4">
      <c r="C38" s="13"/>
    </row>
    <row r="39" spans="1:4">
      <c r="B39" s="14" t="s">
        <v>7</v>
      </c>
      <c r="C39" s="9">
        <v>5</v>
      </c>
    </row>
    <row r="40" spans="1:4">
      <c r="B40" s="14" t="s">
        <v>8</v>
      </c>
      <c r="C40" s="9">
        <f>C37</f>
        <v>1</v>
      </c>
    </row>
    <row r="41" spans="1:4">
      <c r="B41" s="14" t="s">
        <v>9</v>
      </c>
      <c r="C41" s="9">
        <f>C39-C40</f>
        <v>4</v>
      </c>
    </row>
    <row r="42" spans="1:4">
      <c r="B42" s="14" t="s">
        <v>10</v>
      </c>
      <c r="C42" s="15">
        <f>C40/C39</f>
        <v>0.2</v>
      </c>
    </row>
    <row r="43" spans="1:4">
      <c r="B43" s="14" t="s">
        <v>11</v>
      </c>
      <c r="C43" s="9">
        <f>IF(C40&lt;C39,0,C40-C39)</f>
        <v>0</v>
      </c>
    </row>
    <row r="44" spans="1:4">
      <c r="B44" s="14" t="s">
        <v>12</v>
      </c>
      <c r="C44" s="9">
        <f ca="1">(C39-C37)/C48</f>
        <v>0.13333333333333333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9" workbookViewId="0">
      <selection activeCell="D37" sqref="D37"/>
    </sheetView>
  </sheetViews>
  <sheetFormatPr baseColWidth="10" defaultColWidth="8.83203125" defaultRowHeight="14" x14ac:dyDescent="0"/>
  <cols>
    <col min="1" max="1" width="13.33203125" customWidth="1"/>
    <col min="2" max="2" width="20.83203125" customWidth="1"/>
    <col min="3" max="3" width="14.6640625" bestFit="1" customWidth="1"/>
    <col min="4" max="4" width="14.83203125" customWidth="1"/>
    <col min="5" max="5" width="11.5" bestFit="1" customWidth="1"/>
    <col min="6" max="6" width="7.83203125" bestFit="1" customWidth="1"/>
  </cols>
  <sheetData>
    <row r="2" spans="1:6">
      <c r="B2" s="1" t="s">
        <v>49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4</v>
      </c>
      <c r="D5" s="5" t="s">
        <v>5</v>
      </c>
    </row>
    <row r="6" spans="1:6">
      <c r="A6" s="6">
        <f t="shared" ref="A6:A36" si="0">B6</f>
        <v>42917</v>
      </c>
      <c r="B6" s="7">
        <v>42917</v>
      </c>
      <c r="C6" s="39">
        <f>D6</f>
        <v>13</v>
      </c>
      <c r="D6" s="8">
        <v>13</v>
      </c>
      <c r="E6" s="14" t="s">
        <v>37</v>
      </c>
      <c r="F6" s="9">
        <f>AVERAGE(C6:C12)</f>
        <v>11.285714285714286</v>
      </c>
    </row>
    <row r="7" spans="1:6">
      <c r="A7" s="6">
        <f t="shared" si="0"/>
        <v>42918</v>
      </c>
      <c r="B7" s="7">
        <v>42918</v>
      </c>
      <c r="C7" s="44">
        <f t="shared" ref="C7:C36" si="1">IF(D7-D6&lt;0,0,D7-D6)</f>
        <v>8</v>
      </c>
      <c r="D7" s="8">
        <v>21</v>
      </c>
    </row>
    <row r="8" spans="1:6">
      <c r="A8" s="6">
        <f t="shared" si="0"/>
        <v>42919</v>
      </c>
      <c r="B8" s="7">
        <v>42919</v>
      </c>
      <c r="C8" s="44">
        <f t="shared" si="1"/>
        <v>9</v>
      </c>
      <c r="D8" s="8">
        <f>17+13</f>
        <v>30</v>
      </c>
    </row>
    <row r="9" spans="1:6">
      <c r="A9" s="6">
        <f t="shared" si="0"/>
        <v>42920</v>
      </c>
      <c r="B9" s="7">
        <v>42920</v>
      </c>
      <c r="C9" s="44">
        <f t="shared" si="1"/>
        <v>7</v>
      </c>
      <c r="D9" s="8">
        <v>37</v>
      </c>
    </row>
    <row r="10" spans="1:6">
      <c r="A10" s="6">
        <f t="shared" si="0"/>
        <v>42921</v>
      </c>
      <c r="B10" s="7">
        <v>42921</v>
      </c>
      <c r="C10" s="44">
        <f t="shared" si="1"/>
        <v>19</v>
      </c>
      <c r="D10" s="8">
        <v>56</v>
      </c>
    </row>
    <row r="11" spans="1:6">
      <c r="A11" s="6">
        <f t="shared" si="0"/>
        <v>42922</v>
      </c>
      <c r="B11" s="7">
        <v>42922</v>
      </c>
      <c r="C11" s="44">
        <f t="shared" si="1"/>
        <v>12</v>
      </c>
      <c r="D11" s="8">
        <v>68</v>
      </c>
    </row>
    <row r="12" spans="1:6">
      <c r="A12" s="6">
        <f t="shared" si="0"/>
        <v>42923</v>
      </c>
      <c r="B12" s="7">
        <v>42923</v>
      </c>
      <c r="C12" s="44">
        <f t="shared" si="1"/>
        <v>11</v>
      </c>
      <c r="D12" s="8">
        <f>41+38</f>
        <v>79</v>
      </c>
    </row>
    <row r="13" spans="1:6">
      <c r="A13" s="6">
        <f t="shared" si="0"/>
        <v>42924</v>
      </c>
      <c r="B13" s="7">
        <v>42924</v>
      </c>
      <c r="C13" s="44">
        <f t="shared" si="1"/>
        <v>10</v>
      </c>
      <c r="D13" s="8">
        <f>45+44</f>
        <v>89</v>
      </c>
      <c r="E13" s="14" t="s">
        <v>38</v>
      </c>
      <c r="F13" s="9">
        <f>AVERAGE(C13:C19)</f>
        <v>10.857142857142858</v>
      </c>
    </row>
    <row r="14" spans="1:6">
      <c r="A14" s="6">
        <f t="shared" si="0"/>
        <v>42925</v>
      </c>
      <c r="B14" s="7">
        <v>42925</v>
      </c>
      <c r="C14" s="44">
        <f t="shared" si="1"/>
        <v>11</v>
      </c>
      <c r="D14" s="8">
        <v>100</v>
      </c>
    </row>
    <row r="15" spans="1:6">
      <c r="A15" s="6">
        <f t="shared" si="0"/>
        <v>42926</v>
      </c>
      <c r="B15" s="7">
        <v>42926</v>
      </c>
      <c r="C15" s="44">
        <f t="shared" si="1"/>
        <v>14</v>
      </c>
      <c r="D15" s="8">
        <v>114</v>
      </c>
    </row>
    <row r="16" spans="1:6">
      <c r="A16" s="6">
        <f t="shared" si="0"/>
        <v>42927</v>
      </c>
      <c r="B16" s="7">
        <v>42927</v>
      </c>
      <c r="C16" s="44">
        <f t="shared" si="1"/>
        <v>15</v>
      </c>
      <c r="D16" s="8">
        <v>129</v>
      </c>
    </row>
    <row r="17" spans="1:6">
      <c r="A17" s="6">
        <f t="shared" si="0"/>
        <v>42928</v>
      </c>
      <c r="B17" s="7">
        <v>42928</v>
      </c>
      <c r="C17" s="44">
        <f t="shared" si="1"/>
        <v>14</v>
      </c>
      <c r="D17" s="8">
        <v>143</v>
      </c>
    </row>
    <row r="18" spans="1:6">
      <c r="A18" s="6">
        <f t="shared" si="0"/>
        <v>42929</v>
      </c>
      <c r="B18" s="7">
        <v>42929</v>
      </c>
      <c r="C18" s="44">
        <f t="shared" si="1"/>
        <v>4</v>
      </c>
      <c r="D18" s="8">
        <v>147</v>
      </c>
    </row>
    <row r="19" spans="1:6">
      <c r="A19" s="6">
        <f t="shared" si="0"/>
        <v>42930</v>
      </c>
      <c r="B19" s="7">
        <v>42930</v>
      </c>
      <c r="C19" s="44">
        <f t="shared" si="1"/>
        <v>8</v>
      </c>
      <c r="D19" s="8">
        <f>81+74</f>
        <v>155</v>
      </c>
    </row>
    <row r="20" spans="1:6">
      <c r="A20" s="6">
        <f t="shared" si="0"/>
        <v>42931</v>
      </c>
      <c r="B20" s="7">
        <v>42931</v>
      </c>
      <c r="C20" s="44">
        <f t="shared" si="1"/>
        <v>8</v>
      </c>
      <c r="D20" s="8">
        <v>163</v>
      </c>
      <c r="E20" s="14" t="s">
        <v>39</v>
      </c>
      <c r="F20" s="9">
        <f>AVERAGE(C20:C26)</f>
        <v>10</v>
      </c>
    </row>
    <row r="21" spans="1:6">
      <c r="A21" s="6">
        <f t="shared" si="0"/>
        <v>42932</v>
      </c>
      <c r="B21" s="7">
        <v>42932</v>
      </c>
      <c r="C21" s="44">
        <f t="shared" si="1"/>
        <v>12</v>
      </c>
      <c r="D21" s="8">
        <f>88+87</f>
        <v>175</v>
      </c>
    </row>
    <row r="22" spans="1:6">
      <c r="A22" s="6">
        <f t="shared" si="0"/>
        <v>42933</v>
      </c>
      <c r="B22" s="7">
        <v>42933</v>
      </c>
      <c r="C22" s="44">
        <f t="shared" si="1"/>
        <v>5</v>
      </c>
      <c r="D22" s="8">
        <v>180</v>
      </c>
    </row>
    <row r="23" spans="1:6">
      <c r="A23" s="6">
        <f t="shared" si="0"/>
        <v>42934</v>
      </c>
      <c r="B23" s="7">
        <v>42934</v>
      </c>
      <c r="C23" s="44">
        <f t="shared" si="1"/>
        <v>9</v>
      </c>
      <c r="D23" s="8">
        <v>189</v>
      </c>
    </row>
    <row r="24" spans="1:6">
      <c r="A24" s="6">
        <f t="shared" si="0"/>
        <v>42935</v>
      </c>
      <c r="B24" s="7">
        <v>42935</v>
      </c>
      <c r="C24" s="44">
        <f t="shared" si="1"/>
        <v>13</v>
      </c>
      <c r="D24" s="8">
        <v>202</v>
      </c>
    </row>
    <row r="25" spans="1:6">
      <c r="A25" s="6">
        <f t="shared" si="0"/>
        <v>42936</v>
      </c>
      <c r="B25" s="7">
        <v>42936</v>
      </c>
      <c r="C25" s="44">
        <f t="shared" si="1"/>
        <v>13</v>
      </c>
      <c r="D25" s="8">
        <v>215</v>
      </c>
    </row>
    <row r="26" spans="1:6">
      <c r="A26" s="6">
        <f t="shared" si="0"/>
        <v>42937</v>
      </c>
      <c r="B26" s="7">
        <v>42937</v>
      </c>
      <c r="C26" s="44">
        <f t="shared" si="1"/>
        <v>10</v>
      </c>
      <c r="D26" s="8">
        <f>115+110</f>
        <v>225</v>
      </c>
    </row>
    <row r="27" spans="1:6">
      <c r="A27" s="6">
        <f t="shared" si="0"/>
        <v>42938</v>
      </c>
      <c r="B27" s="7">
        <v>42938</v>
      </c>
      <c r="C27" s="44">
        <f t="shared" si="1"/>
        <v>17</v>
      </c>
      <c r="D27" s="37">
        <f>124+118</f>
        <v>242</v>
      </c>
      <c r="E27" s="14" t="s">
        <v>40</v>
      </c>
      <c r="F27" s="9">
        <f>AVERAGE(C27:C33)</f>
        <v>13.285714285714286</v>
      </c>
    </row>
    <row r="28" spans="1:6">
      <c r="A28" s="6">
        <f t="shared" si="0"/>
        <v>42939</v>
      </c>
      <c r="B28" s="7">
        <v>42939</v>
      </c>
      <c r="C28" s="44">
        <f t="shared" si="1"/>
        <v>12</v>
      </c>
      <c r="D28" s="8">
        <f>131+123</f>
        <v>254</v>
      </c>
    </row>
    <row r="29" spans="1:6">
      <c r="A29" s="6">
        <f t="shared" si="0"/>
        <v>42940</v>
      </c>
      <c r="B29" s="7">
        <v>42940</v>
      </c>
      <c r="C29" s="44">
        <f t="shared" si="1"/>
        <v>20</v>
      </c>
      <c r="D29" s="8">
        <v>274</v>
      </c>
    </row>
    <row r="30" spans="1:6">
      <c r="A30" s="6">
        <f t="shared" si="0"/>
        <v>42941</v>
      </c>
      <c r="B30" s="7">
        <v>42941</v>
      </c>
      <c r="C30" s="44">
        <f t="shared" si="1"/>
        <v>10</v>
      </c>
      <c r="D30" s="8">
        <v>284</v>
      </c>
    </row>
    <row r="31" spans="1:6">
      <c r="A31" s="6">
        <f t="shared" si="0"/>
        <v>42942</v>
      </c>
      <c r="B31" s="7">
        <v>42942</v>
      </c>
      <c r="C31" s="44">
        <f t="shared" si="1"/>
        <v>18</v>
      </c>
      <c r="D31" s="8">
        <v>302</v>
      </c>
    </row>
    <row r="32" spans="1:6">
      <c r="A32" s="6">
        <f t="shared" si="0"/>
        <v>42943</v>
      </c>
      <c r="B32" s="7">
        <v>42943</v>
      </c>
      <c r="C32" s="44">
        <f t="shared" si="1"/>
        <v>8</v>
      </c>
      <c r="D32" s="8">
        <v>310</v>
      </c>
    </row>
    <row r="33" spans="1:4">
      <c r="A33" s="6">
        <f t="shared" si="0"/>
        <v>42944</v>
      </c>
      <c r="B33" s="7">
        <v>42944</v>
      </c>
      <c r="C33" s="44">
        <f t="shared" si="1"/>
        <v>8</v>
      </c>
      <c r="D33" s="8">
        <f>164+154</f>
        <v>318</v>
      </c>
    </row>
    <row r="34" spans="1:4">
      <c r="A34" s="6">
        <f t="shared" si="0"/>
        <v>42945</v>
      </c>
      <c r="B34" s="7">
        <v>42945</v>
      </c>
      <c r="C34" s="44">
        <f t="shared" si="1"/>
        <v>10</v>
      </c>
      <c r="D34" s="8">
        <f>168+160</f>
        <v>328</v>
      </c>
    </row>
    <row r="35" spans="1:4">
      <c r="A35" s="6">
        <f t="shared" si="0"/>
        <v>42946</v>
      </c>
      <c r="B35" s="7">
        <v>42946</v>
      </c>
      <c r="C35" s="44">
        <f t="shared" si="1"/>
        <v>10</v>
      </c>
      <c r="D35" s="8">
        <v>338</v>
      </c>
    </row>
    <row r="36" spans="1:4">
      <c r="A36" s="6">
        <f t="shared" si="0"/>
        <v>42947</v>
      </c>
      <c r="B36" s="7">
        <v>42947</v>
      </c>
      <c r="C36" s="14">
        <f t="shared" si="1"/>
        <v>12</v>
      </c>
      <c r="D36" s="9">
        <v>350</v>
      </c>
    </row>
    <row r="37" spans="1:4">
      <c r="B37" s="10" t="s">
        <v>6</v>
      </c>
      <c r="C37" s="11">
        <f>SUM(C6:C36)</f>
        <v>350</v>
      </c>
      <c r="D37" s="12"/>
    </row>
    <row r="38" spans="1:4">
      <c r="C38" s="13"/>
    </row>
    <row r="39" spans="1:4">
      <c r="B39" s="14" t="s">
        <v>7</v>
      </c>
      <c r="C39" s="9">
        <v>10</v>
      </c>
    </row>
    <row r="40" spans="1:4">
      <c r="B40" s="14" t="s">
        <v>8</v>
      </c>
      <c r="C40" s="9">
        <f>C37</f>
        <v>350</v>
      </c>
    </row>
    <row r="41" spans="1:4">
      <c r="B41" s="14" t="s">
        <v>9</v>
      </c>
      <c r="C41" s="9">
        <f>C39-C40</f>
        <v>-340</v>
      </c>
    </row>
    <row r="42" spans="1:4">
      <c r="B42" s="14" t="s">
        <v>10</v>
      </c>
      <c r="C42" s="15">
        <f>C40/C39</f>
        <v>35</v>
      </c>
    </row>
    <row r="43" spans="1:4">
      <c r="B43" s="14" t="s">
        <v>11</v>
      </c>
      <c r="C43" s="9">
        <f>IF(C40&lt;C39,0,C40-C39)</f>
        <v>340</v>
      </c>
    </row>
    <row r="44" spans="1:4">
      <c r="B44" s="14" t="s">
        <v>12</v>
      </c>
      <c r="C44" s="9">
        <f ca="1">(C39-C37)/C48</f>
        <v>-11.333333333333334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7"/>
  <sheetViews>
    <sheetView showGridLines="0" topLeftCell="A9" workbookViewId="0">
      <selection activeCell="C38" sqref="C38"/>
    </sheetView>
  </sheetViews>
  <sheetFormatPr baseColWidth="10" defaultColWidth="8.83203125" defaultRowHeight="14" x14ac:dyDescent="0"/>
  <cols>
    <col min="1" max="1" width="12.1640625" customWidth="1"/>
    <col min="2" max="2" width="22.5" bestFit="1" customWidth="1"/>
    <col min="3" max="3" width="15.5" bestFit="1" customWidth="1"/>
    <col min="4" max="4" width="14.83203125" customWidth="1"/>
  </cols>
  <sheetData>
    <row r="2" spans="1:4">
      <c r="B2" s="1" t="s">
        <v>23</v>
      </c>
    </row>
    <row r="4" spans="1:4">
      <c r="B4" s="2" t="s">
        <v>1</v>
      </c>
      <c r="C4" s="2"/>
    </row>
    <row r="5" spans="1:4">
      <c r="A5" s="3" t="s">
        <v>2</v>
      </c>
      <c r="B5" s="4" t="s">
        <v>3</v>
      </c>
      <c r="C5" s="4" t="s">
        <v>4</v>
      </c>
      <c r="D5" s="5" t="s">
        <v>5</v>
      </c>
    </row>
    <row r="6" spans="1:4">
      <c r="A6" s="6">
        <f t="shared" ref="A6:A36" si="0">B6</f>
        <v>42917</v>
      </c>
      <c r="B6" s="7">
        <v>42917</v>
      </c>
      <c r="C6" s="8">
        <f>D6</f>
        <v>0</v>
      </c>
      <c r="D6" s="8">
        <v>0</v>
      </c>
    </row>
    <row r="7" spans="1:4">
      <c r="A7" s="6">
        <f t="shared" si="0"/>
        <v>42918</v>
      </c>
      <c r="B7" s="7">
        <v>42918</v>
      </c>
      <c r="C7" s="8">
        <f t="shared" ref="C7:C36" si="1">IF(D7-D6&lt;0,0,D7-D6)</f>
        <v>0</v>
      </c>
      <c r="D7" s="8">
        <v>0</v>
      </c>
    </row>
    <row r="8" spans="1:4">
      <c r="A8" s="6">
        <f t="shared" si="0"/>
        <v>42919</v>
      </c>
      <c r="B8" s="7">
        <v>42919</v>
      </c>
      <c r="C8" s="8">
        <f t="shared" si="1"/>
        <v>0</v>
      </c>
      <c r="D8" s="8">
        <v>0</v>
      </c>
    </row>
    <row r="9" spans="1:4">
      <c r="A9" s="6">
        <f t="shared" si="0"/>
        <v>42920</v>
      </c>
      <c r="B9" s="7">
        <v>42920</v>
      </c>
      <c r="C9" s="8">
        <f t="shared" si="1"/>
        <v>0</v>
      </c>
      <c r="D9" s="8">
        <v>0</v>
      </c>
    </row>
    <row r="10" spans="1:4">
      <c r="A10" s="6">
        <f t="shared" si="0"/>
        <v>42921</v>
      </c>
      <c r="B10" s="7">
        <v>42921</v>
      </c>
      <c r="C10" s="8">
        <f t="shared" si="1"/>
        <v>0</v>
      </c>
      <c r="D10" s="8">
        <v>0</v>
      </c>
    </row>
    <row r="11" spans="1:4">
      <c r="A11" s="6">
        <f t="shared" si="0"/>
        <v>42922</v>
      </c>
      <c r="B11" s="7">
        <v>42922</v>
      </c>
      <c r="C11" s="8">
        <f t="shared" si="1"/>
        <v>0</v>
      </c>
      <c r="D11" s="8">
        <v>0</v>
      </c>
    </row>
    <row r="12" spans="1:4">
      <c r="A12" s="6">
        <f t="shared" si="0"/>
        <v>42923</v>
      </c>
      <c r="B12" s="7">
        <v>42923</v>
      </c>
      <c r="C12" s="8">
        <f t="shared" si="1"/>
        <v>0</v>
      </c>
      <c r="D12" s="8">
        <v>0</v>
      </c>
    </row>
    <row r="13" spans="1:4">
      <c r="A13" s="6">
        <f t="shared" si="0"/>
        <v>42924</v>
      </c>
      <c r="B13" s="7">
        <v>42924</v>
      </c>
      <c r="C13" s="8">
        <f t="shared" si="1"/>
        <v>0</v>
      </c>
      <c r="D13" s="8">
        <v>0</v>
      </c>
    </row>
    <row r="14" spans="1:4">
      <c r="A14" s="6">
        <f t="shared" si="0"/>
        <v>42925</v>
      </c>
      <c r="B14" s="7">
        <v>42925</v>
      </c>
      <c r="C14" s="8">
        <f t="shared" si="1"/>
        <v>0</v>
      </c>
      <c r="D14" s="8">
        <v>0</v>
      </c>
    </row>
    <row r="15" spans="1:4">
      <c r="A15" s="6">
        <f t="shared" si="0"/>
        <v>42926</v>
      </c>
      <c r="B15" s="7">
        <v>42926</v>
      </c>
      <c r="C15" s="8">
        <f t="shared" si="1"/>
        <v>0</v>
      </c>
      <c r="D15" s="8">
        <v>0</v>
      </c>
    </row>
    <row r="16" spans="1:4">
      <c r="A16" s="6">
        <f t="shared" si="0"/>
        <v>42927</v>
      </c>
      <c r="B16" s="7">
        <v>42927</v>
      </c>
      <c r="C16" s="8">
        <f t="shared" si="1"/>
        <v>0</v>
      </c>
      <c r="D16" s="8">
        <v>0</v>
      </c>
    </row>
    <row r="17" spans="1:4">
      <c r="A17" s="6">
        <f t="shared" si="0"/>
        <v>42928</v>
      </c>
      <c r="B17" s="7">
        <v>42928</v>
      </c>
      <c r="C17" s="8">
        <f t="shared" si="1"/>
        <v>0</v>
      </c>
      <c r="D17" s="8">
        <v>0</v>
      </c>
    </row>
    <row r="18" spans="1:4">
      <c r="A18" s="6">
        <f t="shared" si="0"/>
        <v>42929</v>
      </c>
      <c r="B18" s="7">
        <v>42929</v>
      </c>
      <c r="C18" s="8">
        <f t="shared" si="1"/>
        <v>0</v>
      </c>
      <c r="D18" s="8">
        <v>0</v>
      </c>
    </row>
    <row r="19" spans="1:4">
      <c r="A19" s="6">
        <f t="shared" si="0"/>
        <v>42930</v>
      </c>
      <c r="B19" s="7">
        <v>42930</v>
      </c>
      <c r="C19" s="8">
        <f t="shared" si="1"/>
        <v>1</v>
      </c>
      <c r="D19" s="8">
        <v>1</v>
      </c>
    </row>
    <row r="20" spans="1:4">
      <c r="A20" s="6">
        <f t="shared" si="0"/>
        <v>42931</v>
      </c>
      <c r="B20" s="7">
        <v>42931</v>
      </c>
      <c r="C20" s="8">
        <f t="shared" si="1"/>
        <v>0</v>
      </c>
      <c r="D20" s="8">
        <v>1</v>
      </c>
    </row>
    <row r="21" spans="1:4">
      <c r="A21" s="6">
        <f t="shared" si="0"/>
        <v>42932</v>
      </c>
      <c r="B21" s="7">
        <v>42932</v>
      </c>
      <c r="C21" s="8">
        <f t="shared" si="1"/>
        <v>0</v>
      </c>
      <c r="D21" s="8">
        <v>1</v>
      </c>
    </row>
    <row r="22" spans="1:4">
      <c r="A22" s="6">
        <f t="shared" si="0"/>
        <v>42933</v>
      </c>
      <c r="B22" s="7">
        <v>42933</v>
      </c>
      <c r="C22" s="8">
        <f t="shared" si="1"/>
        <v>0</v>
      </c>
      <c r="D22" s="8">
        <v>1</v>
      </c>
    </row>
    <row r="23" spans="1:4">
      <c r="A23" s="6">
        <f t="shared" si="0"/>
        <v>42934</v>
      </c>
      <c r="B23" s="7">
        <v>42934</v>
      </c>
      <c r="C23" s="8">
        <f t="shared" si="1"/>
        <v>0</v>
      </c>
      <c r="D23" s="8">
        <v>1</v>
      </c>
    </row>
    <row r="24" spans="1:4">
      <c r="A24" s="6">
        <f t="shared" si="0"/>
        <v>42935</v>
      </c>
      <c r="B24" s="7">
        <v>42935</v>
      </c>
      <c r="C24" s="8">
        <f t="shared" si="1"/>
        <v>0</v>
      </c>
      <c r="D24" s="8">
        <v>1</v>
      </c>
    </row>
    <row r="25" spans="1:4">
      <c r="A25" s="6">
        <f t="shared" si="0"/>
        <v>42936</v>
      </c>
      <c r="B25" s="7">
        <v>42936</v>
      </c>
      <c r="C25" s="8">
        <f t="shared" si="1"/>
        <v>0</v>
      </c>
      <c r="D25" s="37">
        <v>1</v>
      </c>
    </row>
    <row r="26" spans="1:4">
      <c r="A26" s="6">
        <f t="shared" si="0"/>
        <v>42937</v>
      </c>
      <c r="B26" s="7">
        <v>42937</v>
      </c>
      <c r="C26" s="8">
        <f t="shared" si="1"/>
        <v>0</v>
      </c>
      <c r="D26" s="8">
        <v>1</v>
      </c>
    </row>
    <row r="27" spans="1:4">
      <c r="A27" s="6">
        <f t="shared" si="0"/>
        <v>42938</v>
      </c>
      <c r="B27" s="7">
        <v>42938</v>
      </c>
      <c r="C27" s="8">
        <f t="shared" si="1"/>
        <v>0</v>
      </c>
      <c r="D27" s="8">
        <v>1</v>
      </c>
    </row>
    <row r="28" spans="1:4">
      <c r="A28" s="6">
        <f t="shared" si="0"/>
        <v>42939</v>
      </c>
      <c r="B28" s="7">
        <v>42939</v>
      </c>
      <c r="C28" s="8">
        <f t="shared" si="1"/>
        <v>0</v>
      </c>
      <c r="D28" s="8">
        <v>1</v>
      </c>
    </row>
    <row r="29" spans="1:4">
      <c r="A29" s="6">
        <f t="shared" si="0"/>
        <v>42940</v>
      </c>
      <c r="B29" s="7">
        <v>42940</v>
      </c>
      <c r="C29" s="8">
        <f t="shared" si="1"/>
        <v>0</v>
      </c>
      <c r="D29" s="8">
        <v>1</v>
      </c>
    </row>
    <row r="30" spans="1:4">
      <c r="A30" s="6">
        <f t="shared" si="0"/>
        <v>42941</v>
      </c>
      <c r="B30" s="7">
        <v>42941</v>
      </c>
      <c r="C30" s="8">
        <f t="shared" si="1"/>
        <v>1</v>
      </c>
      <c r="D30" s="8">
        <v>2</v>
      </c>
    </row>
    <row r="31" spans="1:4" ht="16.5" customHeight="1">
      <c r="A31" s="6">
        <f t="shared" si="0"/>
        <v>42942</v>
      </c>
      <c r="B31" s="7">
        <v>42942</v>
      </c>
      <c r="C31" s="8">
        <f t="shared" si="1"/>
        <v>0</v>
      </c>
      <c r="D31" s="8">
        <v>2</v>
      </c>
    </row>
    <row r="32" spans="1:4" ht="15" customHeight="1">
      <c r="A32" s="6">
        <f t="shared" si="0"/>
        <v>42943</v>
      </c>
      <c r="B32" s="7">
        <v>42943</v>
      </c>
      <c r="C32" s="8">
        <f t="shared" si="1"/>
        <v>0</v>
      </c>
      <c r="D32" s="8">
        <v>2</v>
      </c>
    </row>
    <row r="33" spans="1:4">
      <c r="A33" s="6">
        <f t="shared" si="0"/>
        <v>42944</v>
      </c>
      <c r="B33" s="7">
        <v>42944</v>
      </c>
      <c r="C33" s="8">
        <f t="shared" si="1"/>
        <v>0</v>
      </c>
      <c r="D33" s="8">
        <v>2</v>
      </c>
    </row>
    <row r="34" spans="1:4">
      <c r="A34" s="6">
        <f t="shared" si="0"/>
        <v>42945</v>
      </c>
      <c r="B34" s="7">
        <v>42945</v>
      </c>
      <c r="C34" s="8">
        <f t="shared" si="1"/>
        <v>0</v>
      </c>
      <c r="D34" s="8">
        <v>2</v>
      </c>
    </row>
    <row r="35" spans="1:4">
      <c r="A35" s="6">
        <f t="shared" si="0"/>
        <v>42946</v>
      </c>
      <c r="B35" s="7">
        <v>42946</v>
      </c>
      <c r="C35" s="8">
        <f t="shared" si="1"/>
        <v>0</v>
      </c>
      <c r="D35" s="8">
        <v>2</v>
      </c>
    </row>
    <row r="36" spans="1:4">
      <c r="A36" s="6">
        <f t="shared" si="0"/>
        <v>42947</v>
      </c>
      <c r="B36" s="7">
        <v>42947</v>
      </c>
      <c r="C36" s="9">
        <f t="shared" si="1"/>
        <v>0</v>
      </c>
      <c r="D36" s="9">
        <v>2</v>
      </c>
    </row>
    <row r="37" spans="1:4">
      <c r="B37" s="10" t="s">
        <v>6</v>
      </c>
      <c r="C37" s="11">
        <f>SUM(C6:C36)</f>
        <v>2</v>
      </c>
      <c r="D37" s="12"/>
    </row>
    <row r="38" spans="1:4">
      <c r="C38" s="13"/>
    </row>
    <row r="39" spans="1:4">
      <c r="B39" s="14" t="s">
        <v>7</v>
      </c>
      <c r="C39" s="9">
        <v>5</v>
      </c>
    </row>
    <row r="40" spans="1:4">
      <c r="B40" s="14" t="s">
        <v>8</v>
      </c>
      <c r="C40" s="9">
        <f>C37</f>
        <v>2</v>
      </c>
    </row>
    <row r="41" spans="1:4">
      <c r="B41" s="14" t="s">
        <v>9</v>
      </c>
      <c r="C41" s="9">
        <f>C39-C40</f>
        <v>3</v>
      </c>
    </row>
    <row r="42" spans="1:4">
      <c r="B42" s="14" t="s">
        <v>10</v>
      </c>
      <c r="C42" s="15">
        <f>C40/C39</f>
        <v>0.4</v>
      </c>
    </row>
    <row r="43" spans="1:4">
      <c r="B43" s="14" t="s">
        <v>11</v>
      </c>
      <c r="C43" s="9">
        <f>IF(C40&lt;C39,0,C40-C39)</f>
        <v>0</v>
      </c>
    </row>
    <row r="44" spans="1:4">
      <c r="B44" s="14" t="s">
        <v>12</v>
      </c>
      <c r="C44" s="9">
        <f ca="1">(C39-C37)/C48</f>
        <v>0.1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 ht="13" customHeight="1">
      <c r="B57" s="33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8"/>
  <sheetViews>
    <sheetView showGridLines="0" workbookViewId="0">
      <selection activeCell="G38" sqref="G38"/>
    </sheetView>
  </sheetViews>
  <sheetFormatPr baseColWidth="10" defaultColWidth="8.83203125" defaultRowHeight="14" x14ac:dyDescent="0"/>
  <cols>
    <col min="1" max="1" width="13.33203125" customWidth="1"/>
    <col min="2" max="2" width="20.83203125" customWidth="1"/>
    <col min="3" max="3" width="14.6640625" bestFit="1" customWidth="1"/>
    <col min="4" max="4" width="14.83203125" customWidth="1"/>
    <col min="5" max="5" width="11.5" bestFit="1" customWidth="1"/>
    <col min="6" max="6" width="7.83203125" bestFit="1" customWidth="1"/>
  </cols>
  <sheetData>
    <row r="2" spans="1:6">
      <c r="B2" s="1" t="s">
        <v>51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4</v>
      </c>
      <c r="D5" s="5" t="s">
        <v>5</v>
      </c>
    </row>
    <row r="6" spans="1:6">
      <c r="A6" s="6">
        <f t="shared" ref="A6:A36" si="0">B6</f>
        <v>42917</v>
      </c>
      <c r="B6" s="7">
        <v>42917</v>
      </c>
      <c r="C6" s="39">
        <f>D6</f>
        <v>0</v>
      </c>
      <c r="D6" s="8">
        <v>0</v>
      </c>
      <c r="E6" s="14" t="s">
        <v>37</v>
      </c>
      <c r="F6" s="9">
        <f>AVERAGE(C6:C12)</f>
        <v>0.8571428571428571</v>
      </c>
    </row>
    <row r="7" spans="1:6">
      <c r="A7" s="6">
        <f t="shared" si="0"/>
        <v>42918</v>
      </c>
      <c r="B7" s="7">
        <v>42918</v>
      </c>
      <c r="C7" s="44">
        <f t="shared" ref="C7:C36" si="1">IF(D7-D6&lt;0,0,D7-D6)</f>
        <v>0</v>
      </c>
      <c r="D7" s="8">
        <v>0</v>
      </c>
    </row>
    <row r="8" spans="1:6">
      <c r="A8" s="6">
        <f t="shared" si="0"/>
        <v>42919</v>
      </c>
      <c r="B8" s="7">
        <v>42919</v>
      </c>
      <c r="C8" s="44">
        <f t="shared" si="1"/>
        <v>2</v>
      </c>
      <c r="D8" s="8">
        <v>2</v>
      </c>
    </row>
    <row r="9" spans="1:6">
      <c r="A9" s="6">
        <f t="shared" si="0"/>
        <v>42920</v>
      </c>
      <c r="B9" s="7">
        <v>42920</v>
      </c>
      <c r="C9" s="44">
        <f t="shared" si="1"/>
        <v>2</v>
      </c>
      <c r="D9" s="8">
        <v>4</v>
      </c>
    </row>
    <row r="10" spans="1:6">
      <c r="A10" s="6">
        <f t="shared" si="0"/>
        <v>42921</v>
      </c>
      <c r="B10" s="7">
        <v>42921</v>
      </c>
      <c r="C10" s="44">
        <f t="shared" si="1"/>
        <v>2</v>
      </c>
      <c r="D10" s="8">
        <v>6</v>
      </c>
    </row>
    <row r="11" spans="1:6">
      <c r="A11" s="6">
        <f t="shared" si="0"/>
        <v>42922</v>
      </c>
      <c r="B11" s="7">
        <v>42922</v>
      </c>
      <c r="C11" s="44">
        <f t="shared" si="1"/>
        <v>0</v>
      </c>
      <c r="D11" s="8">
        <v>6</v>
      </c>
    </row>
    <row r="12" spans="1:6">
      <c r="A12" s="6">
        <f t="shared" si="0"/>
        <v>42923</v>
      </c>
      <c r="B12" s="7">
        <v>42923</v>
      </c>
      <c r="C12" s="44">
        <f t="shared" si="1"/>
        <v>0</v>
      </c>
      <c r="D12" s="8">
        <v>6</v>
      </c>
    </row>
    <row r="13" spans="1:6">
      <c r="A13" s="6">
        <f t="shared" si="0"/>
        <v>42924</v>
      </c>
      <c r="B13" s="7">
        <v>42924</v>
      </c>
      <c r="C13" s="44">
        <f t="shared" si="1"/>
        <v>1</v>
      </c>
      <c r="D13" s="8">
        <v>7</v>
      </c>
      <c r="E13" s="14" t="s">
        <v>38</v>
      </c>
      <c r="F13" s="9">
        <f>AVERAGE(C13:C19)</f>
        <v>1.2857142857142858</v>
      </c>
    </row>
    <row r="14" spans="1:6">
      <c r="A14" s="6">
        <f t="shared" si="0"/>
        <v>42925</v>
      </c>
      <c r="B14" s="7">
        <v>42925</v>
      </c>
      <c r="C14" s="44">
        <f t="shared" si="1"/>
        <v>3</v>
      </c>
      <c r="D14" s="8">
        <v>10</v>
      </c>
    </row>
    <row r="15" spans="1:6">
      <c r="A15" s="6">
        <f t="shared" si="0"/>
        <v>42926</v>
      </c>
      <c r="B15" s="7">
        <v>42926</v>
      </c>
      <c r="C15" s="44">
        <f t="shared" si="1"/>
        <v>2</v>
      </c>
      <c r="D15" s="8">
        <v>12</v>
      </c>
    </row>
    <row r="16" spans="1:6">
      <c r="A16" s="6">
        <f t="shared" si="0"/>
        <v>42927</v>
      </c>
      <c r="B16" s="7">
        <v>42927</v>
      </c>
      <c r="C16" s="44">
        <f t="shared" si="1"/>
        <v>0</v>
      </c>
      <c r="D16" s="8">
        <v>12</v>
      </c>
    </row>
    <row r="17" spans="1:6">
      <c r="A17" s="6">
        <f t="shared" si="0"/>
        <v>42928</v>
      </c>
      <c r="B17" s="7">
        <v>42928</v>
      </c>
      <c r="C17" s="44">
        <f t="shared" si="1"/>
        <v>2</v>
      </c>
      <c r="D17" s="8">
        <v>14</v>
      </c>
    </row>
    <row r="18" spans="1:6">
      <c r="A18" s="6">
        <f t="shared" si="0"/>
        <v>42929</v>
      </c>
      <c r="B18" s="7">
        <v>42929</v>
      </c>
      <c r="C18" s="44">
        <f t="shared" si="1"/>
        <v>1</v>
      </c>
      <c r="D18" s="8">
        <v>15</v>
      </c>
    </row>
    <row r="19" spans="1:6">
      <c r="A19" s="6">
        <f t="shared" si="0"/>
        <v>42930</v>
      </c>
      <c r="B19" s="7">
        <v>42930</v>
      </c>
      <c r="C19" s="44">
        <f t="shared" si="1"/>
        <v>0</v>
      </c>
      <c r="D19" s="8">
        <f>9+5+1</f>
        <v>15</v>
      </c>
    </row>
    <row r="20" spans="1:6">
      <c r="A20" s="6">
        <f t="shared" si="0"/>
        <v>42931</v>
      </c>
      <c r="B20" s="7">
        <v>42931</v>
      </c>
      <c r="C20" s="44">
        <f t="shared" si="1"/>
        <v>2</v>
      </c>
      <c r="D20" s="8">
        <v>17</v>
      </c>
      <c r="E20" s="14" t="s">
        <v>39</v>
      </c>
      <c r="F20" s="9">
        <f>AVERAGE(C20:C26)</f>
        <v>0.42857142857142855</v>
      </c>
    </row>
    <row r="21" spans="1:6">
      <c r="A21" s="6">
        <f t="shared" si="0"/>
        <v>42932</v>
      </c>
      <c r="B21" s="7">
        <v>42932</v>
      </c>
      <c r="C21" s="44">
        <f t="shared" si="1"/>
        <v>0</v>
      </c>
      <c r="D21" s="8">
        <f>9+8</f>
        <v>17</v>
      </c>
    </row>
    <row r="22" spans="1:6">
      <c r="A22" s="6">
        <f t="shared" si="0"/>
        <v>42933</v>
      </c>
      <c r="B22" s="7">
        <v>42933</v>
      </c>
      <c r="C22" s="44">
        <f t="shared" si="1"/>
        <v>1</v>
      </c>
      <c r="D22" s="8">
        <v>18</v>
      </c>
    </row>
    <row r="23" spans="1:6">
      <c r="A23" s="6">
        <f t="shared" si="0"/>
        <v>42934</v>
      </c>
      <c r="B23" s="7">
        <v>42934</v>
      </c>
      <c r="C23" s="44">
        <f t="shared" si="1"/>
        <v>0</v>
      </c>
      <c r="D23" s="8">
        <v>18</v>
      </c>
    </row>
    <row r="24" spans="1:6">
      <c r="A24" s="6">
        <f t="shared" si="0"/>
        <v>42935</v>
      </c>
      <c r="B24" s="7">
        <v>42935</v>
      </c>
      <c r="C24" s="44">
        <f t="shared" si="1"/>
        <v>0</v>
      </c>
      <c r="D24" s="8">
        <v>18</v>
      </c>
    </row>
    <row r="25" spans="1:6">
      <c r="A25" s="6">
        <f t="shared" si="0"/>
        <v>42936</v>
      </c>
      <c r="B25" s="7">
        <v>42936</v>
      </c>
      <c r="C25" s="44">
        <f t="shared" si="1"/>
        <v>0</v>
      </c>
      <c r="D25" s="8">
        <v>18</v>
      </c>
    </row>
    <row r="26" spans="1:6">
      <c r="A26" s="6">
        <f t="shared" si="0"/>
        <v>42937</v>
      </c>
      <c r="B26" s="7">
        <v>42937</v>
      </c>
      <c r="C26" s="44">
        <f t="shared" si="1"/>
        <v>0</v>
      </c>
      <c r="D26" s="8">
        <v>18</v>
      </c>
    </row>
    <row r="27" spans="1:6">
      <c r="A27" s="6">
        <f t="shared" si="0"/>
        <v>42938</v>
      </c>
      <c r="B27" s="7">
        <v>42938</v>
      </c>
      <c r="C27" s="44">
        <f t="shared" si="1"/>
        <v>0</v>
      </c>
      <c r="D27" s="8">
        <v>18</v>
      </c>
      <c r="E27" s="14" t="s">
        <v>40</v>
      </c>
      <c r="F27" s="9">
        <f>AVERAGE(C27:C33)</f>
        <v>0.2857142857142857</v>
      </c>
    </row>
    <row r="28" spans="1:6">
      <c r="A28" s="6">
        <f t="shared" si="0"/>
        <v>42939</v>
      </c>
      <c r="B28" s="7">
        <v>42939</v>
      </c>
      <c r="C28" s="44">
        <f t="shared" si="1"/>
        <v>0</v>
      </c>
      <c r="D28" s="8">
        <v>18</v>
      </c>
    </row>
    <row r="29" spans="1:6">
      <c r="A29" s="6">
        <f t="shared" si="0"/>
        <v>42940</v>
      </c>
      <c r="B29" s="7">
        <v>42940</v>
      </c>
      <c r="C29" s="44">
        <f t="shared" si="1"/>
        <v>2</v>
      </c>
      <c r="D29" s="8">
        <v>20</v>
      </c>
    </row>
    <row r="30" spans="1:6">
      <c r="A30" s="6">
        <f t="shared" si="0"/>
        <v>42941</v>
      </c>
      <c r="B30" s="7">
        <v>42941</v>
      </c>
      <c r="C30" s="44">
        <f t="shared" si="1"/>
        <v>0</v>
      </c>
      <c r="D30" s="8">
        <v>20</v>
      </c>
    </row>
    <row r="31" spans="1:6">
      <c r="A31" s="6">
        <f t="shared" si="0"/>
        <v>42942</v>
      </c>
      <c r="B31" s="7">
        <v>42942</v>
      </c>
      <c r="C31" s="44">
        <f t="shared" si="1"/>
        <v>0</v>
      </c>
      <c r="D31" s="8">
        <v>20</v>
      </c>
    </row>
    <row r="32" spans="1:6">
      <c r="A32" s="6">
        <f t="shared" si="0"/>
        <v>42943</v>
      </c>
      <c r="B32" s="7">
        <v>42943</v>
      </c>
      <c r="C32" s="44">
        <f t="shared" si="1"/>
        <v>0</v>
      </c>
      <c r="D32" s="8">
        <v>20</v>
      </c>
    </row>
    <row r="33" spans="1:4">
      <c r="A33" s="6">
        <f t="shared" si="0"/>
        <v>42944</v>
      </c>
      <c r="B33" s="7">
        <v>42944</v>
      </c>
      <c r="C33" s="44">
        <f t="shared" si="1"/>
        <v>0</v>
      </c>
      <c r="D33" s="8">
        <v>20</v>
      </c>
    </row>
    <row r="34" spans="1:4">
      <c r="A34" s="6">
        <f t="shared" si="0"/>
        <v>42945</v>
      </c>
      <c r="B34" s="7">
        <v>42945</v>
      </c>
      <c r="C34" s="44">
        <f t="shared" si="1"/>
        <v>1</v>
      </c>
      <c r="D34" s="8">
        <v>21</v>
      </c>
    </row>
    <row r="35" spans="1:4">
      <c r="A35" s="6">
        <f t="shared" si="0"/>
        <v>42946</v>
      </c>
      <c r="B35" s="7">
        <v>42946</v>
      </c>
      <c r="C35" s="44">
        <f t="shared" si="1"/>
        <v>1</v>
      </c>
      <c r="D35" s="8">
        <v>22</v>
      </c>
    </row>
    <row r="36" spans="1:4">
      <c r="A36" s="6">
        <f t="shared" si="0"/>
        <v>42947</v>
      </c>
      <c r="B36" s="7">
        <v>42947</v>
      </c>
      <c r="C36" s="14">
        <f t="shared" si="1"/>
        <v>1</v>
      </c>
      <c r="D36" s="9">
        <v>23</v>
      </c>
    </row>
    <row r="37" spans="1:4">
      <c r="B37" s="10" t="s">
        <v>6</v>
      </c>
      <c r="C37" s="11">
        <f>SUM(C6:C36)</f>
        <v>23</v>
      </c>
      <c r="D37" s="12"/>
    </row>
    <row r="38" spans="1:4">
      <c r="C38" s="13"/>
    </row>
    <row r="39" spans="1:4">
      <c r="B39" s="14" t="s">
        <v>7</v>
      </c>
      <c r="C39" s="9">
        <v>30</v>
      </c>
    </row>
    <row r="40" spans="1:4">
      <c r="B40" s="14" t="s">
        <v>8</v>
      </c>
      <c r="C40" s="9">
        <f>C37</f>
        <v>23</v>
      </c>
    </row>
    <row r="41" spans="1:4">
      <c r="B41" s="14" t="s">
        <v>9</v>
      </c>
      <c r="C41" s="9">
        <f>C39-C40</f>
        <v>7</v>
      </c>
    </row>
    <row r="42" spans="1:4">
      <c r="B42" s="14" t="s">
        <v>10</v>
      </c>
      <c r="C42" s="15">
        <f>C40/C39</f>
        <v>0.76666666666666672</v>
      </c>
    </row>
    <row r="43" spans="1:4">
      <c r="B43" s="14" t="s">
        <v>11</v>
      </c>
      <c r="C43" s="9">
        <f>IF(C40&lt;C39,0,C40-C39)</f>
        <v>0</v>
      </c>
    </row>
    <row r="44" spans="1:4">
      <c r="B44" s="14" t="s">
        <v>12</v>
      </c>
      <c r="C44" s="9">
        <f ca="1">(C39-C37)/C48</f>
        <v>0.23333333333333334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51" t="s">
        <v>20</v>
      </c>
    </row>
    <row r="58" spans="2:4">
      <c r="B58" s="53"/>
    </row>
    <row r="59" spans="2:4">
      <c r="B59" s="53"/>
    </row>
    <row r="60" spans="2:4">
      <c r="B60" s="53"/>
    </row>
    <row r="61" spans="2:4">
      <c r="B61" s="53"/>
    </row>
    <row r="62" spans="2:4">
      <c r="B62" s="53"/>
    </row>
    <row r="63" spans="2:4">
      <c r="B63" s="53"/>
    </row>
    <row r="64" spans="2:4">
      <c r="B64" s="53"/>
    </row>
    <row r="65" spans="2:2">
      <c r="B65" s="53"/>
    </row>
    <row r="66" spans="2:2">
      <c r="B66" s="53"/>
    </row>
    <row r="67" spans="2:2">
      <c r="B67" s="53"/>
    </row>
    <row r="68" spans="2:2">
      <c r="B68" s="5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4"/>
  <sheetViews>
    <sheetView showGridLines="0" workbookViewId="0">
      <selection activeCell="C6" sqref="C6:C36"/>
    </sheetView>
  </sheetViews>
  <sheetFormatPr baseColWidth="10" defaultColWidth="8.83203125" defaultRowHeight="14" x14ac:dyDescent="0"/>
  <cols>
    <col min="1" max="1" width="11.83203125" bestFit="1" customWidth="1"/>
    <col min="2" max="2" width="24.6640625" customWidth="1"/>
    <col min="3" max="3" width="15.5" bestFit="1" customWidth="1"/>
    <col min="4" max="4" width="14.83203125" customWidth="1"/>
    <col min="5" max="5" width="11.5" bestFit="1" customWidth="1"/>
    <col min="6" max="6" width="7.83203125" bestFit="1" customWidth="1"/>
  </cols>
  <sheetData>
    <row r="2" spans="1:5">
      <c r="B2" s="1" t="s">
        <v>51</v>
      </c>
    </row>
    <row r="4" spans="1:5">
      <c r="B4" s="2" t="s">
        <v>1</v>
      </c>
      <c r="C4" s="2"/>
    </row>
    <row r="5" spans="1:5">
      <c r="A5" s="3" t="s">
        <v>2</v>
      </c>
      <c r="B5" s="4" t="s">
        <v>3</v>
      </c>
      <c r="C5" s="5" t="s">
        <v>5</v>
      </c>
    </row>
    <row r="6" spans="1:5">
      <c r="A6" s="6">
        <f t="shared" ref="A6:A36" si="0">B6</f>
        <v>42917</v>
      </c>
      <c r="B6" s="7">
        <v>42917</v>
      </c>
      <c r="C6" s="8">
        <v>48</v>
      </c>
      <c r="D6" s="44"/>
      <c r="E6" s="9" t="e">
        <f>AVERAGE(#REF!)</f>
        <v>#REF!</v>
      </c>
    </row>
    <row r="7" spans="1:5">
      <c r="A7" s="6">
        <f t="shared" si="0"/>
        <v>42918</v>
      </c>
      <c r="B7" s="7">
        <v>42918</v>
      </c>
      <c r="C7" s="8">
        <v>42</v>
      </c>
      <c r="D7" s="36"/>
    </row>
    <row r="8" spans="1:5">
      <c r="A8" s="6">
        <f t="shared" si="0"/>
        <v>42919</v>
      </c>
      <c r="B8" s="7">
        <v>42919</v>
      </c>
      <c r="C8" s="8">
        <v>93</v>
      </c>
      <c r="D8" s="36"/>
    </row>
    <row r="9" spans="1:5">
      <c r="A9" s="6">
        <f t="shared" si="0"/>
        <v>42920</v>
      </c>
      <c r="B9" s="7">
        <v>42920</v>
      </c>
      <c r="C9" s="8">
        <v>51</v>
      </c>
      <c r="D9" s="36"/>
    </row>
    <row r="10" spans="1:5">
      <c r="A10" s="6">
        <f t="shared" si="0"/>
        <v>42921</v>
      </c>
      <c r="B10" s="7">
        <v>42921</v>
      </c>
      <c r="C10" s="8">
        <v>93</v>
      </c>
      <c r="D10" s="36"/>
    </row>
    <row r="11" spans="1:5">
      <c r="A11" s="6">
        <f t="shared" si="0"/>
        <v>42922</v>
      </c>
      <c r="B11" s="7">
        <v>42922</v>
      </c>
      <c r="C11" s="8">
        <v>123</v>
      </c>
      <c r="D11" s="36"/>
    </row>
    <row r="12" spans="1:5">
      <c r="A12" s="6">
        <f t="shared" si="0"/>
        <v>42923</v>
      </c>
      <c r="B12" s="7">
        <v>42923</v>
      </c>
      <c r="C12" s="8">
        <v>93</v>
      </c>
      <c r="D12" s="36"/>
    </row>
    <row r="13" spans="1:5">
      <c r="A13" s="6">
        <f t="shared" si="0"/>
        <v>42924</v>
      </c>
      <c r="B13" s="7">
        <v>42924</v>
      </c>
      <c r="C13" s="8">
        <v>45</v>
      </c>
      <c r="D13" s="44"/>
      <c r="E13" s="9" t="e">
        <f>AVERAGE(#REF!)</f>
        <v>#REF!</v>
      </c>
    </row>
    <row r="14" spans="1:5">
      <c r="A14" s="6">
        <f t="shared" si="0"/>
        <v>42925</v>
      </c>
      <c r="B14" s="7">
        <v>42925</v>
      </c>
      <c r="C14" s="8">
        <v>39</v>
      </c>
      <c r="D14" s="36"/>
    </row>
    <row r="15" spans="1:5">
      <c r="A15" s="6">
        <f t="shared" si="0"/>
        <v>42926</v>
      </c>
      <c r="B15" s="7">
        <v>42926</v>
      </c>
      <c r="C15" s="8">
        <v>93</v>
      </c>
      <c r="D15" s="36"/>
    </row>
    <row r="16" spans="1:5">
      <c r="A16" s="6">
        <f t="shared" si="0"/>
        <v>42927</v>
      </c>
      <c r="B16" s="7">
        <v>42927</v>
      </c>
      <c r="C16" s="8">
        <v>86</v>
      </c>
      <c r="D16" s="36"/>
    </row>
    <row r="17" spans="1:5">
      <c r="A17" s="6">
        <f t="shared" si="0"/>
        <v>42928</v>
      </c>
      <c r="B17" s="7">
        <v>42928</v>
      </c>
      <c r="C17" s="8">
        <v>105</v>
      </c>
      <c r="D17" s="36"/>
    </row>
    <row r="18" spans="1:5">
      <c r="A18" s="6">
        <f t="shared" si="0"/>
        <v>42929</v>
      </c>
      <c r="B18" s="7">
        <v>42929</v>
      </c>
      <c r="C18" s="8">
        <v>85</v>
      </c>
      <c r="D18" s="36"/>
    </row>
    <row r="19" spans="1:5">
      <c r="A19" s="6">
        <f t="shared" si="0"/>
        <v>42930</v>
      </c>
      <c r="B19" s="7">
        <v>42930</v>
      </c>
      <c r="C19" s="8">
        <v>98</v>
      </c>
      <c r="D19" s="36"/>
    </row>
    <row r="20" spans="1:5">
      <c r="A20" s="6">
        <f t="shared" si="0"/>
        <v>42931</v>
      </c>
      <c r="B20" s="7">
        <v>42931</v>
      </c>
      <c r="C20" s="8">
        <v>41</v>
      </c>
      <c r="D20" s="44"/>
      <c r="E20" s="9" t="e">
        <f>AVERAGE(#REF!)</f>
        <v>#REF!</v>
      </c>
    </row>
    <row r="21" spans="1:5">
      <c r="A21" s="6">
        <f t="shared" si="0"/>
        <v>42932</v>
      </c>
      <c r="B21" s="7">
        <v>42932</v>
      </c>
      <c r="C21" s="8">
        <v>44</v>
      </c>
      <c r="D21" s="36"/>
    </row>
    <row r="22" spans="1:5">
      <c r="A22" s="6">
        <f t="shared" si="0"/>
        <v>42933</v>
      </c>
      <c r="B22" s="7">
        <v>42933</v>
      </c>
      <c r="C22" s="8">
        <v>84</v>
      </c>
      <c r="D22" s="36"/>
    </row>
    <row r="23" spans="1:5">
      <c r="A23" s="6">
        <f t="shared" si="0"/>
        <v>42934</v>
      </c>
      <c r="B23" s="7">
        <v>42934</v>
      </c>
      <c r="C23" s="8">
        <v>95</v>
      </c>
      <c r="D23" s="36"/>
    </row>
    <row r="24" spans="1:5">
      <c r="A24" s="6">
        <f t="shared" si="0"/>
        <v>42935</v>
      </c>
      <c r="B24" s="7">
        <v>42935</v>
      </c>
      <c r="C24" s="8">
        <v>133</v>
      </c>
      <c r="D24" s="36"/>
    </row>
    <row r="25" spans="1:5">
      <c r="A25" s="6">
        <f t="shared" si="0"/>
        <v>42936</v>
      </c>
      <c r="B25" s="7">
        <v>42936</v>
      </c>
      <c r="C25" s="8">
        <v>111</v>
      </c>
      <c r="D25" s="36"/>
    </row>
    <row r="26" spans="1:5">
      <c r="A26" s="6">
        <f t="shared" si="0"/>
        <v>42937</v>
      </c>
      <c r="B26" s="7">
        <v>42937</v>
      </c>
      <c r="C26" s="8">
        <v>77</v>
      </c>
      <c r="D26" s="36"/>
    </row>
    <row r="27" spans="1:5">
      <c r="A27" s="6">
        <f t="shared" si="0"/>
        <v>42938</v>
      </c>
      <c r="B27" s="7">
        <v>42938</v>
      </c>
      <c r="C27" s="8">
        <v>26</v>
      </c>
      <c r="D27" s="44"/>
      <c r="E27" s="9" t="e">
        <f>AVERAGE(#REF!)</f>
        <v>#REF!</v>
      </c>
    </row>
    <row r="28" spans="1:5">
      <c r="A28" s="6">
        <f t="shared" si="0"/>
        <v>42939</v>
      </c>
      <c r="B28" s="7">
        <v>42939</v>
      </c>
      <c r="C28" s="8">
        <v>45</v>
      </c>
      <c r="D28" s="36"/>
    </row>
    <row r="29" spans="1:5">
      <c r="A29" s="6">
        <f t="shared" si="0"/>
        <v>42940</v>
      </c>
      <c r="B29" s="7">
        <v>42940</v>
      </c>
      <c r="C29" s="8">
        <v>73</v>
      </c>
      <c r="D29" s="36"/>
    </row>
    <row r="30" spans="1:5">
      <c r="A30" s="6">
        <f t="shared" si="0"/>
        <v>42941</v>
      </c>
      <c r="B30" s="7">
        <v>42941</v>
      </c>
      <c r="C30" s="8">
        <v>98</v>
      </c>
      <c r="D30" s="36"/>
    </row>
    <row r="31" spans="1:5">
      <c r="A31" s="6">
        <f t="shared" si="0"/>
        <v>42942</v>
      </c>
      <c r="B31" s="7">
        <v>42942</v>
      </c>
      <c r="C31" s="8">
        <v>89</v>
      </c>
      <c r="D31" s="36"/>
    </row>
    <row r="32" spans="1:5">
      <c r="A32" s="6">
        <f t="shared" si="0"/>
        <v>42943</v>
      </c>
      <c r="B32" s="7">
        <v>42943</v>
      </c>
      <c r="C32" s="8">
        <v>123</v>
      </c>
      <c r="D32" s="36"/>
    </row>
    <row r="33" spans="1:4">
      <c r="A33" s="6">
        <f t="shared" si="0"/>
        <v>42944</v>
      </c>
      <c r="B33" s="7">
        <v>42944</v>
      </c>
      <c r="C33" s="8">
        <v>71</v>
      </c>
      <c r="D33" s="36"/>
    </row>
    <row r="34" spans="1:4">
      <c r="A34" s="6">
        <f t="shared" si="0"/>
        <v>42945</v>
      </c>
      <c r="B34" s="7">
        <v>42945</v>
      </c>
      <c r="C34" s="8">
        <v>35</v>
      </c>
      <c r="D34" s="36"/>
    </row>
    <row r="35" spans="1:4">
      <c r="A35" s="6">
        <f t="shared" si="0"/>
        <v>42946</v>
      </c>
      <c r="B35" s="7">
        <v>42946</v>
      </c>
      <c r="C35" s="8">
        <v>45</v>
      </c>
      <c r="D35" s="36"/>
    </row>
    <row r="36" spans="1:4">
      <c r="A36" s="6">
        <f t="shared" si="0"/>
        <v>42947</v>
      </c>
      <c r="B36" s="7">
        <v>42947</v>
      </c>
      <c r="C36" s="9">
        <v>93</v>
      </c>
    </row>
    <row r="37" spans="1:4">
      <c r="B37" s="10" t="s">
        <v>6</v>
      </c>
      <c r="C37" s="11">
        <f>SUM(C6:C36)</f>
        <v>2377</v>
      </c>
      <c r="D37" s="12"/>
    </row>
    <row r="38" spans="1:4">
      <c r="C38" s="13"/>
    </row>
    <row r="39" spans="1:4">
      <c r="B39" s="14" t="s">
        <v>7</v>
      </c>
      <c r="C39" s="9">
        <v>2808</v>
      </c>
    </row>
    <row r="40" spans="1:4">
      <c r="B40" s="14" t="s">
        <v>8</v>
      </c>
      <c r="C40" s="9">
        <f>C37</f>
        <v>2377</v>
      </c>
    </row>
    <row r="41" spans="1:4">
      <c r="B41" s="14" t="s">
        <v>9</v>
      </c>
      <c r="C41" s="9">
        <f>C39-C40</f>
        <v>431</v>
      </c>
    </row>
    <row r="42" spans="1:4">
      <c r="B42" s="14" t="s">
        <v>10</v>
      </c>
      <c r="C42" s="15">
        <f>C40/C39</f>
        <v>0.84650997150997154</v>
      </c>
    </row>
    <row r="43" spans="1:4">
      <c r="B43" s="14" t="s">
        <v>11</v>
      </c>
      <c r="C43" s="9">
        <f>IF(C40&lt;C39,0,C40-C39)</f>
        <v>0</v>
      </c>
    </row>
    <row r="44" spans="1:4">
      <c r="B44" s="14" t="s">
        <v>12</v>
      </c>
      <c r="C44" s="9">
        <f ca="1">(C39-C37)/C48</f>
        <v>14.366666666666667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51" t="s">
        <v>20</v>
      </c>
    </row>
    <row r="68" spans="3:3" ht="15.75" customHeight="1" thickBot="1"/>
    <row r="69" spans="3:3" ht="15.75" customHeight="1" thickBot="1">
      <c r="C69" s="54"/>
    </row>
    <row r="70" spans="3:3" ht="15.75" customHeight="1" thickBot="1">
      <c r="C70" s="54"/>
    </row>
    <row r="71" spans="3:3" ht="15.75" customHeight="1" thickBot="1">
      <c r="C71" s="54"/>
    </row>
    <row r="72" spans="3:3" ht="15.75" customHeight="1" thickBot="1">
      <c r="C72" s="54"/>
    </row>
    <row r="73" spans="3:3" ht="15.75" customHeight="1" thickBot="1">
      <c r="C73" s="54"/>
    </row>
    <row r="74" spans="3:3" ht="15.75" customHeight="1" thickBot="1">
      <c r="C74" s="5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8"/>
  <sheetViews>
    <sheetView showGridLines="0" topLeftCell="A13" workbookViewId="0">
      <selection activeCell="B35" sqref="B35:B36"/>
    </sheetView>
  </sheetViews>
  <sheetFormatPr baseColWidth="10" defaultColWidth="8.83203125" defaultRowHeight="14" x14ac:dyDescent="0"/>
  <cols>
    <col min="1" max="1" width="13.33203125" customWidth="1"/>
    <col min="2" max="2" width="20.83203125" customWidth="1"/>
    <col min="3" max="3" width="14.6640625" bestFit="1" customWidth="1"/>
    <col min="4" max="4" width="14.83203125" customWidth="1"/>
    <col min="5" max="5" width="11.5" bestFit="1" customWidth="1"/>
    <col min="6" max="6" width="7.83203125" bestFit="1" customWidth="1"/>
  </cols>
  <sheetData>
    <row r="2" spans="1:6">
      <c r="B2" s="1" t="s">
        <v>52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4</v>
      </c>
      <c r="D5" s="5" t="s">
        <v>5</v>
      </c>
    </row>
    <row r="6" spans="1:6">
      <c r="A6" s="6">
        <f t="shared" ref="A6:A36" si="0">B6</f>
        <v>42917</v>
      </c>
      <c r="B6" s="7">
        <v>42917</v>
      </c>
      <c r="C6" s="39">
        <f>D6</f>
        <v>0</v>
      </c>
      <c r="D6" s="8"/>
      <c r="E6" s="14" t="s">
        <v>37</v>
      </c>
      <c r="F6" s="9">
        <f>AVERAGE(C6:C12)</f>
        <v>0</v>
      </c>
    </row>
    <row r="7" spans="1:6">
      <c r="A7" s="6">
        <f t="shared" si="0"/>
        <v>42918</v>
      </c>
      <c r="B7" s="7">
        <v>42918</v>
      </c>
      <c r="C7" s="44">
        <f t="shared" ref="C7:C36" si="1">IF(D7-D6&lt;0,0,D7-D6)</f>
        <v>0</v>
      </c>
      <c r="D7" s="8"/>
    </row>
    <row r="8" spans="1:6">
      <c r="A8" s="6">
        <f t="shared" si="0"/>
        <v>42919</v>
      </c>
      <c r="B8" s="7">
        <v>42919</v>
      </c>
      <c r="C8" s="44">
        <f t="shared" si="1"/>
        <v>0</v>
      </c>
      <c r="D8" s="8"/>
    </row>
    <row r="9" spans="1:6">
      <c r="A9" s="6">
        <f t="shared" si="0"/>
        <v>42920</v>
      </c>
      <c r="B9" s="7">
        <v>42920</v>
      </c>
      <c r="C9" s="44">
        <f t="shared" si="1"/>
        <v>0</v>
      </c>
      <c r="D9" s="8"/>
    </row>
    <row r="10" spans="1:6">
      <c r="A10" s="6">
        <f t="shared" si="0"/>
        <v>42921</v>
      </c>
      <c r="B10" s="7">
        <v>42921</v>
      </c>
      <c r="C10" s="44">
        <f t="shared" si="1"/>
        <v>0</v>
      </c>
      <c r="D10" s="8"/>
    </row>
    <row r="11" spans="1:6">
      <c r="A11" s="6">
        <f t="shared" si="0"/>
        <v>42922</v>
      </c>
      <c r="B11" s="7">
        <v>42922</v>
      </c>
      <c r="C11" s="44">
        <f t="shared" si="1"/>
        <v>0</v>
      </c>
      <c r="D11" s="8"/>
    </row>
    <row r="12" spans="1:6">
      <c r="A12" s="6">
        <f t="shared" si="0"/>
        <v>42923</v>
      </c>
      <c r="B12" s="7">
        <v>42923</v>
      </c>
      <c r="C12" s="44">
        <f t="shared" si="1"/>
        <v>0</v>
      </c>
      <c r="D12" s="8"/>
    </row>
    <row r="13" spans="1:6">
      <c r="A13" s="6">
        <f t="shared" si="0"/>
        <v>42924</v>
      </c>
      <c r="B13" s="7">
        <v>42924</v>
      </c>
      <c r="C13" s="44">
        <f t="shared" si="1"/>
        <v>0</v>
      </c>
      <c r="D13" s="8"/>
      <c r="E13" s="14" t="s">
        <v>38</v>
      </c>
      <c r="F13" s="9">
        <f>AVERAGE(C13:C19)</f>
        <v>0</v>
      </c>
    </row>
    <row r="14" spans="1:6">
      <c r="A14" s="6">
        <f t="shared" si="0"/>
        <v>42925</v>
      </c>
      <c r="B14" s="7">
        <v>42925</v>
      </c>
      <c r="C14" s="44">
        <f t="shared" si="1"/>
        <v>0</v>
      </c>
      <c r="D14" s="8"/>
    </row>
    <row r="15" spans="1:6">
      <c r="A15" s="6">
        <f t="shared" si="0"/>
        <v>42926</v>
      </c>
      <c r="B15" s="7">
        <v>42926</v>
      </c>
      <c r="C15" s="44">
        <f t="shared" si="1"/>
        <v>0</v>
      </c>
      <c r="D15" s="8"/>
    </row>
    <row r="16" spans="1:6">
      <c r="A16" s="6">
        <f t="shared" si="0"/>
        <v>42927</v>
      </c>
      <c r="B16" s="7">
        <v>42927</v>
      </c>
      <c r="C16" s="44">
        <f t="shared" si="1"/>
        <v>0</v>
      </c>
      <c r="D16" s="8"/>
    </row>
    <row r="17" spans="1:6">
      <c r="A17" s="6">
        <f t="shared" si="0"/>
        <v>42928</v>
      </c>
      <c r="B17" s="7">
        <v>42928</v>
      </c>
      <c r="C17" s="44">
        <f t="shared" si="1"/>
        <v>0</v>
      </c>
      <c r="D17" s="8"/>
    </row>
    <row r="18" spans="1:6">
      <c r="A18" s="6">
        <f t="shared" si="0"/>
        <v>42929</v>
      </c>
      <c r="B18" s="7">
        <v>42929</v>
      </c>
      <c r="C18" s="44">
        <f t="shared" si="1"/>
        <v>0</v>
      </c>
      <c r="D18" s="8"/>
    </row>
    <row r="19" spans="1:6">
      <c r="A19" s="6">
        <f t="shared" si="0"/>
        <v>42930</v>
      </c>
      <c r="B19" s="7">
        <v>42930</v>
      </c>
      <c r="C19" s="44">
        <f t="shared" si="1"/>
        <v>0</v>
      </c>
      <c r="D19" s="8"/>
    </row>
    <row r="20" spans="1:6">
      <c r="A20" s="6">
        <f t="shared" si="0"/>
        <v>42931</v>
      </c>
      <c r="B20" s="7">
        <v>42931</v>
      </c>
      <c r="C20" s="44">
        <f t="shared" si="1"/>
        <v>0</v>
      </c>
      <c r="D20" s="8"/>
      <c r="E20" s="14" t="s">
        <v>39</v>
      </c>
      <c r="F20" s="9">
        <f>AVERAGE(C20:C26)</f>
        <v>0</v>
      </c>
    </row>
    <row r="21" spans="1:6">
      <c r="A21" s="6">
        <f t="shared" si="0"/>
        <v>42932</v>
      </c>
      <c r="B21" s="7">
        <v>42932</v>
      </c>
      <c r="C21" s="44">
        <f t="shared" si="1"/>
        <v>0</v>
      </c>
      <c r="D21" s="37"/>
    </row>
    <row r="22" spans="1:6">
      <c r="A22" s="6">
        <f t="shared" si="0"/>
        <v>42933</v>
      </c>
      <c r="B22" s="7">
        <v>42933</v>
      </c>
      <c r="C22" s="44">
        <f t="shared" si="1"/>
        <v>0</v>
      </c>
      <c r="D22" s="8"/>
    </row>
    <row r="23" spans="1:6">
      <c r="A23" s="6">
        <f t="shared" si="0"/>
        <v>42934</v>
      </c>
      <c r="B23" s="7">
        <v>42934</v>
      </c>
      <c r="C23" s="44">
        <f t="shared" si="1"/>
        <v>0</v>
      </c>
      <c r="D23" s="8"/>
    </row>
    <row r="24" spans="1:6">
      <c r="A24" s="6">
        <f t="shared" si="0"/>
        <v>42935</v>
      </c>
      <c r="B24" s="7">
        <v>42935</v>
      </c>
      <c r="C24" s="44">
        <f t="shared" si="1"/>
        <v>0</v>
      </c>
      <c r="D24" s="8"/>
    </row>
    <row r="25" spans="1:6">
      <c r="A25" s="6">
        <f t="shared" si="0"/>
        <v>42936</v>
      </c>
      <c r="B25" s="7">
        <v>42936</v>
      </c>
      <c r="C25" s="44">
        <f t="shared" si="1"/>
        <v>0</v>
      </c>
      <c r="D25" s="8"/>
    </row>
    <row r="26" spans="1:6">
      <c r="A26" s="6">
        <f t="shared" si="0"/>
        <v>42937</v>
      </c>
      <c r="B26" s="7">
        <v>42937</v>
      </c>
      <c r="C26" s="44">
        <f t="shared" si="1"/>
        <v>0</v>
      </c>
      <c r="D26" s="8"/>
    </row>
    <row r="27" spans="1:6">
      <c r="A27" s="6">
        <f t="shared" si="0"/>
        <v>42938</v>
      </c>
      <c r="B27" s="7">
        <v>42938</v>
      </c>
      <c r="C27" s="44">
        <f t="shared" si="1"/>
        <v>0</v>
      </c>
      <c r="D27" s="8"/>
      <c r="E27" s="14" t="s">
        <v>40</v>
      </c>
      <c r="F27" s="9">
        <f>AVERAGE(C27:C33)</f>
        <v>0</v>
      </c>
    </row>
    <row r="28" spans="1:6">
      <c r="A28" s="6">
        <f t="shared" si="0"/>
        <v>42939</v>
      </c>
      <c r="B28" s="7">
        <v>42939</v>
      </c>
      <c r="C28" s="44">
        <f t="shared" si="1"/>
        <v>0</v>
      </c>
      <c r="D28" s="8"/>
    </row>
    <row r="29" spans="1:6">
      <c r="A29" s="6">
        <f t="shared" si="0"/>
        <v>42940</v>
      </c>
      <c r="B29" s="7">
        <v>42940</v>
      </c>
      <c r="C29" s="44">
        <f t="shared" si="1"/>
        <v>0</v>
      </c>
      <c r="D29" s="8"/>
    </row>
    <row r="30" spans="1:6">
      <c r="A30" s="6">
        <f t="shared" si="0"/>
        <v>42941</v>
      </c>
      <c r="B30" s="7">
        <v>42941</v>
      </c>
      <c r="C30" s="44">
        <f t="shared" si="1"/>
        <v>0</v>
      </c>
      <c r="D30" s="8"/>
    </row>
    <row r="31" spans="1:6">
      <c r="A31" s="6">
        <f t="shared" si="0"/>
        <v>42942</v>
      </c>
      <c r="B31" s="7">
        <v>42942</v>
      </c>
      <c r="C31" s="44">
        <f t="shared" si="1"/>
        <v>0</v>
      </c>
      <c r="D31" s="8"/>
    </row>
    <row r="32" spans="1:6">
      <c r="A32" s="6">
        <f t="shared" si="0"/>
        <v>42943</v>
      </c>
      <c r="B32" s="7">
        <v>42943</v>
      </c>
      <c r="C32" s="44">
        <f t="shared" si="1"/>
        <v>0</v>
      </c>
      <c r="D32" s="8"/>
    </row>
    <row r="33" spans="1:4">
      <c r="A33" s="6">
        <f t="shared" si="0"/>
        <v>42944</v>
      </c>
      <c r="B33" s="7">
        <v>42944</v>
      </c>
      <c r="C33" s="44">
        <f t="shared" si="1"/>
        <v>0</v>
      </c>
      <c r="D33" s="8"/>
    </row>
    <row r="34" spans="1:4">
      <c r="A34" s="6">
        <f t="shared" si="0"/>
        <v>42945</v>
      </c>
      <c r="B34" s="7">
        <v>42945</v>
      </c>
      <c r="C34" s="44">
        <f t="shared" si="1"/>
        <v>0</v>
      </c>
      <c r="D34" s="8"/>
    </row>
    <row r="35" spans="1:4">
      <c r="A35" s="6">
        <f t="shared" si="0"/>
        <v>42946</v>
      </c>
      <c r="B35" s="7">
        <v>42946</v>
      </c>
      <c r="C35" s="44">
        <f t="shared" si="1"/>
        <v>0</v>
      </c>
      <c r="D35" s="8"/>
    </row>
    <row r="36" spans="1:4">
      <c r="A36" s="6">
        <f t="shared" si="0"/>
        <v>42947</v>
      </c>
      <c r="B36" s="7">
        <v>42947</v>
      </c>
      <c r="C36" s="14">
        <f t="shared" si="1"/>
        <v>0</v>
      </c>
      <c r="D36" s="9"/>
    </row>
    <row r="37" spans="1:4">
      <c r="B37" s="10" t="s">
        <v>6</v>
      </c>
      <c r="C37" s="11">
        <f>SUM(C6:C35)</f>
        <v>0</v>
      </c>
      <c r="D37" s="12"/>
    </row>
    <row r="38" spans="1:4">
      <c r="C38" s="13"/>
    </row>
    <row r="39" spans="1:4">
      <c r="B39" s="14" t="s">
        <v>7</v>
      </c>
      <c r="C39" s="9">
        <v>65</v>
      </c>
    </row>
    <row r="40" spans="1:4">
      <c r="B40" s="14" t="s">
        <v>8</v>
      </c>
      <c r="C40" s="9">
        <f>C37</f>
        <v>0</v>
      </c>
    </row>
    <row r="41" spans="1:4">
      <c r="B41" s="14" t="s">
        <v>9</v>
      </c>
      <c r="C41" s="9">
        <f>C39-C40</f>
        <v>65</v>
      </c>
    </row>
    <row r="42" spans="1:4">
      <c r="B42" s="14" t="s">
        <v>10</v>
      </c>
      <c r="C42" s="15">
        <f>C40/C39</f>
        <v>0</v>
      </c>
    </row>
    <row r="43" spans="1:4">
      <c r="B43" s="14" t="s">
        <v>11</v>
      </c>
      <c r="C43" s="9">
        <f>IF(C40&lt;C39,0,C40-C39)</f>
        <v>0</v>
      </c>
    </row>
    <row r="44" spans="1:4">
      <c r="B44" s="14" t="s">
        <v>12</v>
      </c>
      <c r="C44" s="9">
        <f ca="1">(C39-C37)/C48</f>
        <v>2.1666666666666665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51" t="s">
        <v>20</v>
      </c>
    </row>
    <row r="58" spans="2:4">
      <c r="B58" s="53"/>
    </row>
    <row r="59" spans="2:4">
      <c r="B59" s="53"/>
    </row>
    <row r="60" spans="2:4">
      <c r="B60" s="53"/>
    </row>
    <row r="61" spans="2:4">
      <c r="B61" s="53"/>
    </row>
    <row r="62" spans="2:4">
      <c r="B62" s="53"/>
    </row>
    <row r="63" spans="2:4">
      <c r="B63" s="53"/>
    </row>
    <row r="64" spans="2:4">
      <c r="B64" s="53"/>
    </row>
    <row r="65" spans="2:2">
      <c r="B65" s="53"/>
    </row>
    <row r="66" spans="2:2">
      <c r="B66" s="53"/>
    </row>
    <row r="67" spans="2:2">
      <c r="B67" s="53"/>
    </row>
    <row r="68" spans="2:2">
      <c r="B68" s="5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4"/>
  <sheetViews>
    <sheetView showGridLines="0" topLeftCell="A4" workbookViewId="0">
      <selection activeCell="B35" sqref="B35:B36"/>
    </sheetView>
  </sheetViews>
  <sheetFormatPr baseColWidth="10" defaultColWidth="8.83203125" defaultRowHeight="14" x14ac:dyDescent="0"/>
  <cols>
    <col min="1" max="1" width="11.83203125" bestFit="1" customWidth="1"/>
    <col min="2" max="2" width="24.6640625" customWidth="1"/>
    <col min="3" max="3" width="15.5" bestFit="1" customWidth="1"/>
    <col min="4" max="4" width="14.83203125" customWidth="1"/>
    <col min="5" max="5" width="11.5" bestFit="1" customWidth="1"/>
    <col min="6" max="6" width="7.83203125" bestFit="1" customWidth="1"/>
  </cols>
  <sheetData>
    <row r="2" spans="1:5">
      <c r="B2" s="1" t="s">
        <v>51</v>
      </c>
    </row>
    <row r="4" spans="1:5">
      <c r="B4" s="2" t="s">
        <v>1</v>
      </c>
      <c r="C4" s="2"/>
    </row>
    <row r="5" spans="1:5">
      <c r="A5" s="3" t="s">
        <v>2</v>
      </c>
      <c r="B5" s="4" t="s">
        <v>3</v>
      </c>
      <c r="C5" s="5" t="s">
        <v>5</v>
      </c>
    </row>
    <row r="6" spans="1:5">
      <c r="A6" s="6">
        <f t="shared" ref="A6:A36" si="0">B6</f>
        <v>42917</v>
      </c>
      <c r="B6" s="7">
        <v>42917</v>
      </c>
      <c r="C6" s="8"/>
      <c r="D6" s="44"/>
      <c r="E6" s="9" t="e">
        <f>AVERAGE(#REF!)</f>
        <v>#REF!</v>
      </c>
    </row>
    <row r="7" spans="1:5">
      <c r="A7" s="6">
        <f t="shared" si="0"/>
        <v>42918</v>
      </c>
      <c r="B7" s="7">
        <v>42918</v>
      </c>
      <c r="C7" s="8"/>
      <c r="D7" s="36"/>
    </row>
    <row r="8" spans="1:5">
      <c r="A8" s="6">
        <f t="shared" si="0"/>
        <v>42919</v>
      </c>
      <c r="B8" s="7">
        <v>42919</v>
      </c>
      <c r="C8" s="8"/>
      <c r="D8" s="36"/>
    </row>
    <row r="9" spans="1:5">
      <c r="A9" s="6">
        <f t="shared" si="0"/>
        <v>42920</v>
      </c>
      <c r="B9" s="7">
        <v>42920</v>
      </c>
      <c r="C9" s="8"/>
      <c r="D9" s="36"/>
    </row>
    <row r="10" spans="1:5">
      <c r="A10" s="6">
        <f t="shared" si="0"/>
        <v>42921</v>
      </c>
      <c r="B10" s="7">
        <v>42921</v>
      </c>
      <c r="C10" s="8"/>
      <c r="D10" s="36"/>
    </row>
    <row r="11" spans="1:5">
      <c r="A11" s="6">
        <f t="shared" si="0"/>
        <v>42922</v>
      </c>
      <c r="B11" s="7">
        <v>42922</v>
      </c>
      <c r="C11" s="8"/>
      <c r="D11" s="36"/>
    </row>
    <row r="12" spans="1:5">
      <c r="A12" s="6">
        <f t="shared" si="0"/>
        <v>42923</v>
      </c>
      <c r="B12" s="7">
        <v>42923</v>
      </c>
      <c r="C12" s="8"/>
      <c r="D12" s="36"/>
    </row>
    <row r="13" spans="1:5">
      <c r="A13" s="6">
        <f t="shared" si="0"/>
        <v>42924</v>
      </c>
      <c r="B13" s="7">
        <v>42924</v>
      </c>
      <c r="C13" s="8"/>
      <c r="D13" s="44"/>
      <c r="E13" s="9" t="e">
        <f>AVERAGE(#REF!)</f>
        <v>#REF!</v>
      </c>
    </row>
    <row r="14" spans="1:5">
      <c r="A14" s="6">
        <f t="shared" si="0"/>
        <v>42925</v>
      </c>
      <c r="B14" s="7">
        <v>42925</v>
      </c>
      <c r="C14" s="8"/>
      <c r="D14" s="36"/>
    </row>
    <row r="15" spans="1:5">
      <c r="A15" s="6">
        <f t="shared" si="0"/>
        <v>42926</v>
      </c>
      <c r="B15" s="7">
        <v>42926</v>
      </c>
      <c r="C15" s="8"/>
      <c r="D15" s="36"/>
    </row>
    <row r="16" spans="1:5">
      <c r="A16" s="6">
        <f t="shared" si="0"/>
        <v>42927</v>
      </c>
      <c r="B16" s="7">
        <v>42927</v>
      </c>
      <c r="C16" s="8"/>
      <c r="D16" s="36"/>
    </row>
    <row r="17" spans="1:5">
      <c r="A17" s="6">
        <f t="shared" si="0"/>
        <v>42928</v>
      </c>
      <c r="B17" s="7">
        <v>42928</v>
      </c>
      <c r="C17" s="8"/>
      <c r="D17" s="36"/>
    </row>
    <row r="18" spans="1:5">
      <c r="A18" s="6">
        <f t="shared" si="0"/>
        <v>42929</v>
      </c>
      <c r="B18" s="7">
        <v>42929</v>
      </c>
      <c r="C18" s="8"/>
      <c r="D18" s="36"/>
    </row>
    <row r="19" spans="1:5">
      <c r="A19" s="6">
        <f t="shared" si="0"/>
        <v>42930</v>
      </c>
      <c r="B19" s="7">
        <v>42930</v>
      </c>
      <c r="C19" s="8"/>
      <c r="D19" s="36"/>
    </row>
    <row r="20" spans="1:5">
      <c r="A20" s="6">
        <f t="shared" si="0"/>
        <v>42931</v>
      </c>
      <c r="B20" s="7">
        <v>42931</v>
      </c>
      <c r="C20" s="8"/>
      <c r="D20" s="44"/>
      <c r="E20" s="9" t="e">
        <f>AVERAGE(#REF!)</f>
        <v>#REF!</v>
      </c>
    </row>
    <row r="21" spans="1:5">
      <c r="A21" s="6">
        <f t="shared" si="0"/>
        <v>42932</v>
      </c>
      <c r="B21" s="7">
        <v>42932</v>
      </c>
      <c r="C21" s="8"/>
      <c r="D21" s="36"/>
    </row>
    <row r="22" spans="1:5">
      <c r="A22" s="6">
        <f t="shared" si="0"/>
        <v>42933</v>
      </c>
      <c r="B22" s="7">
        <v>42933</v>
      </c>
      <c r="C22" s="8"/>
      <c r="D22" s="36"/>
    </row>
    <row r="23" spans="1:5">
      <c r="A23" s="6">
        <f t="shared" si="0"/>
        <v>42934</v>
      </c>
      <c r="B23" s="7">
        <v>42934</v>
      </c>
      <c r="C23" s="8"/>
      <c r="D23" s="36"/>
    </row>
    <row r="24" spans="1:5">
      <c r="A24" s="6">
        <f t="shared" si="0"/>
        <v>42935</v>
      </c>
      <c r="B24" s="7">
        <v>42935</v>
      </c>
      <c r="C24" s="8"/>
      <c r="D24" s="36"/>
    </row>
    <row r="25" spans="1:5">
      <c r="A25" s="6">
        <f t="shared" si="0"/>
        <v>42936</v>
      </c>
      <c r="B25" s="7">
        <v>42936</v>
      </c>
      <c r="C25" s="8"/>
      <c r="D25" s="36"/>
    </row>
    <row r="26" spans="1:5">
      <c r="A26" s="6">
        <f t="shared" si="0"/>
        <v>42937</v>
      </c>
      <c r="B26" s="7">
        <v>42937</v>
      </c>
      <c r="C26" s="8"/>
      <c r="D26" s="36"/>
    </row>
    <row r="27" spans="1:5">
      <c r="A27" s="6">
        <f t="shared" si="0"/>
        <v>42938</v>
      </c>
      <c r="B27" s="7">
        <v>42938</v>
      </c>
      <c r="C27" s="8"/>
      <c r="D27" s="44"/>
      <c r="E27" s="9" t="e">
        <f>AVERAGE(#REF!)</f>
        <v>#REF!</v>
      </c>
    </row>
    <row r="28" spans="1:5">
      <c r="A28" s="6">
        <f t="shared" si="0"/>
        <v>42939</v>
      </c>
      <c r="B28" s="7">
        <v>42939</v>
      </c>
      <c r="C28" s="8"/>
      <c r="D28" s="36"/>
    </row>
    <row r="29" spans="1:5">
      <c r="A29" s="6">
        <f t="shared" si="0"/>
        <v>42940</v>
      </c>
      <c r="B29" s="7">
        <v>42940</v>
      </c>
      <c r="C29" s="8"/>
      <c r="D29" s="36"/>
    </row>
    <row r="30" spans="1:5">
      <c r="A30" s="6">
        <f t="shared" si="0"/>
        <v>42941</v>
      </c>
      <c r="B30" s="7">
        <v>42941</v>
      </c>
      <c r="C30" s="8"/>
      <c r="D30" s="36"/>
    </row>
    <row r="31" spans="1:5">
      <c r="A31" s="6">
        <f t="shared" si="0"/>
        <v>42942</v>
      </c>
      <c r="B31" s="7">
        <v>42942</v>
      </c>
      <c r="C31" s="8"/>
      <c r="D31" s="36"/>
    </row>
    <row r="32" spans="1:5">
      <c r="A32" s="6">
        <f t="shared" si="0"/>
        <v>42943</v>
      </c>
      <c r="B32" s="7">
        <v>42943</v>
      </c>
      <c r="C32" s="8"/>
      <c r="D32" s="36"/>
    </row>
    <row r="33" spans="1:4">
      <c r="A33" s="6">
        <f t="shared" si="0"/>
        <v>42944</v>
      </c>
      <c r="B33" s="7">
        <v>42944</v>
      </c>
      <c r="C33" s="8"/>
      <c r="D33" s="36"/>
    </row>
    <row r="34" spans="1:4">
      <c r="A34" s="6">
        <f t="shared" si="0"/>
        <v>42945</v>
      </c>
      <c r="B34" s="7">
        <v>42945</v>
      </c>
      <c r="C34" s="8"/>
      <c r="D34" s="36"/>
    </row>
    <row r="35" spans="1:4">
      <c r="A35" s="6">
        <f t="shared" si="0"/>
        <v>42946</v>
      </c>
      <c r="B35" s="7">
        <v>42946</v>
      </c>
      <c r="C35" s="8"/>
      <c r="D35" s="36"/>
    </row>
    <row r="36" spans="1:4">
      <c r="A36" s="6">
        <f t="shared" si="0"/>
        <v>42947</v>
      </c>
      <c r="B36" s="7">
        <v>42947</v>
      </c>
      <c r="C36" s="9"/>
    </row>
    <row r="37" spans="1:4">
      <c r="B37" s="10" t="s">
        <v>6</v>
      </c>
      <c r="C37" s="11">
        <f>SUM(C6:C35)</f>
        <v>0</v>
      </c>
      <c r="D37" s="12"/>
    </row>
    <row r="38" spans="1:4">
      <c r="C38" s="13"/>
    </row>
    <row r="39" spans="1:4">
      <c r="B39" s="14" t="s">
        <v>7</v>
      </c>
      <c r="C39" s="9">
        <v>8186</v>
      </c>
    </row>
    <row r="40" spans="1:4">
      <c r="B40" s="14" t="s">
        <v>8</v>
      </c>
      <c r="C40" s="9">
        <f>C37</f>
        <v>0</v>
      </c>
    </row>
    <row r="41" spans="1:4">
      <c r="B41" s="14" t="s">
        <v>9</v>
      </c>
      <c r="C41" s="9">
        <f>C39-C40</f>
        <v>8186</v>
      </c>
    </row>
    <row r="42" spans="1:4">
      <c r="B42" s="14" t="s">
        <v>10</v>
      </c>
      <c r="C42" s="15">
        <f>C40/C39</f>
        <v>0</v>
      </c>
    </row>
    <row r="43" spans="1:4">
      <c r="B43" s="14" t="s">
        <v>11</v>
      </c>
      <c r="C43" s="9">
        <f>IF(C40&lt;C39,0,C40-C39)</f>
        <v>0</v>
      </c>
    </row>
    <row r="44" spans="1:4">
      <c r="B44" s="14" t="s">
        <v>12</v>
      </c>
      <c r="C44" s="9">
        <f ca="1">(C39-C37)/C48</f>
        <v>272.86666666666667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51" t="s">
        <v>20</v>
      </c>
    </row>
    <row r="68" spans="3:3" ht="15.75" customHeight="1" thickBot="1"/>
    <row r="69" spans="3:3" ht="15.75" customHeight="1" thickBot="1">
      <c r="C69" s="54"/>
    </row>
    <row r="70" spans="3:3" ht="15.75" customHeight="1" thickBot="1">
      <c r="C70" s="54"/>
    </row>
    <row r="71" spans="3:3" ht="15.75" customHeight="1" thickBot="1">
      <c r="C71" s="54"/>
    </row>
    <row r="72" spans="3:3" ht="15.75" customHeight="1" thickBot="1">
      <c r="C72" s="54"/>
    </row>
    <row r="73" spans="3:3" ht="15.75" customHeight="1" thickBot="1">
      <c r="C73" s="54"/>
    </row>
    <row r="74" spans="3:3" ht="15.75" customHeight="1" thickBot="1">
      <c r="C74" s="5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8"/>
  <sheetViews>
    <sheetView showGridLines="0" workbookViewId="0">
      <selection activeCell="D10" sqref="D10"/>
    </sheetView>
  </sheetViews>
  <sheetFormatPr baseColWidth="10" defaultColWidth="8.83203125" defaultRowHeight="14" x14ac:dyDescent="0"/>
  <cols>
    <col min="1" max="1" width="13.33203125" customWidth="1"/>
    <col min="2" max="2" width="20.83203125" customWidth="1"/>
    <col min="3" max="3" width="14.6640625" bestFit="1" customWidth="1"/>
    <col min="4" max="4" width="14.83203125" customWidth="1"/>
    <col min="5" max="5" width="11.5" bestFit="1" customWidth="1"/>
    <col min="6" max="6" width="7.83203125" bestFit="1" customWidth="1"/>
  </cols>
  <sheetData>
    <row r="2" spans="1:6">
      <c r="B2" s="1" t="s">
        <v>81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4</v>
      </c>
      <c r="D5" s="5" t="s">
        <v>5</v>
      </c>
    </row>
    <row r="6" spans="1:6">
      <c r="A6" s="6">
        <f t="shared" ref="A6:A36" si="0">B6</f>
        <v>42917</v>
      </c>
      <c r="B6" s="7">
        <v>42917</v>
      </c>
      <c r="C6" s="39">
        <f>D6</f>
        <v>5</v>
      </c>
      <c r="D6" s="8">
        <v>5</v>
      </c>
      <c r="E6" s="14" t="s">
        <v>37</v>
      </c>
      <c r="F6" s="9">
        <f>AVERAGE(C6:C12)</f>
        <v>1.5714285714285714</v>
      </c>
    </row>
    <row r="7" spans="1:6">
      <c r="A7" s="6">
        <f t="shared" si="0"/>
        <v>42918</v>
      </c>
      <c r="B7" s="7">
        <v>42918</v>
      </c>
      <c r="C7" s="44">
        <f t="shared" ref="C7:C36" si="1">IF(D7-D6&lt;0,0,D7-D6)</f>
        <v>1</v>
      </c>
      <c r="D7" s="8">
        <v>6</v>
      </c>
    </row>
    <row r="8" spans="1:6">
      <c r="A8" s="6">
        <f t="shared" si="0"/>
        <v>42919</v>
      </c>
      <c r="B8" s="7">
        <v>42919</v>
      </c>
      <c r="C8" s="44">
        <f t="shared" si="1"/>
        <v>2</v>
      </c>
      <c r="D8" s="8">
        <v>8</v>
      </c>
    </row>
    <row r="9" spans="1:6">
      <c r="A9" s="6">
        <f t="shared" si="0"/>
        <v>42920</v>
      </c>
      <c r="B9" s="7">
        <v>42920</v>
      </c>
      <c r="C9" s="44">
        <f t="shared" si="1"/>
        <v>3</v>
      </c>
      <c r="D9" s="8">
        <v>11</v>
      </c>
    </row>
    <row r="10" spans="1:6">
      <c r="A10" s="6">
        <f t="shared" si="0"/>
        <v>42921</v>
      </c>
      <c r="B10" s="7">
        <v>42921</v>
      </c>
      <c r="C10" s="44">
        <f t="shared" si="1"/>
        <v>0</v>
      </c>
      <c r="D10" s="8"/>
    </row>
    <row r="11" spans="1:6">
      <c r="A11" s="6">
        <f t="shared" si="0"/>
        <v>42922</v>
      </c>
      <c r="B11" s="7">
        <v>42922</v>
      </c>
      <c r="C11" s="44">
        <f t="shared" si="1"/>
        <v>0</v>
      </c>
      <c r="D11" s="8"/>
    </row>
    <row r="12" spans="1:6">
      <c r="A12" s="6">
        <f t="shared" si="0"/>
        <v>42923</v>
      </c>
      <c r="B12" s="7">
        <v>42923</v>
      </c>
      <c r="C12" s="44">
        <f t="shared" si="1"/>
        <v>0</v>
      </c>
      <c r="D12" s="8"/>
    </row>
    <row r="13" spans="1:6">
      <c r="A13" s="6">
        <f t="shared" si="0"/>
        <v>42924</v>
      </c>
      <c r="B13" s="7">
        <v>42924</v>
      </c>
      <c r="C13" s="44">
        <f t="shared" si="1"/>
        <v>0</v>
      </c>
      <c r="D13" s="8"/>
      <c r="E13" s="14" t="s">
        <v>38</v>
      </c>
      <c r="F13" s="9">
        <f>AVERAGE(C13:C19)</f>
        <v>0</v>
      </c>
    </row>
    <row r="14" spans="1:6">
      <c r="A14" s="6">
        <f t="shared" si="0"/>
        <v>42925</v>
      </c>
      <c r="B14" s="7">
        <v>42925</v>
      </c>
      <c r="C14" s="44">
        <f t="shared" si="1"/>
        <v>0</v>
      </c>
      <c r="D14" s="8"/>
    </row>
    <row r="15" spans="1:6">
      <c r="A15" s="6">
        <f t="shared" si="0"/>
        <v>42926</v>
      </c>
      <c r="B15" s="7">
        <v>42926</v>
      </c>
      <c r="C15" s="44">
        <f t="shared" si="1"/>
        <v>0</v>
      </c>
      <c r="D15" s="8"/>
    </row>
    <row r="16" spans="1:6">
      <c r="A16" s="6">
        <f t="shared" si="0"/>
        <v>42927</v>
      </c>
      <c r="B16" s="7">
        <v>42927</v>
      </c>
      <c r="C16" s="44">
        <f t="shared" si="1"/>
        <v>0</v>
      </c>
      <c r="D16" s="8"/>
    </row>
    <row r="17" spans="1:6">
      <c r="A17" s="6">
        <f t="shared" si="0"/>
        <v>42928</v>
      </c>
      <c r="B17" s="7">
        <v>42928</v>
      </c>
      <c r="C17" s="44">
        <f t="shared" si="1"/>
        <v>0</v>
      </c>
      <c r="D17" s="8"/>
    </row>
    <row r="18" spans="1:6">
      <c r="A18" s="6">
        <f t="shared" si="0"/>
        <v>42929</v>
      </c>
      <c r="B18" s="7">
        <v>42929</v>
      </c>
      <c r="C18" s="44">
        <f t="shared" si="1"/>
        <v>0</v>
      </c>
      <c r="D18" s="8"/>
    </row>
    <row r="19" spans="1:6">
      <c r="A19" s="6">
        <f t="shared" si="0"/>
        <v>42930</v>
      </c>
      <c r="B19" s="7">
        <v>42930</v>
      </c>
      <c r="C19" s="44">
        <f t="shared" si="1"/>
        <v>0</v>
      </c>
      <c r="D19" s="8"/>
    </row>
    <row r="20" spans="1:6">
      <c r="A20" s="6">
        <f t="shared" si="0"/>
        <v>42931</v>
      </c>
      <c r="B20" s="7">
        <v>42931</v>
      </c>
      <c r="C20" s="44">
        <f t="shared" si="1"/>
        <v>0</v>
      </c>
      <c r="D20" s="8"/>
      <c r="E20" s="14" t="s">
        <v>39</v>
      </c>
      <c r="F20" s="9">
        <f>AVERAGE(C20:C26)</f>
        <v>0</v>
      </c>
    </row>
    <row r="21" spans="1:6">
      <c r="A21" s="6">
        <f t="shared" si="0"/>
        <v>42932</v>
      </c>
      <c r="B21" s="7">
        <v>42932</v>
      </c>
      <c r="C21" s="44">
        <f t="shared" si="1"/>
        <v>0</v>
      </c>
      <c r="D21" s="8"/>
    </row>
    <row r="22" spans="1:6">
      <c r="A22" s="6">
        <f t="shared" si="0"/>
        <v>42933</v>
      </c>
      <c r="B22" s="7">
        <v>42933</v>
      </c>
      <c r="C22" s="44">
        <f t="shared" si="1"/>
        <v>0</v>
      </c>
      <c r="D22" s="8"/>
    </row>
    <row r="23" spans="1:6">
      <c r="A23" s="6">
        <f t="shared" si="0"/>
        <v>42934</v>
      </c>
      <c r="B23" s="7">
        <v>42934</v>
      </c>
      <c r="C23" s="44">
        <f t="shared" si="1"/>
        <v>0</v>
      </c>
      <c r="D23" s="8"/>
    </row>
    <row r="24" spans="1:6">
      <c r="A24" s="6">
        <f t="shared" si="0"/>
        <v>42935</v>
      </c>
      <c r="B24" s="7">
        <v>42935</v>
      </c>
      <c r="C24" s="44">
        <f t="shared" si="1"/>
        <v>0</v>
      </c>
      <c r="D24" s="8"/>
    </row>
    <row r="25" spans="1:6">
      <c r="A25" s="6">
        <f t="shared" si="0"/>
        <v>42936</v>
      </c>
      <c r="B25" s="7">
        <v>42936</v>
      </c>
      <c r="C25" s="44">
        <f t="shared" si="1"/>
        <v>0</v>
      </c>
      <c r="D25" s="8"/>
    </row>
    <row r="26" spans="1:6">
      <c r="A26" s="6">
        <f t="shared" si="0"/>
        <v>42937</v>
      </c>
      <c r="B26" s="7">
        <v>42937</v>
      </c>
      <c r="C26" s="44">
        <f t="shared" si="1"/>
        <v>0</v>
      </c>
      <c r="D26" s="8"/>
    </row>
    <row r="27" spans="1:6">
      <c r="A27" s="6">
        <f t="shared" si="0"/>
        <v>42938</v>
      </c>
      <c r="B27" s="7">
        <v>42938</v>
      </c>
      <c r="C27" s="44">
        <f t="shared" si="1"/>
        <v>0</v>
      </c>
      <c r="D27" s="8"/>
      <c r="E27" s="14" t="s">
        <v>40</v>
      </c>
      <c r="F27" s="9">
        <f>AVERAGE(C27:C33)</f>
        <v>0</v>
      </c>
    </row>
    <row r="28" spans="1:6">
      <c r="A28" s="6">
        <f t="shared" si="0"/>
        <v>42939</v>
      </c>
      <c r="B28" s="7">
        <v>42939</v>
      </c>
      <c r="C28" s="44">
        <f t="shared" si="1"/>
        <v>0</v>
      </c>
      <c r="D28" s="8"/>
    </row>
    <row r="29" spans="1:6">
      <c r="A29" s="6">
        <f t="shared" si="0"/>
        <v>42940</v>
      </c>
      <c r="B29" s="7">
        <v>42940</v>
      </c>
      <c r="C29" s="44">
        <f t="shared" si="1"/>
        <v>0</v>
      </c>
      <c r="D29" s="8"/>
    </row>
    <row r="30" spans="1:6">
      <c r="A30" s="6">
        <f t="shared" si="0"/>
        <v>42941</v>
      </c>
      <c r="B30" s="7">
        <v>42941</v>
      </c>
      <c r="C30" s="44">
        <f t="shared" si="1"/>
        <v>0</v>
      </c>
      <c r="D30" s="8"/>
    </row>
    <row r="31" spans="1:6">
      <c r="A31" s="6">
        <f t="shared" si="0"/>
        <v>42942</v>
      </c>
      <c r="B31" s="7">
        <v>42942</v>
      </c>
      <c r="C31" s="44">
        <f t="shared" si="1"/>
        <v>0</v>
      </c>
      <c r="D31" s="8"/>
    </row>
    <row r="32" spans="1:6">
      <c r="A32" s="6">
        <f t="shared" si="0"/>
        <v>42943</v>
      </c>
      <c r="B32" s="7">
        <v>42943</v>
      </c>
      <c r="C32" s="44">
        <f t="shared" si="1"/>
        <v>0</v>
      </c>
      <c r="D32" s="8"/>
    </row>
    <row r="33" spans="1:4">
      <c r="A33" s="6">
        <f t="shared" si="0"/>
        <v>42944</v>
      </c>
      <c r="B33" s="7">
        <v>42944</v>
      </c>
      <c r="C33" s="44">
        <f t="shared" si="1"/>
        <v>0</v>
      </c>
      <c r="D33" s="8"/>
    </row>
    <row r="34" spans="1:4">
      <c r="A34" s="6">
        <f t="shared" si="0"/>
        <v>42945</v>
      </c>
      <c r="B34" s="7">
        <v>42945</v>
      </c>
      <c r="C34" s="44">
        <f t="shared" si="1"/>
        <v>0</v>
      </c>
      <c r="D34" s="8"/>
    </row>
    <row r="35" spans="1:4">
      <c r="A35" s="6">
        <f t="shared" si="0"/>
        <v>42946</v>
      </c>
      <c r="B35" s="7">
        <v>42946</v>
      </c>
      <c r="C35" s="44">
        <f t="shared" si="1"/>
        <v>0</v>
      </c>
      <c r="D35" s="8"/>
    </row>
    <row r="36" spans="1:4">
      <c r="A36" s="6">
        <f t="shared" si="0"/>
        <v>42947</v>
      </c>
      <c r="B36" s="7">
        <v>42947</v>
      </c>
      <c r="C36" s="14">
        <f t="shared" si="1"/>
        <v>0</v>
      </c>
      <c r="D36" s="9"/>
    </row>
    <row r="37" spans="1:4">
      <c r="B37" s="10" t="s">
        <v>6</v>
      </c>
      <c r="C37" s="11">
        <f>SUM(C6:C35)</f>
        <v>11</v>
      </c>
      <c r="D37" s="12"/>
    </row>
    <row r="38" spans="1:4">
      <c r="C38" s="13"/>
    </row>
    <row r="39" spans="1:4">
      <c r="B39" s="14" t="s">
        <v>7</v>
      </c>
      <c r="C39" s="9">
        <v>50</v>
      </c>
    </row>
    <row r="40" spans="1:4">
      <c r="B40" s="14" t="s">
        <v>8</v>
      </c>
      <c r="C40" s="9">
        <f>C37</f>
        <v>11</v>
      </c>
    </row>
    <row r="41" spans="1:4">
      <c r="B41" s="14" t="s">
        <v>9</v>
      </c>
      <c r="C41" s="9">
        <f>C39-C40</f>
        <v>39</v>
      </c>
    </row>
    <row r="42" spans="1:4">
      <c r="B42" s="14" t="s">
        <v>10</v>
      </c>
      <c r="C42" s="15">
        <f>C40/C39</f>
        <v>0.22</v>
      </c>
    </row>
    <row r="43" spans="1:4">
      <c r="B43" s="14" t="s">
        <v>11</v>
      </c>
      <c r="C43" s="9">
        <f>IF(C40&lt;C39,0,C40-C39)</f>
        <v>0</v>
      </c>
    </row>
    <row r="44" spans="1:4">
      <c r="B44" s="14" t="s">
        <v>12</v>
      </c>
      <c r="C44" s="9">
        <f ca="1">(C39-C37)/C48</f>
        <v>1.3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51" t="s">
        <v>20</v>
      </c>
    </row>
    <row r="58" spans="2:4">
      <c r="B58" s="53"/>
    </row>
    <row r="59" spans="2:4">
      <c r="B59" s="53"/>
    </row>
    <row r="60" spans="2:4">
      <c r="B60" s="53"/>
    </row>
    <row r="61" spans="2:4">
      <c r="B61" s="53"/>
    </row>
    <row r="62" spans="2:4">
      <c r="B62" s="53"/>
    </row>
    <row r="63" spans="2:4">
      <c r="B63" s="53"/>
    </row>
    <row r="64" spans="2:4">
      <c r="B64" s="53"/>
    </row>
    <row r="65" spans="2:2">
      <c r="B65" s="53"/>
    </row>
    <row r="66" spans="2:2">
      <c r="B66" s="53"/>
    </row>
    <row r="67" spans="2:2">
      <c r="B67" s="53"/>
    </row>
    <row r="68" spans="2:2">
      <c r="B68" s="5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7"/>
  <sheetViews>
    <sheetView showGridLines="0" workbookViewId="0">
      <selection activeCell="D38" sqref="D38"/>
    </sheetView>
  </sheetViews>
  <sheetFormatPr baseColWidth="10" defaultColWidth="8.83203125" defaultRowHeight="14" x14ac:dyDescent="0"/>
  <cols>
    <col min="1" max="1" width="13.33203125" customWidth="1"/>
    <col min="2" max="2" width="20.83203125" customWidth="1"/>
    <col min="3" max="3" width="14.6640625" bestFit="1" customWidth="1"/>
    <col min="4" max="4" width="14.83203125" customWidth="1"/>
    <col min="5" max="5" width="11.5" bestFit="1" customWidth="1"/>
    <col min="6" max="6" width="7.83203125" bestFit="1" customWidth="1"/>
  </cols>
  <sheetData>
    <row r="2" spans="1:5">
      <c r="B2" s="1" t="s">
        <v>53</v>
      </c>
    </row>
    <row r="4" spans="1:5">
      <c r="B4" s="2" t="s">
        <v>1</v>
      </c>
      <c r="C4" s="2"/>
    </row>
    <row r="5" spans="1:5">
      <c r="A5" s="3" t="s">
        <v>2</v>
      </c>
      <c r="B5" s="4" t="s">
        <v>3</v>
      </c>
      <c r="C5" s="5" t="s">
        <v>5</v>
      </c>
    </row>
    <row r="6" spans="1:5">
      <c r="A6" s="6">
        <f t="shared" ref="A6:A36" si="0">B6</f>
        <v>42917</v>
      </c>
      <c r="B6" s="7">
        <v>42917</v>
      </c>
      <c r="C6" s="8">
        <v>45</v>
      </c>
      <c r="D6" s="44"/>
      <c r="E6" s="9" t="e">
        <f>AVERAGE(#REF!)</f>
        <v>#REF!</v>
      </c>
    </row>
    <row r="7" spans="1:5">
      <c r="A7" s="6">
        <f t="shared" si="0"/>
        <v>42918</v>
      </c>
      <c r="B7" s="7">
        <v>42918</v>
      </c>
      <c r="C7" s="8">
        <v>47</v>
      </c>
      <c r="D7" s="36"/>
    </row>
    <row r="8" spans="1:5">
      <c r="A8" s="6">
        <f t="shared" si="0"/>
        <v>42919</v>
      </c>
      <c r="B8" s="7">
        <v>42919</v>
      </c>
      <c r="C8" s="8">
        <v>61</v>
      </c>
      <c r="D8" s="36"/>
    </row>
    <row r="9" spans="1:5">
      <c r="A9" s="6">
        <f t="shared" si="0"/>
        <v>42920</v>
      </c>
      <c r="B9" s="7">
        <v>42920</v>
      </c>
      <c r="C9" s="8">
        <v>61</v>
      </c>
      <c r="D9" s="36"/>
    </row>
    <row r="10" spans="1:5">
      <c r="A10" s="6">
        <f t="shared" si="0"/>
        <v>42921</v>
      </c>
      <c r="B10" s="7">
        <v>42921</v>
      </c>
      <c r="C10" s="8">
        <v>110</v>
      </c>
      <c r="D10" s="36"/>
    </row>
    <row r="11" spans="1:5">
      <c r="A11" s="6">
        <f t="shared" si="0"/>
        <v>42922</v>
      </c>
      <c r="B11" s="7">
        <v>42922</v>
      </c>
      <c r="C11" s="8">
        <v>119</v>
      </c>
      <c r="D11" s="36"/>
    </row>
    <row r="12" spans="1:5">
      <c r="A12" s="6">
        <f t="shared" si="0"/>
        <v>42923</v>
      </c>
      <c r="B12" s="7">
        <v>42923</v>
      </c>
      <c r="C12" s="8">
        <v>105</v>
      </c>
      <c r="D12" s="36"/>
    </row>
    <row r="13" spans="1:5">
      <c r="A13" s="6">
        <f t="shared" si="0"/>
        <v>42924</v>
      </c>
      <c r="B13" s="7">
        <v>42924</v>
      </c>
      <c r="C13" s="8">
        <v>47</v>
      </c>
      <c r="D13" s="44"/>
      <c r="E13" s="9" t="e">
        <f>AVERAGE(#REF!)</f>
        <v>#REF!</v>
      </c>
    </row>
    <row r="14" spans="1:5">
      <c r="A14" s="6">
        <f t="shared" si="0"/>
        <v>42925</v>
      </c>
      <c r="B14" s="7">
        <v>42925</v>
      </c>
      <c r="C14" s="8">
        <v>57</v>
      </c>
      <c r="D14" s="36"/>
    </row>
    <row r="15" spans="1:5">
      <c r="A15" s="6">
        <f t="shared" si="0"/>
        <v>42926</v>
      </c>
      <c r="B15" s="7">
        <v>42926</v>
      </c>
      <c r="C15" s="8">
        <v>141</v>
      </c>
      <c r="D15" s="36"/>
    </row>
    <row r="16" spans="1:5">
      <c r="A16" s="6">
        <f t="shared" si="0"/>
        <v>42927</v>
      </c>
      <c r="B16" s="7">
        <v>42927</v>
      </c>
      <c r="C16" s="8">
        <v>186</v>
      </c>
      <c r="D16" s="36"/>
    </row>
    <row r="17" spans="1:5">
      <c r="A17" s="6">
        <f t="shared" si="0"/>
        <v>42928</v>
      </c>
      <c r="B17" s="7">
        <v>42928</v>
      </c>
      <c r="C17" s="8">
        <v>141</v>
      </c>
      <c r="D17" s="36"/>
    </row>
    <row r="18" spans="1:5">
      <c r="A18" s="6">
        <f t="shared" si="0"/>
        <v>42929</v>
      </c>
      <c r="B18" s="7">
        <v>42929</v>
      </c>
      <c r="C18" s="8">
        <v>167</v>
      </c>
      <c r="D18" s="36"/>
    </row>
    <row r="19" spans="1:5">
      <c r="A19" s="6">
        <f t="shared" si="0"/>
        <v>42930</v>
      </c>
      <c r="B19" s="7">
        <v>42930</v>
      </c>
      <c r="C19" s="8">
        <v>163</v>
      </c>
      <c r="D19" s="36"/>
    </row>
    <row r="20" spans="1:5">
      <c r="A20" s="6">
        <f t="shared" si="0"/>
        <v>42931</v>
      </c>
      <c r="B20" s="7">
        <v>42931</v>
      </c>
      <c r="C20" s="8">
        <v>74</v>
      </c>
      <c r="D20" s="44"/>
      <c r="E20" s="9" t="e">
        <f>AVERAGE(#REF!)</f>
        <v>#REF!</v>
      </c>
    </row>
    <row r="21" spans="1:5">
      <c r="A21" s="6">
        <f t="shared" si="0"/>
        <v>42932</v>
      </c>
      <c r="B21" s="7">
        <v>42932</v>
      </c>
      <c r="C21" s="8">
        <v>72</v>
      </c>
      <c r="D21" s="36"/>
    </row>
    <row r="22" spans="1:5">
      <c r="A22" s="6">
        <f t="shared" si="0"/>
        <v>42933</v>
      </c>
      <c r="B22" s="7">
        <v>42933</v>
      </c>
      <c r="C22" s="8">
        <v>181</v>
      </c>
      <c r="D22" s="36"/>
    </row>
    <row r="23" spans="1:5">
      <c r="A23" s="6">
        <f t="shared" si="0"/>
        <v>42934</v>
      </c>
      <c r="B23" s="7">
        <v>42934</v>
      </c>
      <c r="C23" s="8">
        <v>205</v>
      </c>
      <c r="D23" s="36"/>
    </row>
    <row r="24" spans="1:5">
      <c r="A24" s="6">
        <f t="shared" si="0"/>
        <v>42935</v>
      </c>
      <c r="B24" s="7">
        <v>42935</v>
      </c>
      <c r="C24" s="8">
        <v>176</v>
      </c>
      <c r="D24" s="36"/>
    </row>
    <row r="25" spans="1:5">
      <c r="A25" s="6">
        <f t="shared" si="0"/>
        <v>42936</v>
      </c>
      <c r="B25" s="7">
        <v>42936</v>
      </c>
      <c r="C25" s="8">
        <v>146</v>
      </c>
      <c r="D25" s="36"/>
    </row>
    <row r="26" spans="1:5">
      <c r="A26" s="6">
        <f t="shared" si="0"/>
        <v>42937</v>
      </c>
      <c r="B26" s="7">
        <v>42937</v>
      </c>
      <c r="C26" s="8">
        <v>164</v>
      </c>
      <c r="D26" s="36"/>
    </row>
    <row r="27" spans="1:5">
      <c r="A27" s="6">
        <f t="shared" si="0"/>
        <v>42938</v>
      </c>
      <c r="B27" s="7">
        <v>42938</v>
      </c>
      <c r="C27" s="8">
        <v>67</v>
      </c>
      <c r="D27" s="44"/>
      <c r="E27" s="9" t="e">
        <f>AVERAGE(#REF!)</f>
        <v>#REF!</v>
      </c>
    </row>
    <row r="28" spans="1:5">
      <c r="A28" s="6">
        <f t="shared" si="0"/>
        <v>42939</v>
      </c>
      <c r="B28" s="7">
        <v>42939</v>
      </c>
      <c r="C28" s="8">
        <v>75</v>
      </c>
      <c r="D28" s="36"/>
    </row>
    <row r="29" spans="1:5">
      <c r="A29" s="6">
        <f t="shared" si="0"/>
        <v>42940</v>
      </c>
      <c r="B29" s="7">
        <v>42940</v>
      </c>
      <c r="C29" s="8">
        <v>166</v>
      </c>
      <c r="D29" s="36"/>
    </row>
    <row r="30" spans="1:5">
      <c r="A30" s="6">
        <f t="shared" si="0"/>
        <v>42941</v>
      </c>
      <c r="B30" s="7">
        <v>42941</v>
      </c>
      <c r="C30" s="8">
        <v>187</v>
      </c>
      <c r="D30" s="36"/>
    </row>
    <row r="31" spans="1:5">
      <c r="A31" s="6">
        <f t="shared" si="0"/>
        <v>42942</v>
      </c>
      <c r="B31" s="7">
        <v>42942</v>
      </c>
      <c r="C31" s="8">
        <v>204</v>
      </c>
      <c r="D31" s="36"/>
    </row>
    <row r="32" spans="1:5">
      <c r="A32" s="6">
        <f t="shared" si="0"/>
        <v>42943</v>
      </c>
      <c r="B32" s="7">
        <v>42943</v>
      </c>
      <c r="C32" s="8">
        <v>91</v>
      </c>
      <c r="D32" s="36"/>
    </row>
    <row r="33" spans="1:4">
      <c r="A33" s="6">
        <f t="shared" si="0"/>
        <v>42944</v>
      </c>
      <c r="B33" s="7">
        <v>42944</v>
      </c>
      <c r="C33" s="8">
        <v>92</v>
      </c>
      <c r="D33" s="36"/>
    </row>
    <row r="34" spans="1:4">
      <c r="A34" s="6">
        <f t="shared" si="0"/>
        <v>42945</v>
      </c>
      <c r="B34" s="7">
        <v>42945</v>
      </c>
      <c r="C34" s="8">
        <v>50</v>
      </c>
      <c r="D34" s="36"/>
    </row>
    <row r="35" spans="1:4">
      <c r="A35" s="6">
        <f t="shared" si="0"/>
        <v>42946</v>
      </c>
      <c r="B35" s="7">
        <v>42946</v>
      </c>
      <c r="C35" s="8">
        <v>48</v>
      </c>
      <c r="D35" s="36"/>
    </row>
    <row r="36" spans="1:4">
      <c r="A36" s="6">
        <f t="shared" si="0"/>
        <v>42947</v>
      </c>
      <c r="B36" s="7">
        <v>42947</v>
      </c>
      <c r="C36" s="9">
        <v>160</v>
      </c>
    </row>
    <row r="37" spans="1:4">
      <c r="B37" s="10" t="s">
        <v>6</v>
      </c>
      <c r="C37" s="11">
        <f>SUM(C6:C36)</f>
        <v>3608</v>
      </c>
      <c r="D37" s="12"/>
    </row>
    <row r="38" spans="1:4">
      <c r="C38" s="13"/>
    </row>
    <row r="39" spans="1:4">
      <c r="B39" s="14" t="s">
        <v>7</v>
      </c>
      <c r="C39" s="9">
        <v>3500</v>
      </c>
    </row>
    <row r="40" spans="1:4">
      <c r="B40" s="14" t="s">
        <v>8</v>
      </c>
      <c r="C40" s="9">
        <f>C37</f>
        <v>3608</v>
      </c>
    </row>
    <row r="41" spans="1:4">
      <c r="B41" s="14" t="s">
        <v>9</v>
      </c>
      <c r="C41" s="9">
        <f>C39-C40</f>
        <v>-108</v>
      </c>
    </row>
    <row r="42" spans="1:4">
      <c r="B42" s="14" t="s">
        <v>10</v>
      </c>
      <c r="C42" s="15">
        <f>C40/C39</f>
        <v>1.0308571428571429</v>
      </c>
    </row>
    <row r="43" spans="1:4">
      <c r="B43" s="14" t="s">
        <v>11</v>
      </c>
      <c r="C43" s="9">
        <f>IF(C40&lt;C39,0,C40-C39)</f>
        <v>108</v>
      </c>
    </row>
    <row r="44" spans="1:4">
      <c r="B44" s="14" t="s">
        <v>12</v>
      </c>
      <c r="C44" s="9">
        <f ca="1">(C39-C37)/C48</f>
        <v>-3.6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7"/>
  <sheetViews>
    <sheetView showGridLines="0" workbookViewId="0">
      <selection activeCell="E27" sqref="E27"/>
    </sheetView>
  </sheetViews>
  <sheetFormatPr baseColWidth="10" defaultColWidth="8.83203125" defaultRowHeight="14" x14ac:dyDescent="0"/>
  <cols>
    <col min="1" max="1" width="13.33203125" customWidth="1"/>
    <col min="2" max="2" width="25.1640625" customWidth="1"/>
    <col min="3" max="3" width="14.6640625" bestFit="1" customWidth="1"/>
    <col min="4" max="4" width="14.83203125" customWidth="1"/>
    <col min="5" max="5" width="11.5" bestFit="1" customWidth="1"/>
    <col min="6" max="6" width="7.83203125" bestFit="1" customWidth="1"/>
  </cols>
  <sheetData>
    <row r="2" spans="1:5">
      <c r="B2" s="1" t="s">
        <v>88</v>
      </c>
    </row>
    <row r="4" spans="1:5">
      <c r="B4" s="2" t="s">
        <v>1</v>
      </c>
      <c r="C4" s="2"/>
    </row>
    <row r="5" spans="1:5">
      <c r="A5" s="3" t="s">
        <v>2</v>
      </c>
      <c r="B5" s="4" t="s">
        <v>3</v>
      </c>
      <c r="C5" s="4" t="s">
        <v>4</v>
      </c>
    </row>
    <row r="6" spans="1:5">
      <c r="A6" s="6">
        <f t="shared" ref="A6:A36" si="0">B6</f>
        <v>42917</v>
      </c>
      <c r="B6" s="7">
        <v>42917</v>
      </c>
      <c r="C6" s="44"/>
      <c r="D6" s="14"/>
      <c r="E6" s="9"/>
    </row>
    <row r="7" spans="1:5">
      <c r="A7" s="6">
        <f t="shared" si="0"/>
        <v>42918</v>
      </c>
      <c r="B7" s="7">
        <v>42918</v>
      </c>
      <c r="C7" s="44"/>
    </row>
    <row r="8" spans="1:5">
      <c r="A8" s="6">
        <f t="shared" si="0"/>
        <v>42919</v>
      </c>
      <c r="B8" s="7">
        <v>42919</v>
      </c>
      <c r="C8" s="44"/>
    </row>
    <row r="9" spans="1:5">
      <c r="A9" s="6">
        <f t="shared" si="0"/>
        <v>42920</v>
      </c>
      <c r="B9" s="7">
        <v>42920</v>
      </c>
      <c r="C9" s="44"/>
    </row>
    <row r="10" spans="1:5">
      <c r="A10" s="6">
        <f t="shared" si="0"/>
        <v>42921</v>
      </c>
      <c r="B10" s="7">
        <v>42921</v>
      </c>
      <c r="C10" s="44"/>
    </row>
    <row r="11" spans="1:5">
      <c r="A11" s="6">
        <f t="shared" si="0"/>
        <v>42922</v>
      </c>
      <c r="B11" s="7">
        <v>42922</v>
      </c>
      <c r="C11" s="44"/>
    </row>
    <row r="12" spans="1:5">
      <c r="A12" s="6">
        <f t="shared" si="0"/>
        <v>42923</v>
      </c>
      <c r="B12" s="7">
        <v>42923</v>
      </c>
      <c r="C12" s="44"/>
    </row>
    <row r="13" spans="1:5">
      <c r="A13" s="6">
        <f t="shared" si="0"/>
        <v>42924</v>
      </c>
      <c r="B13" s="7">
        <v>42924</v>
      </c>
      <c r="C13" s="44"/>
      <c r="D13" s="14"/>
      <c r="E13" s="9"/>
    </row>
    <row r="14" spans="1:5">
      <c r="A14" s="6">
        <f t="shared" si="0"/>
        <v>42925</v>
      </c>
      <c r="B14" s="7">
        <v>42925</v>
      </c>
      <c r="C14" s="44"/>
    </row>
    <row r="15" spans="1:5">
      <c r="A15" s="6">
        <f t="shared" si="0"/>
        <v>42926</v>
      </c>
      <c r="B15" s="7">
        <v>42926</v>
      </c>
      <c r="C15" s="44"/>
    </row>
    <row r="16" spans="1:5">
      <c r="A16" s="6">
        <f t="shared" si="0"/>
        <v>42927</v>
      </c>
      <c r="B16" s="7">
        <v>42927</v>
      </c>
      <c r="C16" s="44"/>
    </row>
    <row r="17" spans="1:5">
      <c r="A17" s="6">
        <f t="shared" si="0"/>
        <v>42928</v>
      </c>
      <c r="B17" s="7">
        <v>42928</v>
      </c>
      <c r="C17" s="44"/>
    </row>
    <row r="18" spans="1:5">
      <c r="A18" s="6">
        <f t="shared" si="0"/>
        <v>42929</v>
      </c>
      <c r="B18" s="7">
        <v>42929</v>
      </c>
      <c r="C18" s="44">
        <v>30</v>
      </c>
    </row>
    <row r="19" spans="1:5">
      <c r="A19" s="6">
        <f t="shared" si="0"/>
        <v>42930</v>
      </c>
      <c r="B19" s="7">
        <v>42930</v>
      </c>
      <c r="C19" s="44">
        <v>92</v>
      </c>
    </row>
    <row r="20" spans="1:5">
      <c r="A20" s="6">
        <f t="shared" si="0"/>
        <v>42931</v>
      </c>
      <c r="B20" s="7">
        <v>42931</v>
      </c>
      <c r="C20" s="44">
        <v>39</v>
      </c>
      <c r="D20" s="14"/>
      <c r="E20" s="9"/>
    </row>
    <row r="21" spans="1:5">
      <c r="A21" s="6">
        <f t="shared" si="0"/>
        <v>42932</v>
      </c>
      <c r="B21" s="7">
        <v>42932</v>
      </c>
      <c r="C21" s="44">
        <v>46</v>
      </c>
    </row>
    <row r="22" spans="1:5">
      <c r="A22" s="6">
        <f t="shared" si="0"/>
        <v>42933</v>
      </c>
      <c r="B22" s="7">
        <v>42933</v>
      </c>
      <c r="C22" s="44">
        <v>126</v>
      </c>
    </row>
    <row r="23" spans="1:5">
      <c r="A23" s="6">
        <f t="shared" si="0"/>
        <v>42934</v>
      </c>
      <c r="B23" s="7">
        <v>42934</v>
      </c>
      <c r="C23" s="44">
        <v>109</v>
      </c>
    </row>
    <row r="24" spans="1:5">
      <c r="A24" s="6">
        <f t="shared" si="0"/>
        <v>42935</v>
      </c>
      <c r="B24" s="7">
        <v>42935</v>
      </c>
      <c r="C24" s="44">
        <v>112</v>
      </c>
    </row>
    <row r="25" spans="1:5">
      <c r="A25" s="6">
        <f t="shared" si="0"/>
        <v>42936</v>
      </c>
      <c r="B25" s="7">
        <v>42936</v>
      </c>
      <c r="C25" s="44">
        <v>105</v>
      </c>
    </row>
    <row r="26" spans="1:5">
      <c r="A26" s="6">
        <f t="shared" si="0"/>
        <v>42937</v>
      </c>
      <c r="B26" s="7">
        <v>42937</v>
      </c>
      <c r="C26" s="44">
        <v>81</v>
      </c>
    </row>
    <row r="27" spans="1:5">
      <c r="A27" s="6">
        <f t="shared" si="0"/>
        <v>42938</v>
      </c>
      <c r="B27" s="7">
        <v>42938</v>
      </c>
      <c r="C27" s="44">
        <v>44</v>
      </c>
      <c r="D27" s="14"/>
      <c r="E27" s="9"/>
    </row>
    <row r="28" spans="1:5">
      <c r="A28" s="6">
        <f t="shared" si="0"/>
        <v>42939</v>
      </c>
      <c r="B28" s="7">
        <v>42939</v>
      </c>
      <c r="C28" s="44">
        <v>47</v>
      </c>
      <c r="D28" s="36"/>
    </row>
    <row r="29" spans="1:5">
      <c r="A29" s="6">
        <f t="shared" si="0"/>
        <v>42940</v>
      </c>
      <c r="B29" s="7">
        <v>42940</v>
      </c>
      <c r="C29" s="44">
        <v>100</v>
      </c>
      <c r="D29" s="36"/>
    </row>
    <row r="30" spans="1:5">
      <c r="A30" s="6">
        <f t="shared" si="0"/>
        <v>42941</v>
      </c>
      <c r="B30" s="7">
        <v>42941</v>
      </c>
      <c r="C30" s="44">
        <v>122</v>
      </c>
      <c r="D30" s="36"/>
    </row>
    <row r="31" spans="1:5">
      <c r="A31" s="6">
        <f t="shared" si="0"/>
        <v>42942</v>
      </c>
      <c r="B31" s="7">
        <v>42942</v>
      </c>
      <c r="C31" s="44">
        <v>107</v>
      </c>
      <c r="D31" s="36"/>
    </row>
    <row r="32" spans="1:5">
      <c r="A32" s="6">
        <f t="shared" si="0"/>
        <v>42943</v>
      </c>
      <c r="B32" s="7">
        <v>42943</v>
      </c>
      <c r="C32" s="44">
        <v>91</v>
      </c>
      <c r="D32" s="36"/>
    </row>
    <row r="33" spans="1:4">
      <c r="A33" s="6">
        <f t="shared" si="0"/>
        <v>42944</v>
      </c>
      <c r="B33" s="7">
        <v>42944</v>
      </c>
      <c r="C33" s="44">
        <v>92</v>
      </c>
      <c r="D33" s="36"/>
    </row>
    <row r="34" spans="1:4">
      <c r="A34" s="6">
        <f t="shared" si="0"/>
        <v>42945</v>
      </c>
      <c r="B34" s="7">
        <v>42945</v>
      </c>
      <c r="C34" s="44">
        <v>50</v>
      </c>
      <c r="D34" s="36"/>
    </row>
    <row r="35" spans="1:4">
      <c r="A35" s="6">
        <f t="shared" si="0"/>
        <v>42946</v>
      </c>
      <c r="B35" s="7">
        <v>42946</v>
      </c>
      <c r="C35" s="44">
        <v>48</v>
      </c>
      <c r="D35" s="36"/>
    </row>
    <row r="36" spans="1:4">
      <c r="A36" s="6">
        <f t="shared" si="0"/>
        <v>42947</v>
      </c>
      <c r="B36" s="7">
        <v>42947</v>
      </c>
      <c r="C36" s="14">
        <v>87</v>
      </c>
    </row>
    <row r="37" spans="1:4">
      <c r="B37" s="10" t="s">
        <v>6</v>
      </c>
      <c r="C37" s="11">
        <f>SUM(C6:C36)</f>
        <v>1528</v>
      </c>
      <c r="D37" s="12"/>
    </row>
    <row r="38" spans="1:4">
      <c r="C38" s="13"/>
    </row>
    <row r="39" spans="1:4">
      <c r="B39" s="14" t="s">
        <v>7</v>
      </c>
      <c r="C39" s="9">
        <v>22733</v>
      </c>
    </row>
    <row r="40" spans="1:4">
      <c r="B40" s="14" t="s">
        <v>8</v>
      </c>
      <c r="C40" s="9">
        <f>C37</f>
        <v>1528</v>
      </c>
    </row>
    <row r="41" spans="1:4">
      <c r="B41" s="14" t="s">
        <v>9</v>
      </c>
      <c r="C41" s="9">
        <f>C39-C40</f>
        <v>21205</v>
      </c>
    </row>
    <row r="42" spans="1:4">
      <c r="B42" s="14" t="s">
        <v>10</v>
      </c>
      <c r="C42" s="15">
        <f>C40/C39</f>
        <v>6.7215061804425283E-2</v>
      </c>
    </row>
    <row r="43" spans="1:4">
      <c r="B43" s="14" t="s">
        <v>11</v>
      </c>
      <c r="C43" s="9">
        <f>IF(C40&lt;C39,0,C40-C39)</f>
        <v>0</v>
      </c>
    </row>
    <row r="44" spans="1:4">
      <c r="B44" s="14" t="s">
        <v>12</v>
      </c>
      <c r="C44" s="9">
        <f ca="1">(C39-C37)/C48</f>
        <v>706.83333333333337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8"/>
  <sheetViews>
    <sheetView showGridLines="0" topLeftCell="A8" workbookViewId="0">
      <selection activeCell="D37" sqref="D37"/>
    </sheetView>
  </sheetViews>
  <sheetFormatPr baseColWidth="10" defaultColWidth="8.83203125" defaultRowHeight="14" x14ac:dyDescent="0"/>
  <cols>
    <col min="1" max="1" width="13.33203125" customWidth="1"/>
    <col min="2" max="2" width="20.83203125" customWidth="1"/>
    <col min="3" max="3" width="14.6640625" bestFit="1" customWidth="1"/>
    <col min="4" max="4" width="14.83203125" customWidth="1"/>
    <col min="5" max="5" width="11.5" bestFit="1" customWidth="1"/>
    <col min="6" max="6" width="7.83203125" bestFit="1" customWidth="1"/>
  </cols>
  <sheetData>
    <row r="2" spans="1:6">
      <c r="B2" s="1" t="s">
        <v>82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4</v>
      </c>
      <c r="D5" s="5" t="s">
        <v>5</v>
      </c>
    </row>
    <row r="6" spans="1:6">
      <c r="A6" s="6">
        <f t="shared" ref="A6:A36" si="0">B6</f>
        <v>42917</v>
      </c>
      <c r="B6" s="7">
        <v>42917</v>
      </c>
      <c r="C6" s="39">
        <f>D6</f>
        <v>0</v>
      </c>
      <c r="D6" s="8">
        <v>0</v>
      </c>
      <c r="E6" s="14" t="s">
        <v>37</v>
      </c>
      <c r="F6" s="9">
        <f>AVERAGE(C6:C12)</f>
        <v>2.5714285714285716</v>
      </c>
    </row>
    <row r="7" spans="1:6">
      <c r="A7" s="6">
        <f t="shared" si="0"/>
        <v>42918</v>
      </c>
      <c r="B7" s="7">
        <v>42918</v>
      </c>
      <c r="C7" s="44">
        <f t="shared" ref="C7:C36" si="1">IF(D7-D6&lt;0,0,D7-D6)</f>
        <v>0</v>
      </c>
      <c r="D7" s="8">
        <v>0</v>
      </c>
    </row>
    <row r="8" spans="1:6">
      <c r="A8" s="6">
        <f t="shared" si="0"/>
        <v>42919</v>
      </c>
      <c r="B8" s="7">
        <v>42919</v>
      </c>
      <c r="C8" s="44">
        <f t="shared" si="1"/>
        <v>4</v>
      </c>
      <c r="D8" s="8">
        <v>4</v>
      </c>
    </row>
    <row r="9" spans="1:6">
      <c r="A9" s="6">
        <f t="shared" si="0"/>
        <v>42920</v>
      </c>
      <c r="B9" s="7">
        <v>42920</v>
      </c>
      <c r="C9" s="44">
        <f t="shared" si="1"/>
        <v>4</v>
      </c>
      <c r="D9" s="8">
        <v>8</v>
      </c>
    </row>
    <row r="10" spans="1:6">
      <c r="A10" s="6">
        <f t="shared" si="0"/>
        <v>42921</v>
      </c>
      <c r="B10" s="7">
        <v>42921</v>
      </c>
      <c r="C10" s="44">
        <f t="shared" si="1"/>
        <v>1</v>
      </c>
      <c r="D10" s="8">
        <v>9</v>
      </c>
    </row>
    <row r="11" spans="1:6">
      <c r="A11" s="6">
        <f t="shared" si="0"/>
        <v>42922</v>
      </c>
      <c r="B11" s="7">
        <v>42922</v>
      </c>
      <c r="C11" s="44">
        <f t="shared" si="1"/>
        <v>2</v>
      </c>
      <c r="D11" s="8">
        <v>11</v>
      </c>
    </row>
    <row r="12" spans="1:6">
      <c r="A12" s="6">
        <f t="shared" si="0"/>
        <v>42923</v>
      </c>
      <c r="B12" s="7">
        <v>42923</v>
      </c>
      <c r="C12" s="44">
        <f t="shared" si="1"/>
        <v>7</v>
      </c>
      <c r="D12" s="8">
        <v>18</v>
      </c>
    </row>
    <row r="13" spans="1:6">
      <c r="A13" s="6">
        <f t="shared" si="0"/>
        <v>42924</v>
      </c>
      <c r="B13" s="7">
        <v>42924</v>
      </c>
      <c r="C13" s="44">
        <f t="shared" si="1"/>
        <v>7</v>
      </c>
      <c r="D13" s="8">
        <f>18+7</f>
        <v>25</v>
      </c>
      <c r="E13" s="14" t="s">
        <v>38</v>
      </c>
      <c r="F13" s="9">
        <f>AVERAGE(C13:C19)</f>
        <v>3.5714285714285716</v>
      </c>
    </row>
    <row r="14" spans="1:6">
      <c r="A14" s="6">
        <f t="shared" si="0"/>
        <v>42925</v>
      </c>
      <c r="B14" s="7">
        <v>42925</v>
      </c>
      <c r="C14" s="44">
        <f t="shared" si="1"/>
        <v>4</v>
      </c>
      <c r="D14" s="8">
        <v>29</v>
      </c>
    </row>
    <row r="15" spans="1:6">
      <c r="A15" s="6">
        <f t="shared" si="0"/>
        <v>42926</v>
      </c>
      <c r="B15" s="7">
        <v>42926</v>
      </c>
      <c r="C15" s="44">
        <f t="shared" si="1"/>
        <v>3</v>
      </c>
      <c r="D15" s="8">
        <v>32</v>
      </c>
    </row>
    <row r="16" spans="1:6">
      <c r="A16" s="6">
        <f t="shared" si="0"/>
        <v>42927</v>
      </c>
      <c r="B16" s="7">
        <v>42927</v>
      </c>
      <c r="C16" s="44">
        <f t="shared" si="1"/>
        <v>2</v>
      </c>
      <c r="D16" s="8">
        <v>34</v>
      </c>
    </row>
    <row r="17" spans="1:6">
      <c r="A17" s="6">
        <f t="shared" si="0"/>
        <v>42928</v>
      </c>
      <c r="B17" s="7">
        <v>42928</v>
      </c>
      <c r="C17" s="44">
        <f t="shared" si="1"/>
        <v>0</v>
      </c>
      <c r="D17" s="8">
        <v>34</v>
      </c>
    </row>
    <row r="18" spans="1:6">
      <c r="A18" s="6">
        <f t="shared" si="0"/>
        <v>42929</v>
      </c>
      <c r="B18" s="7">
        <v>42929</v>
      </c>
      <c r="C18" s="44">
        <f t="shared" si="1"/>
        <v>5</v>
      </c>
      <c r="D18" s="8">
        <v>39</v>
      </c>
    </row>
    <row r="19" spans="1:6">
      <c r="A19" s="6">
        <f t="shared" si="0"/>
        <v>42930</v>
      </c>
      <c r="B19" s="7">
        <v>42930</v>
      </c>
      <c r="C19" s="44">
        <f t="shared" si="1"/>
        <v>4</v>
      </c>
      <c r="D19" s="8">
        <f>29+14</f>
        <v>43</v>
      </c>
    </row>
    <row r="20" spans="1:6">
      <c r="A20" s="6">
        <f t="shared" si="0"/>
        <v>42931</v>
      </c>
      <c r="B20" s="7">
        <v>42931</v>
      </c>
      <c r="C20" s="44">
        <f t="shared" si="1"/>
        <v>3</v>
      </c>
      <c r="D20" s="8">
        <f>31+15</f>
        <v>46</v>
      </c>
      <c r="E20" s="14" t="s">
        <v>39</v>
      </c>
      <c r="F20" s="9">
        <f>AVERAGE(C20:C26)</f>
        <v>3.8571428571428572</v>
      </c>
    </row>
    <row r="21" spans="1:6">
      <c r="A21" s="6">
        <f t="shared" si="0"/>
        <v>42932</v>
      </c>
      <c r="B21" s="7">
        <v>42932</v>
      </c>
      <c r="C21" s="44">
        <f t="shared" si="1"/>
        <v>3</v>
      </c>
      <c r="D21" s="8">
        <f>32+17</f>
        <v>49</v>
      </c>
    </row>
    <row r="22" spans="1:6">
      <c r="A22" s="6">
        <f t="shared" si="0"/>
        <v>42933</v>
      </c>
      <c r="B22" s="7">
        <v>42933</v>
      </c>
      <c r="C22" s="44">
        <f t="shared" si="1"/>
        <v>4</v>
      </c>
      <c r="D22" s="8">
        <v>53</v>
      </c>
    </row>
    <row r="23" spans="1:6">
      <c r="A23" s="6">
        <f t="shared" si="0"/>
        <v>42934</v>
      </c>
      <c r="B23" s="7">
        <v>42934</v>
      </c>
      <c r="C23" s="44">
        <f t="shared" si="1"/>
        <v>2</v>
      </c>
      <c r="D23" s="8">
        <v>55</v>
      </c>
    </row>
    <row r="24" spans="1:6">
      <c r="A24" s="6">
        <f t="shared" si="0"/>
        <v>42935</v>
      </c>
      <c r="B24" s="7">
        <v>42935</v>
      </c>
      <c r="C24" s="44">
        <f t="shared" si="1"/>
        <v>7</v>
      </c>
      <c r="D24" s="8">
        <v>62</v>
      </c>
    </row>
    <row r="25" spans="1:6">
      <c r="A25" s="6">
        <f t="shared" si="0"/>
        <v>42936</v>
      </c>
      <c r="B25" s="7">
        <v>42936</v>
      </c>
      <c r="C25" s="44">
        <f t="shared" si="1"/>
        <v>4</v>
      </c>
      <c r="D25" s="8">
        <v>66</v>
      </c>
    </row>
    <row r="26" spans="1:6">
      <c r="A26" s="6">
        <f t="shared" si="0"/>
        <v>42937</v>
      </c>
      <c r="B26" s="7">
        <v>42937</v>
      </c>
      <c r="C26" s="44">
        <f t="shared" si="1"/>
        <v>4</v>
      </c>
      <c r="D26" s="8">
        <f>45+25</f>
        <v>70</v>
      </c>
    </row>
    <row r="27" spans="1:6">
      <c r="A27" s="6">
        <f t="shared" si="0"/>
        <v>42938</v>
      </c>
      <c r="B27" s="7">
        <v>42938</v>
      </c>
      <c r="C27" s="44">
        <f t="shared" si="1"/>
        <v>2</v>
      </c>
      <c r="D27" s="8">
        <f>46+26</f>
        <v>72</v>
      </c>
      <c r="E27" s="14" t="s">
        <v>40</v>
      </c>
      <c r="F27" s="9">
        <f>AVERAGE(C27:C33)</f>
        <v>4.2857142857142856</v>
      </c>
    </row>
    <row r="28" spans="1:6">
      <c r="A28" s="6">
        <f t="shared" si="0"/>
        <v>42939</v>
      </c>
      <c r="B28" s="7">
        <v>42939</v>
      </c>
      <c r="C28" s="44">
        <f t="shared" si="1"/>
        <v>2</v>
      </c>
      <c r="D28" s="8">
        <f>47+27</f>
        <v>74</v>
      </c>
    </row>
    <row r="29" spans="1:6">
      <c r="A29" s="6">
        <f t="shared" si="0"/>
        <v>42940</v>
      </c>
      <c r="B29" s="7">
        <v>42940</v>
      </c>
      <c r="C29" s="44">
        <f t="shared" si="1"/>
        <v>4</v>
      </c>
      <c r="D29" s="8">
        <v>78</v>
      </c>
    </row>
    <row r="30" spans="1:6">
      <c r="A30" s="6">
        <f t="shared" si="0"/>
        <v>42941</v>
      </c>
      <c r="B30" s="7">
        <v>42941</v>
      </c>
      <c r="C30" s="44">
        <f t="shared" si="1"/>
        <v>2</v>
      </c>
      <c r="D30" s="8">
        <v>80</v>
      </c>
    </row>
    <row r="31" spans="1:6">
      <c r="A31" s="6">
        <f t="shared" si="0"/>
        <v>42942</v>
      </c>
      <c r="B31" s="7">
        <v>42942</v>
      </c>
      <c r="C31" s="44">
        <f t="shared" si="1"/>
        <v>8</v>
      </c>
      <c r="D31" s="8">
        <v>88</v>
      </c>
    </row>
    <row r="32" spans="1:6">
      <c r="A32" s="6">
        <f t="shared" si="0"/>
        <v>42943</v>
      </c>
      <c r="B32" s="7">
        <v>42943</v>
      </c>
      <c r="C32" s="44">
        <f t="shared" si="1"/>
        <v>6</v>
      </c>
      <c r="D32" s="8">
        <v>94</v>
      </c>
    </row>
    <row r="33" spans="1:4">
      <c r="A33" s="6">
        <f t="shared" si="0"/>
        <v>42944</v>
      </c>
      <c r="B33" s="7">
        <v>42944</v>
      </c>
      <c r="C33" s="44">
        <f t="shared" si="1"/>
        <v>6</v>
      </c>
      <c r="D33" s="8">
        <f>58+42</f>
        <v>100</v>
      </c>
    </row>
    <row r="34" spans="1:4">
      <c r="A34" s="6">
        <f t="shared" si="0"/>
        <v>42945</v>
      </c>
      <c r="B34" s="7">
        <v>42945</v>
      </c>
      <c r="C34" s="44">
        <f t="shared" si="1"/>
        <v>2</v>
      </c>
      <c r="D34" s="8">
        <f>59+43</f>
        <v>102</v>
      </c>
    </row>
    <row r="35" spans="1:4">
      <c r="A35" s="6">
        <f t="shared" si="0"/>
        <v>42946</v>
      </c>
      <c r="B35" s="7">
        <v>42946</v>
      </c>
      <c r="C35" s="44">
        <f t="shared" si="1"/>
        <v>0</v>
      </c>
      <c r="D35" s="8">
        <v>102</v>
      </c>
    </row>
    <row r="36" spans="1:4">
      <c r="A36" s="6">
        <f t="shared" si="0"/>
        <v>42947</v>
      </c>
      <c r="B36" s="7">
        <v>42947</v>
      </c>
      <c r="C36" s="14">
        <f t="shared" si="1"/>
        <v>4</v>
      </c>
      <c r="D36" s="9">
        <v>106</v>
      </c>
    </row>
    <row r="37" spans="1:4">
      <c r="B37" s="10" t="s">
        <v>6</v>
      </c>
      <c r="C37" s="11">
        <f>SUM(C6:C36)</f>
        <v>106</v>
      </c>
      <c r="D37" s="12"/>
    </row>
    <row r="38" spans="1:4">
      <c r="C38" s="13"/>
    </row>
    <row r="39" spans="1:4">
      <c r="B39" s="14" t="s">
        <v>7</v>
      </c>
      <c r="C39" s="9">
        <v>5</v>
      </c>
    </row>
    <row r="40" spans="1:4">
      <c r="B40" s="14" t="s">
        <v>8</v>
      </c>
      <c r="C40" s="9">
        <f>C37</f>
        <v>106</v>
      </c>
    </row>
    <row r="41" spans="1:4">
      <c r="B41" s="14" t="s">
        <v>9</v>
      </c>
      <c r="C41" s="9">
        <f>C39-C40</f>
        <v>-101</v>
      </c>
    </row>
    <row r="42" spans="1:4">
      <c r="B42" s="14" t="s">
        <v>10</v>
      </c>
      <c r="C42" s="15">
        <f>C40/C39</f>
        <v>21.2</v>
      </c>
    </row>
    <row r="43" spans="1:4">
      <c r="B43" s="14" t="s">
        <v>11</v>
      </c>
      <c r="C43" s="9">
        <f>IF(C40&lt;C39,0,C40-C39)</f>
        <v>101</v>
      </c>
    </row>
    <row r="44" spans="1:4">
      <c r="B44" s="14" t="s">
        <v>12</v>
      </c>
      <c r="C44" s="9">
        <f ca="1">(C39-C37)/C48</f>
        <v>-3.3666666666666667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51" t="s">
        <v>20</v>
      </c>
    </row>
    <row r="58" spans="2:4">
      <c r="B58" s="53"/>
    </row>
    <row r="59" spans="2:4">
      <c r="B59" s="53"/>
    </row>
    <row r="60" spans="2:4">
      <c r="B60" s="53"/>
    </row>
    <row r="61" spans="2:4">
      <c r="B61" s="53"/>
    </row>
    <row r="62" spans="2:4">
      <c r="B62" s="53"/>
    </row>
    <row r="63" spans="2:4">
      <c r="B63" s="53"/>
    </row>
    <row r="64" spans="2:4">
      <c r="B64" s="53"/>
    </row>
    <row r="65" spans="2:2">
      <c r="B65" s="53"/>
    </row>
    <row r="66" spans="2:2">
      <c r="B66" s="53"/>
    </row>
    <row r="67" spans="2:2">
      <c r="B67" s="53"/>
    </row>
    <row r="68" spans="2:2">
      <c r="B68" s="5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8"/>
  <sheetViews>
    <sheetView showGridLines="0" workbookViewId="0">
      <selection activeCell="G35" sqref="G35"/>
    </sheetView>
  </sheetViews>
  <sheetFormatPr baseColWidth="10" defaultColWidth="8.83203125" defaultRowHeight="14" x14ac:dyDescent="0"/>
  <cols>
    <col min="1" max="1" width="13.33203125" customWidth="1"/>
    <col min="2" max="2" width="20.83203125" customWidth="1"/>
    <col min="3" max="3" width="14.6640625" bestFit="1" customWidth="1"/>
    <col min="4" max="4" width="14.83203125" customWidth="1"/>
    <col min="5" max="5" width="11.5" bestFit="1" customWidth="1"/>
    <col min="6" max="6" width="7.83203125" bestFit="1" customWidth="1"/>
  </cols>
  <sheetData>
    <row r="2" spans="1:6">
      <c r="B2" s="1" t="s">
        <v>54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4</v>
      </c>
      <c r="D5" s="5" t="s">
        <v>5</v>
      </c>
    </row>
    <row r="6" spans="1:6">
      <c r="A6" s="6">
        <f t="shared" ref="A6:A36" si="0">B6</f>
        <v>42917</v>
      </c>
      <c r="B6" s="7">
        <v>42917</v>
      </c>
      <c r="C6" s="39">
        <f>D6</f>
        <v>7</v>
      </c>
      <c r="D6" s="8">
        <v>7</v>
      </c>
      <c r="E6" s="14" t="s">
        <v>37</v>
      </c>
      <c r="F6" s="9">
        <f>AVERAGE(C6:C12)</f>
        <v>3.8571428571428572</v>
      </c>
    </row>
    <row r="7" spans="1:6">
      <c r="A7" s="6">
        <f t="shared" si="0"/>
        <v>42918</v>
      </c>
      <c r="B7" s="7">
        <v>42918</v>
      </c>
      <c r="C7" s="44">
        <f t="shared" ref="C7:C36" si="1">IF(D7-D6&lt;0,0,D7-D6)</f>
        <v>2</v>
      </c>
      <c r="D7" s="8">
        <v>9</v>
      </c>
    </row>
    <row r="8" spans="1:6">
      <c r="A8" s="6">
        <f t="shared" si="0"/>
        <v>42919</v>
      </c>
      <c r="B8" s="7">
        <v>42919</v>
      </c>
      <c r="C8" s="44">
        <f t="shared" si="1"/>
        <v>1</v>
      </c>
      <c r="D8" s="8">
        <v>10</v>
      </c>
    </row>
    <row r="9" spans="1:6">
      <c r="A9" s="6">
        <f t="shared" si="0"/>
        <v>42920</v>
      </c>
      <c r="B9" s="7">
        <v>42920</v>
      </c>
      <c r="C9" s="44">
        <f t="shared" si="1"/>
        <v>3</v>
      </c>
      <c r="D9" s="8">
        <v>13</v>
      </c>
    </row>
    <row r="10" spans="1:6">
      <c r="A10" s="6">
        <f t="shared" si="0"/>
        <v>42921</v>
      </c>
      <c r="B10" s="7">
        <v>42921</v>
      </c>
      <c r="C10" s="44">
        <f t="shared" si="1"/>
        <v>3</v>
      </c>
      <c r="D10" s="8">
        <v>16</v>
      </c>
    </row>
    <row r="11" spans="1:6">
      <c r="A11" s="6">
        <f t="shared" si="0"/>
        <v>42922</v>
      </c>
      <c r="B11" s="7">
        <v>42922</v>
      </c>
      <c r="C11" s="44">
        <f t="shared" si="1"/>
        <v>3</v>
      </c>
      <c r="D11" s="8">
        <v>19</v>
      </c>
    </row>
    <row r="12" spans="1:6">
      <c r="A12" s="6">
        <f t="shared" si="0"/>
        <v>42923</v>
      </c>
      <c r="B12" s="7">
        <v>42923</v>
      </c>
      <c r="C12" s="44">
        <f t="shared" si="1"/>
        <v>8</v>
      </c>
      <c r="D12" s="8">
        <v>27</v>
      </c>
    </row>
    <row r="13" spans="1:6">
      <c r="A13" s="6">
        <f t="shared" si="0"/>
        <v>42924</v>
      </c>
      <c r="B13" s="7">
        <v>42924</v>
      </c>
      <c r="C13" s="44">
        <f t="shared" si="1"/>
        <v>5</v>
      </c>
      <c r="D13" s="8">
        <f>21+11</f>
        <v>32</v>
      </c>
      <c r="E13" s="14" t="s">
        <v>38</v>
      </c>
      <c r="F13" s="9">
        <f>AVERAGE(C13:C19)</f>
        <v>4.1428571428571432</v>
      </c>
    </row>
    <row r="14" spans="1:6">
      <c r="A14" s="6">
        <f t="shared" si="0"/>
        <v>42925</v>
      </c>
      <c r="B14" s="7">
        <v>42925</v>
      </c>
      <c r="C14" s="44">
        <f t="shared" si="1"/>
        <v>5</v>
      </c>
      <c r="D14" s="8">
        <v>37</v>
      </c>
    </row>
    <row r="15" spans="1:6">
      <c r="A15" s="6">
        <f t="shared" si="0"/>
        <v>42926</v>
      </c>
      <c r="B15" s="7">
        <v>42926</v>
      </c>
      <c r="C15" s="44">
        <f t="shared" si="1"/>
        <v>4</v>
      </c>
      <c r="D15" s="8">
        <v>41</v>
      </c>
    </row>
    <row r="16" spans="1:6">
      <c r="A16" s="6">
        <f t="shared" si="0"/>
        <v>42927</v>
      </c>
      <c r="B16" s="7">
        <v>42927</v>
      </c>
      <c r="C16" s="44">
        <f t="shared" si="1"/>
        <v>8</v>
      </c>
      <c r="D16" s="8">
        <v>49</v>
      </c>
    </row>
    <row r="17" spans="1:6">
      <c r="A17" s="6">
        <f t="shared" si="0"/>
        <v>42928</v>
      </c>
      <c r="B17" s="7">
        <v>42928</v>
      </c>
      <c r="C17" s="44">
        <f t="shared" si="1"/>
        <v>4</v>
      </c>
      <c r="D17" s="8">
        <v>53</v>
      </c>
    </row>
    <row r="18" spans="1:6">
      <c r="A18" s="6">
        <f t="shared" si="0"/>
        <v>42929</v>
      </c>
      <c r="B18" s="7">
        <v>42929</v>
      </c>
      <c r="C18" s="44">
        <f t="shared" si="1"/>
        <v>2</v>
      </c>
      <c r="D18" s="8">
        <v>55</v>
      </c>
    </row>
    <row r="19" spans="1:6">
      <c r="A19" s="6">
        <f t="shared" si="0"/>
        <v>42930</v>
      </c>
      <c r="B19" s="7">
        <v>42930</v>
      </c>
      <c r="C19" s="44">
        <f t="shared" si="1"/>
        <v>1</v>
      </c>
      <c r="D19" s="8">
        <f>29+27</f>
        <v>56</v>
      </c>
    </row>
    <row r="20" spans="1:6">
      <c r="A20" s="6">
        <f t="shared" si="0"/>
        <v>42931</v>
      </c>
      <c r="B20" s="7">
        <v>42931</v>
      </c>
      <c r="C20" s="44">
        <f t="shared" si="1"/>
        <v>3</v>
      </c>
      <c r="D20" s="8">
        <v>59</v>
      </c>
      <c r="E20" s="14" t="s">
        <v>39</v>
      </c>
      <c r="F20" s="9">
        <f>AVERAGE(C20:C26)</f>
        <v>3.4285714285714284</v>
      </c>
    </row>
    <row r="21" spans="1:6">
      <c r="A21" s="6">
        <f t="shared" si="0"/>
        <v>42932</v>
      </c>
      <c r="B21" s="7">
        <v>42932</v>
      </c>
      <c r="C21" s="44">
        <f t="shared" si="1"/>
        <v>4</v>
      </c>
      <c r="D21" s="8">
        <f>32+31</f>
        <v>63</v>
      </c>
    </row>
    <row r="22" spans="1:6">
      <c r="A22" s="6">
        <f t="shared" si="0"/>
        <v>42933</v>
      </c>
      <c r="B22" s="7">
        <v>42933</v>
      </c>
      <c r="C22" s="44">
        <f t="shared" si="1"/>
        <v>6</v>
      </c>
      <c r="D22" s="8">
        <v>69</v>
      </c>
    </row>
    <row r="23" spans="1:6">
      <c r="A23" s="6">
        <f t="shared" si="0"/>
        <v>42934</v>
      </c>
      <c r="B23" s="7">
        <v>42934</v>
      </c>
      <c r="C23" s="44">
        <f t="shared" si="1"/>
        <v>1</v>
      </c>
      <c r="D23" s="8">
        <v>70</v>
      </c>
    </row>
    <row r="24" spans="1:6">
      <c r="A24" s="6">
        <f t="shared" si="0"/>
        <v>42935</v>
      </c>
      <c r="B24" s="7">
        <v>42935</v>
      </c>
      <c r="C24" s="44">
        <f t="shared" si="1"/>
        <v>4</v>
      </c>
      <c r="D24" s="8">
        <v>74</v>
      </c>
    </row>
    <row r="25" spans="1:6">
      <c r="A25" s="6">
        <f t="shared" si="0"/>
        <v>42936</v>
      </c>
      <c r="B25" s="7">
        <v>42936</v>
      </c>
      <c r="C25" s="44">
        <f t="shared" si="1"/>
        <v>0</v>
      </c>
      <c r="D25" s="8">
        <v>74</v>
      </c>
    </row>
    <row r="26" spans="1:6">
      <c r="A26" s="6">
        <f t="shared" si="0"/>
        <v>42937</v>
      </c>
      <c r="B26" s="7">
        <v>42937</v>
      </c>
      <c r="C26" s="44">
        <f t="shared" si="1"/>
        <v>6</v>
      </c>
      <c r="D26" s="8">
        <f>42+38</f>
        <v>80</v>
      </c>
    </row>
    <row r="27" spans="1:6">
      <c r="A27" s="6">
        <f t="shared" si="0"/>
        <v>42938</v>
      </c>
      <c r="B27" s="7">
        <v>42938</v>
      </c>
      <c r="C27" s="44">
        <f t="shared" si="1"/>
        <v>0</v>
      </c>
      <c r="D27" s="8">
        <f>42+38</f>
        <v>80</v>
      </c>
      <c r="E27" s="14" t="s">
        <v>40</v>
      </c>
      <c r="F27" s="9">
        <f>AVERAGE(C27:C33)</f>
        <v>3</v>
      </c>
    </row>
    <row r="28" spans="1:6">
      <c r="A28" s="6">
        <f t="shared" si="0"/>
        <v>42939</v>
      </c>
      <c r="B28" s="7">
        <v>42939</v>
      </c>
      <c r="C28" s="44">
        <f t="shared" si="1"/>
        <v>2</v>
      </c>
      <c r="D28" s="8">
        <f>43+39</f>
        <v>82</v>
      </c>
    </row>
    <row r="29" spans="1:6">
      <c r="A29" s="6">
        <f t="shared" si="0"/>
        <v>42940</v>
      </c>
      <c r="B29" s="7">
        <v>42940</v>
      </c>
      <c r="C29" s="44">
        <f t="shared" si="1"/>
        <v>5</v>
      </c>
      <c r="D29" s="8">
        <v>87</v>
      </c>
    </row>
    <row r="30" spans="1:6">
      <c r="A30" s="6">
        <f t="shared" si="0"/>
        <v>42941</v>
      </c>
      <c r="B30" s="7">
        <v>42941</v>
      </c>
      <c r="C30" s="44">
        <f t="shared" si="1"/>
        <v>6</v>
      </c>
      <c r="D30" s="8">
        <v>93</v>
      </c>
    </row>
    <row r="31" spans="1:6">
      <c r="A31" s="6">
        <f t="shared" si="0"/>
        <v>42942</v>
      </c>
      <c r="B31" s="7">
        <v>42942</v>
      </c>
      <c r="C31" s="44">
        <f t="shared" si="1"/>
        <v>4</v>
      </c>
      <c r="D31" s="8">
        <v>97</v>
      </c>
    </row>
    <row r="32" spans="1:6">
      <c r="A32" s="6">
        <f t="shared" si="0"/>
        <v>42943</v>
      </c>
      <c r="B32" s="7">
        <v>42943</v>
      </c>
      <c r="C32" s="44">
        <f t="shared" si="1"/>
        <v>2</v>
      </c>
      <c r="D32" s="8">
        <v>99</v>
      </c>
    </row>
    <row r="33" spans="1:4">
      <c r="A33" s="6">
        <f t="shared" si="0"/>
        <v>42944</v>
      </c>
      <c r="B33" s="7">
        <v>42944</v>
      </c>
      <c r="C33" s="44">
        <f t="shared" si="1"/>
        <v>2</v>
      </c>
      <c r="D33" s="8">
        <f>53+48</f>
        <v>101</v>
      </c>
    </row>
    <row r="34" spans="1:4">
      <c r="A34" s="6">
        <f t="shared" si="0"/>
        <v>42945</v>
      </c>
      <c r="B34" s="7">
        <v>42945</v>
      </c>
      <c r="C34" s="44">
        <f t="shared" si="1"/>
        <v>4</v>
      </c>
      <c r="D34" s="8">
        <f>56+49</f>
        <v>105</v>
      </c>
    </row>
    <row r="35" spans="1:4">
      <c r="A35" s="6">
        <f t="shared" si="0"/>
        <v>42946</v>
      </c>
      <c r="B35" s="7">
        <v>42946</v>
      </c>
      <c r="C35" s="44">
        <f t="shared" si="1"/>
        <v>4</v>
      </c>
      <c r="D35" s="8">
        <v>109</v>
      </c>
    </row>
    <row r="36" spans="1:4">
      <c r="A36" s="6">
        <f t="shared" si="0"/>
        <v>42947</v>
      </c>
      <c r="B36" s="7">
        <v>42947</v>
      </c>
      <c r="C36" s="14">
        <f t="shared" si="1"/>
        <v>5</v>
      </c>
      <c r="D36" s="9">
        <v>114</v>
      </c>
    </row>
    <row r="37" spans="1:4">
      <c r="B37" s="10" t="s">
        <v>6</v>
      </c>
      <c r="C37" s="11">
        <f>SUM(C6:C36)</f>
        <v>114</v>
      </c>
      <c r="D37" s="12"/>
    </row>
    <row r="38" spans="1:4">
      <c r="C38" s="13"/>
    </row>
    <row r="39" spans="1:4">
      <c r="B39" s="14" t="s">
        <v>7</v>
      </c>
      <c r="C39" s="9">
        <v>110</v>
      </c>
    </row>
    <row r="40" spans="1:4">
      <c r="B40" s="14" t="s">
        <v>8</v>
      </c>
      <c r="C40" s="9">
        <f>C37</f>
        <v>114</v>
      </c>
    </row>
    <row r="41" spans="1:4">
      <c r="B41" s="14" t="s">
        <v>9</v>
      </c>
      <c r="C41" s="9">
        <f>C39-C40</f>
        <v>-4</v>
      </c>
    </row>
    <row r="42" spans="1:4">
      <c r="B42" s="14" t="s">
        <v>10</v>
      </c>
      <c r="C42" s="15">
        <f>C40/C39</f>
        <v>1.0363636363636364</v>
      </c>
    </row>
    <row r="43" spans="1:4">
      <c r="B43" s="14" t="s">
        <v>11</v>
      </c>
      <c r="C43" s="9">
        <f>IF(C40&lt;C39,0,C40-C39)</f>
        <v>4</v>
      </c>
    </row>
    <row r="44" spans="1:4">
      <c r="B44" s="14" t="s">
        <v>12</v>
      </c>
      <c r="C44" s="9">
        <f ca="1">(C39-C37)/C48</f>
        <v>-0.13333333333333333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51" t="s">
        <v>20</v>
      </c>
    </row>
    <row r="58" spans="2:4">
      <c r="B58" s="53"/>
    </row>
    <row r="59" spans="2:4">
      <c r="B59" s="53"/>
    </row>
    <row r="60" spans="2:4">
      <c r="B60" s="53"/>
    </row>
    <row r="61" spans="2:4">
      <c r="B61" s="53"/>
    </row>
    <row r="62" spans="2:4">
      <c r="B62" s="53"/>
    </row>
    <row r="63" spans="2:4">
      <c r="B63" s="53"/>
    </row>
    <row r="64" spans="2:4">
      <c r="B64" s="53"/>
    </row>
    <row r="65" spans="2:2">
      <c r="B65" s="53"/>
    </row>
    <row r="66" spans="2:2">
      <c r="B66" s="53"/>
    </row>
    <row r="67" spans="2:2">
      <c r="B67" s="53"/>
    </row>
    <row r="68" spans="2:2">
      <c r="B68" s="5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7"/>
  <sheetViews>
    <sheetView showGridLines="0" workbookViewId="0">
      <selection activeCell="C6" sqref="C6:C36"/>
    </sheetView>
  </sheetViews>
  <sheetFormatPr baseColWidth="10" defaultColWidth="8.83203125" defaultRowHeight="14" x14ac:dyDescent="0"/>
  <cols>
    <col min="1" max="1" width="13.33203125" customWidth="1"/>
    <col min="2" max="2" width="25.1640625" customWidth="1"/>
    <col min="3" max="3" width="14.6640625" bestFit="1" customWidth="1"/>
    <col min="4" max="4" width="14.83203125" customWidth="1"/>
    <col min="5" max="5" width="11.5" bestFit="1" customWidth="1"/>
    <col min="6" max="6" width="7.83203125" bestFit="1" customWidth="1"/>
  </cols>
  <sheetData>
    <row r="2" spans="1:5">
      <c r="B2" s="1" t="s">
        <v>55</v>
      </c>
    </row>
    <row r="4" spans="1:5">
      <c r="B4" s="2" t="s">
        <v>1</v>
      </c>
      <c r="C4" s="2"/>
    </row>
    <row r="5" spans="1:5">
      <c r="A5" s="3" t="s">
        <v>2</v>
      </c>
      <c r="B5" s="4" t="s">
        <v>3</v>
      </c>
      <c r="C5" s="4" t="s">
        <v>4</v>
      </c>
    </row>
    <row r="6" spans="1:5">
      <c r="A6" s="6">
        <f t="shared" ref="A6:A36" si="0">B6</f>
        <v>42917</v>
      </c>
      <c r="B6" s="7">
        <v>42917</v>
      </c>
      <c r="C6" s="44">
        <v>632</v>
      </c>
      <c r="D6" s="14"/>
      <c r="E6" s="9"/>
    </row>
    <row r="7" spans="1:5">
      <c r="A7" s="6">
        <f t="shared" si="0"/>
        <v>42918</v>
      </c>
      <c r="B7" s="7">
        <v>42918</v>
      </c>
      <c r="C7" s="44">
        <v>563</v>
      </c>
    </row>
    <row r="8" spans="1:5">
      <c r="A8" s="6">
        <f t="shared" si="0"/>
        <v>42919</v>
      </c>
      <c r="B8" s="7">
        <v>42919</v>
      </c>
      <c r="C8" s="44">
        <v>958</v>
      </c>
    </row>
    <row r="9" spans="1:5">
      <c r="A9" s="6">
        <f t="shared" si="0"/>
        <v>42920</v>
      </c>
      <c r="B9" s="7">
        <v>42920</v>
      </c>
      <c r="C9" s="44">
        <v>644</v>
      </c>
    </row>
    <row r="10" spans="1:5">
      <c r="A10" s="6">
        <f t="shared" si="0"/>
        <v>42921</v>
      </c>
      <c r="B10" s="7">
        <v>42921</v>
      </c>
      <c r="C10" s="44">
        <v>1090</v>
      </c>
    </row>
    <row r="11" spans="1:5">
      <c r="A11" s="6">
        <f t="shared" si="0"/>
        <v>42922</v>
      </c>
      <c r="B11" s="7">
        <v>42922</v>
      </c>
      <c r="C11" s="44">
        <v>1150</v>
      </c>
    </row>
    <row r="12" spans="1:5">
      <c r="A12" s="6">
        <f t="shared" si="0"/>
        <v>42923</v>
      </c>
      <c r="B12" s="7">
        <v>42923</v>
      </c>
      <c r="C12" s="44">
        <v>1048</v>
      </c>
    </row>
    <row r="13" spans="1:5">
      <c r="A13" s="6">
        <f t="shared" si="0"/>
        <v>42924</v>
      </c>
      <c r="B13" s="7">
        <v>42924</v>
      </c>
      <c r="C13" s="44">
        <v>720</v>
      </c>
      <c r="D13" s="14"/>
      <c r="E13" s="9"/>
    </row>
    <row r="14" spans="1:5">
      <c r="A14" s="6">
        <f t="shared" si="0"/>
        <v>42925</v>
      </c>
      <c r="B14" s="7">
        <v>42925</v>
      </c>
      <c r="C14" s="44">
        <v>707</v>
      </c>
    </row>
    <row r="15" spans="1:5">
      <c r="A15" s="6">
        <f t="shared" si="0"/>
        <v>42926</v>
      </c>
      <c r="B15" s="7">
        <v>42926</v>
      </c>
      <c r="C15" s="44">
        <v>1141</v>
      </c>
    </row>
    <row r="16" spans="1:5">
      <c r="A16" s="6">
        <f t="shared" si="0"/>
        <v>42927</v>
      </c>
      <c r="B16" s="7">
        <v>42927</v>
      </c>
      <c r="C16" s="44">
        <v>1379</v>
      </c>
    </row>
    <row r="17" spans="1:5">
      <c r="A17" s="6">
        <f t="shared" si="0"/>
        <v>42928</v>
      </c>
      <c r="B17" s="7">
        <v>42928</v>
      </c>
      <c r="C17" s="44">
        <v>1358</v>
      </c>
    </row>
    <row r="18" spans="1:5">
      <c r="A18" s="6">
        <f t="shared" si="0"/>
        <v>42929</v>
      </c>
      <c r="B18" s="7">
        <v>42929</v>
      </c>
      <c r="C18" s="44">
        <v>1352</v>
      </c>
    </row>
    <row r="19" spans="1:5">
      <c r="A19" s="6">
        <f t="shared" si="0"/>
        <v>42930</v>
      </c>
      <c r="B19" s="7">
        <v>42930</v>
      </c>
      <c r="C19" s="44">
        <v>1201</v>
      </c>
    </row>
    <row r="20" spans="1:5">
      <c r="A20" s="6">
        <f t="shared" si="0"/>
        <v>42931</v>
      </c>
      <c r="B20" s="7">
        <v>42931</v>
      </c>
      <c r="C20" s="44">
        <v>784</v>
      </c>
      <c r="D20" s="14"/>
      <c r="E20" s="9"/>
    </row>
    <row r="21" spans="1:5">
      <c r="A21" s="6">
        <f t="shared" si="0"/>
        <v>42932</v>
      </c>
      <c r="B21" s="7">
        <v>42932</v>
      </c>
      <c r="C21" s="44">
        <v>839</v>
      </c>
    </row>
    <row r="22" spans="1:5">
      <c r="A22" s="6">
        <f t="shared" si="0"/>
        <v>42933</v>
      </c>
      <c r="B22" s="7">
        <v>42933</v>
      </c>
      <c r="C22" s="44">
        <v>1385</v>
      </c>
    </row>
    <row r="23" spans="1:5">
      <c r="A23" s="6">
        <f t="shared" si="0"/>
        <v>42934</v>
      </c>
      <c r="B23" s="7">
        <v>42934</v>
      </c>
      <c r="C23" s="44">
        <v>1460</v>
      </c>
    </row>
    <row r="24" spans="1:5">
      <c r="A24" s="6">
        <f t="shared" si="0"/>
        <v>42935</v>
      </c>
      <c r="B24" s="7">
        <v>42935</v>
      </c>
      <c r="C24" s="44">
        <v>1420</v>
      </c>
    </row>
    <row r="25" spans="1:5">
      <c r="A25" s="6">
        <f t="shared" si="0"/>
        <v>42936</v>
      </c>
      <c r="B25" s="7">
        <v>42936</v>
      </c>
      <c r="C25" s="44">
        <v>1362</v>
      </c>
    </row>
    <row r="26" spans="1:5">
      <c r="A26" s="6">
        <f t="shared" si="0"/>
        <v>42937</v>
      </c>
      <c r="B26" s="7">
        <v>42937</v>
      </c>
      <c r="C26" s="44">
        <v>1228</v>
      </c>
    </row>
    <row r="27" spans="1:5">
      <c r="A27" s="6">
        <f t="shared" si="0"/>
        <v>42938</v>
      </c>
      <c r="B27" s="7">
        <v>42938</v>
      </c>
      <c r="C27" s="44">
        <v>843</v>
      </c>
      <c r="D27" s="14"/>
      <c r="E27" s="9"/>
    </row>
    <row r="28" spans="1:5">
      <c r="A28" s="6">
        <f t="shared" si="0"/>
        <v>42939</v>
      </c>
      <c r="B28" s="7">
        <v>42939</v>
      </c>
      <c r="C28" s="44">
        <v>906</v>
      </c>
      <c r="D28" s="36"/>
    </row>
    <row r="29" spans="1:5">
      <c r="A29" s="6">
        <f t="shared" si="0"/>
        <v>42940</v>
      </c>
      <c r="B29" s="7">
        <v>42940</v>
      </c>
      <c r="C29" s="44">
        <v>1437</v>
      </c>
      <c r="D29" s="36"/>
    </row>
    <row r="30" spans="1:5">
      <c r="A30" s="6">
        <f t="shared" si="0"/>
        <v>42941</v>
      </c>
      <c r="B30" s="7">
        <v>42941</v>
      </c>
      <c r="C30" s="44">
        <v>1444</v>
      </c>
      <c r="D30" s="36"/>
    </row>
    <row r="31" spans="1:5">
      <c r="A31" s="6">
        <f t="shared" si="0"/>
        <v>42942</v>
      </c>
      <c r="B31" s="7">
        <v>42942</v>
      </c>
      <c r="C31" s="44">
        <v>1366</v>
      </c>
      <c r="D31" s="36"/>
    </row>
    <row r="32" spans="1:5">
      <c r="A32" s="6">
        <f t="shared" si="0"/>
        <v>42943</v>
      </c>
      <c r="B32" s="7">
        <v>42943</v>
      </c>
      <c r="C32" s="44">
        <v>1358</v>
      </c>
      <c r="D32" s="36"/>
    </row>
    <row r="33" spans="1:4">
      <c r="A33" s="6">
        <f t="shared" si="0"/>
        <v>42944</v>
      </c>
      <c r="B33" s="7">
        <v>42944</v>
      </c>
      <c r="C33" s="44">
        <v>1236</v>
      </c>
      <c r="D33" s="36"/>
    </row>
    <row r="34" spans="1:4">
      <c r="A34" s="6">
        <f t="shared" si="0"/>
        <v>42945</v>
      </c>
      <c r="B34" s="7">
        <v>42945</v>
      </c>
      <c r="C34" s="44">
        <v>836</v>
      </c>
      <c r="D34" s="36"/>
    </row>
    <row r="35" spans="1:4">
      <c r="A35" s="6">
        <f t="shared" si="0"/>
        <v>42946</v>
      </c>
      <c r="B35" s="7">
        <v>42946</v>
      </c>
      <c r="C35" s="44">
        <v>806</v>
      </c>
      <c r="D35" s="36"/>
    </row>
    <row r="36" spans="1:4">
      <c r="A36" s="6">
        <f t="shared" si="0"/>
        <v>42947</v>
      </c>
      <c r="B36" s="7">
        <v>42947</v>
      </c>
      <c r="C36" s="14">
        <v>1297</v>
      </c>
    </row>
    <row r="37" spans="1:4">
      <c r="B37" s="10" t="s">
        <v>6</v>
      </c>
      <c r="C37" s="11">
        <f>SUM(C6:C36)</f>
        <v>33950</v>
      </c>
      <c r="D37" s="12"/>
    </row>
    <row r="38" spans="1:4">
      <c r="C38" s="13"/>
    </row>
    <row r="39" spans="1:4">
      <c r="B39" s="14" t="s">
        <v>7</v>
      </c>
      <c r="C39" s="9">
        <v>22733</v>
      </c>
    </row>
    <row r="40" spans="1:4">
      <c r="B40" s="14" t="s">
        <v>8</v>
      </c>
      <c r="C40" s="9">
        <f>C37</f>
        <v>33950</v>
      </c>
    </row>
    <row r="41" spans="1:4">
      <c r="B41" s="14" t="s">
        <v>9</v>
      </c>
      <c r="C41" s="9">
        <f>C39-C40</f>
        <v>-11217</v>
      </c>
    </row>
    <row r="42" spans="1:4">
      <c r="B42" s="14" t="s">
        <v>10</v>
      </c>
      <c r="C42" s="15">
        <f>C40/C39</f>
        <v>1.4934236572383759</v>
      </c>
    </row>
    <row r="43" spans="1:4">
      <c r="B43" s="14" t="s">
        <v>11</v>
      </c>
      <c r="C43" s="9">
        <f>IF(C40&lt;C39,0,C40-C39)</f>
        <v>11217</v>
      </c>
    </row>
    <row r="44" spans="1:4">
      <c r="B44" s="14" t="s">
        <v>12</v>
      </c>
      <c r="C44" s="9">
        <f ca="1">(C39-C37)/C48</f>
        <v>-373.9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7"/>
  <sheetViews>
    <sheetView showGridLines="0" tabSelected="1" workbookViewId="0">
      <selection activeCell="E18" sqref="E18"/>
    </sheetView>
  </sheetViews>
  <sheetFormatPr baseColWidth="10" defaultColWidth="8.83203125" defaultRowHeight="14" x14ac:dyDescent="0"/>
  <cols>
    <col min="1" max="1" width="12.1640625" customWidth="1"/>
    <col min="2" max="2" width="22.5" bestFit="1" customWidth="1"/>
    <col min="3" max="3" width="15.5" bestFit="1" customWidth="1"/>
    <col min="4" max="4" width="14.83203125" customWidth="1"/>
  </cols>
  <sheetData>
    <row r="2" spans="1:4">
      <c r="B2" s="1" t="s">
        <v>24</v>
      </c>
    </row>
    <row r="4" spans="1:4">
      <c r="B4" s="2" t="s">
        <v>1</v>
      </c>
      <c r="C4" s="2"/>
    </row>
    <row r="5" spans="1:4">
      <c r="A5" s="3" t="s">
        <v>2</v>
      </c>
      <c r="B5" s="4" t="s">
        <v>3</v>
      </c>
      <c r="C5" s="4" t="s">
        <v>4</v>
      </c>
    </row>
    <row r="6" spans="1:4">
      <c r="A6" s="6">
        <f t="shared" ref="A6:A36" si="0">B6</f>
        <v>42917</v>
      </c>
      <c r="B6" s="7">
        <v>42917</v>
      </c>
      <c r="C6" s="8">
        <v>213</v>
      </c>
      <c r="D6" s="35"/>
    </row>
    <row r="7" spans="1:4">
      <c r="A7" s="6">
        <f t="shared" si="0"/>
        <v>42918</v>
      </c>
      <c r="B7" s="7">
        <v>42918</v>
      </c>
      <c r="C7" s="8">
        <v>224</v>
      </c>
      <c r="D7" s="35"/>
    </row>
    <row r="8" spans="1:4">
      <c r="A8" s="6">
        <f t="shared" si="0"/>
        <v>42919</v>
      </c>
      <c r="B8" s="7">
        <v>42919</v>
      </c>
      <c r="C8" s="8">
        <v>364</v>
      </c>
      <c r="D8" s="35"/>
    </row>
    <row r="9" spans="1:4">
      <c r="A9" s="6">
        <f t="shared" si="0"/>
        <v>42920</v>
      </c>
      <c r="B9" s="7">
        <v>42920</v>
      </c>
      <c r="C9" s="8">
        <v>221</v>
      </c>
      <c r="D9" s="35"/>
    </row>
    <row r="10" spans="1:4">
      <c r="A10" s="6">
        <f t="shared" si="0"/>
        <v>42921</v>
      </c>
      <c r="B10" s="7">
        <v>42921</v>
      </c>
      <c r="C10" s="8">
        <v>454</v>
      </c>
      <c r="D10" s="35"/>
    </row>
    <row r="11" spans="1:4">
      <c r="A11" s="6">
        <f t="shared" si="0"/>
        <v>42922</v>
      </c>
      <c r="B11" s="7">
        <v>42922</v>
      </c>
      <c r="C11" s="8">
        <v>483</v>
      </c>
      <c r="D11" s="35"/>
    </row>
    <row r="12" spans="1:4">
      <c r="A12" s="6">
        <f t="shared" si="0"/>
        <v>42923</v>
      </c>
      <c r="B12" s="7">
        <v>42923</v>
      </c>
      <c r="C12" s="8">
        <v>426</v>
      </c>
      <c r="D12" s="35"/>
    </row>
    <row r="13" spans="1:4">
      <c r="A13" s="6">
        <f t="shared" si="0"/>
        <v>42924</v>
      </c>
      <c r="B13" s="7">
        <v>42924</v>
      </c>
      <c r="C13" s="8">
        <v>268</v>
      </c>
      <c r="D13" s="35"/>
    </row>
    <row r="14" spans="1:4">
      <c r="A14" s="6">
        <f t="shared" si="0"/>
        <v>42925</v>
      </c>
      <c r="B14" s="7">
        <v>42925</v>
      </c>
      <c r="C14" s="8">
        <v>258</v>
      </c>
      <c r="D14" s="35"/>
    </row>
    <row r="15" spans="1:4">
      <c r="A15" s="6">
        <f t="shared" si="0"/>
        <v>42926</v>
      </c>
      <c r="B15" s="7">
        <v>42926</v>
      </c>
      <c r="C15" s="8">
        <v>460</v>
      </c>
      <c r="D15" s="35"/>
    </row>
    <row r="16" spans="1:4">
      <c r="A16" s="6">
        <f t="shared" si="0"/>
        <v>42927</v>
      </c>
      <c r="B16" s="7">
        <v>42927</v>
      </c>
      <c r="C16" s="8">
        <v>548</v>
      </c>
      <c r="D16" s="35"/>
    </row>
    <row r="17" spans="1:4">
      <c r="A17" s="6">
        <f t="shared" si="0"/>
        <v>42928</v>
      </c>
      <c r="B17" s="7">
        <v>42928</v>
      </c>
      <c r="C17" s="8">
        <v>549</v>
      </c>
      <c r="D17" s="35"/>
    </row>
    <row r="18" spans="1:4">
      <c r="A18" s="6">
        <f t="shared" si="0"/>
        <v>42929</v>
      </c>
      <c r="B18" s="7">
        <v>42929</v>
      </c>
      <c r="C18" s="8">
        <v>465</v>
      </c>
      <c r="D18" s="35"/>
    </row>
    <row r="19" spans="1:4">
      <c r="A19" s="6">
        <f t="shared" si="0"/>
        <v>42930</v>
      </c>
      <c r="B19" s="7">
        <v>42930</v>
      </c>
      <c r="C19" s="8">
        <v>447</v>
      </c>
      <c r="D19" s="35"/>
    </row>
    <row r="20" spans="1:4">
      <c r="A20" s="6">
        <f t="shared" si="0"/>
        <v>42931</v>
      </c>
      <c r="B20" s="7">
        <v>42931</v>
      </c>
      <c r="C20" s="8">
        <v>225</v>
      </c>
      <c r="D20" s="35"/>
    </row>
    <row r="21" spans="1:4">
      <c r="A21" s="6">
        <f t="shared" si="0"/>
        <v>42932</v>
      </c>
      <c r="B21" s="7">
        <v>42932</v>
      </c>
      <c r="C21" s="8">
        <v>274</v>
      </c>
      <c r="D21" s="35"/>
    </row>
    <row r="22" spans="1:4">
      <c r="A22" s="6">
        <f t="shared" si="0"/>
        <v>42933</v>
      </c>
      <c r="B22" s="7">
        <v>42933</v>
      </c>
      <c r="C22" s="8">
        <v>462</v>
      </c>
      <c r="D22" s="35"/>
    </row>
    <row r="23" spans="1:4">
      <c r="A23" s="6">
        <f t="shared" si="0"/>
        <v>42934</v>
      </c>
      <c r="B23" s="7">
        <v>42934</v>
      </c>
      <c r="C23" s="8">
        <v>460</v>
      </c>
      <c r="D23" s="35"/>
    </row>
    <row r="24" spans="1:4">
      <c r="A24" s="6">
        <f t="shared" si="0"/>
        <v>42935</v>
      </c>
      <c r="B24" s="7">
        <v>42935</v>
      </c>
      <c r="C24" s="8">
        <v>498</v>
      </c>
      <c r="D24" s="35"/>
    </row>
    <row r="25" spans="1:4">
      <c r="A25" s="6">
        <f t="shared" si="0"/>
        <v>42936</v>
      </c>
      <c r="B25" s="7">
        <v>42936</v>
      </c>
      <c r="C25" s="8">
        <v>549</v>
      </c>
      <c r="D25" s="35"/>
    </row>
    <row r="26" spans="1:4">
      <c r="A26" s="6">
        <f t="shared" si="0"/>
        <v>42937</v>
      </c>
      <c r="B26" s="7">
        <v>42937</v>
      </c>
      <c r="C26" s="8">
        <v>401</v>
      </c>
      <c r="D26" s="35"/>
    </row>
    <row r="27" spans="1:4">
      <c r="A27" s="6">
        <f t="shared" si="0"/>
        <v>42938</v>
      </c>
      <c r="B27" s="7">
        <v>42938</v>
      </c>
      <c r="C27" s="8">
        <v>257</v>
      </c>
      <c r="D27" s="35"/>
    </row>
    <row r="28" spans="1:4">
      <c r="A28" s="6">
        <f t="shared" si="0"/>
        <v>42939</v>
      </c>
      <c r="B28" s="7">
        <v>42939</v>
      </c>
      <c r="C28" s="8">
        <v>239</v>
      </c>
      <c r="D28" s="35"/>
    </row>
    <row r="29" spans="1:4">
      <c r="A29" s="6">
        <f t="shared" si="0"/>
        <v>42940</v>
      </c>
      <c r="B29" s="7">
        <v>42940</v>
      </c>
      <c r="C29" s="8">
        <v>501</v>
      </c>
      <c r="D29" s="35"/>
    </row>
    <row r="30" spans="1:4">
      <c r="A30" s="6">
        <f t="shared" si="0"/>
        <v>42941</v>
      </c>
      <c r="B30" s="7">
        <v>42941</v>
      </c>
      <c r="C30" s="8">
        <v>500</v>
      </c>
      <c r="D30" s="35"/>
    </row>
    <row r="31" spans="1:4" ht="16.5" customHeight="1">
      <c r="A31" s="6">
        <f t="shared" si="0"/>
        <v>42942</v>
      </c>
      <c r="B31" s="7">
        <v>42942</v>
      </c>
      <c r="C31" s="8">
        <v>479</v>
      </c>
      <c r="D31" s="35"/>
    </row>
    <row r="32" spans="1:4" ht="15" customHeight="1">
      <c r="A32" s="6">
        <f t="shared" si="0"/>
        <v>42943</v>
      </c>
      <c r="B32" s="7">
        <v>42943</v>
      </c>
      <c r="C32" s="8">
        <v>456</v>
      </c>
      <c r="D32" s="35"/>
    </row>
    <row r="33" spans="1:4">
      <c r="A33" s="6">
        <f t="shared" si="0"/>
        <v>42944</v>
      </c>
      <c r="B33" s="7">
        <v>42944</v>
      </c>
      <c r="C33" s="8">
        <v>400</v>
      </c>
      <c r="D33" s="35"/>
    </row>
    <row r="34" spans="1:4">
      <c r="A34" s="6">
        <f t="shared" si="0"/>
        <v>42945</v>
      </c>
      <c r="B34" s="7">
        <v>42945</v>
      </c>
      <c r="C34" s="8">
        <v>236</v>
      </c>
      <c r="D34" s="35"/>
    </row>
    <row r="35" spans="1:4">
      <c r="A35" s="6">
        <f t="shared" si="0"/>
        <v>42946</v>
      </c>
      <c r="B35" s="7">
        <v>42946</v>
      </c>
      <c r="C35" s="8">
        <v>247</v>
      </c>
      <c r="D35" s="35"/>
    </row>
    <row r="36" spans="1:4">
      <c r="A36" s="6">
        <f t="shared" si="0"/>
        <v>42947</v>
      </c>
      <c r="B36" s="7">
        <v>42947</v>
      </c>
      <c r="C36" s="9">
        <v>432</v>
      </c>
      <c r="D36" s="13"/>
    </row>
    <row r="37" spans="1:4" ht="18" customHeight="1">
      <c r="B37" s="10" t="s">
        <v>6</v>
      </c>
      <c r="C37" s="11">
        <f>SUM(C6:C36)</f>
        <v>11996</v>
      </c>
    </row>
    <row r="38" spans="1:4">
      <c r="C38" s="13"/>
    </row>
    <row r="39" spans="1:4">
      <c r="B39" s="14" t="s">
        <v>7</v>
      </c>
      <c r="C39" s="9">
        <v>27947</v>
      </c>
    </row>
    <row r="40" spans="1:4">
      <c r="B40" s="14" t="s">
        <v>8</v>
      </c>
      <c r="C40" s="9">
        <f>C37</f>
        <v>11996</v>
      </c>
    </row>
    <row r="41" spans="1:4">
      <c r="B41" s="14" t="s">
        <v>9</v>
      </c>
      <c r="C41" s="9">
        <f>C39-C40</f>
        <v>15951</v>
      </c>
    </row>
    <row r="42" spans="1:4">
      <c r="B42" s="14" t="s">
        <v>10</v>
      </c>
      <c r="C42" s="15">
        <f>C40/C39</f>
        <v>0.4292410634415143</v>
      </c>
    </row>
    <row r="43" spans="1:4">
      <c r="B43" s="14" t="s">
        <v>11</v>
      </c>
      <c r="C43" s="9">
        <f>IF(C40&lt;C39,0,C40-C39)</f>
        <v>0</v>
      </c>
    </row>
    <row r="44" spans="1:4">
      <c r="B44" s="14" t="s">
        <v>12</v>
      </c>
      <c r="C44" s="9">
        <f ca="1">(C39-C37)/C48</f>
        <v>531.70000000000005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33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GridLines="0" workbookViewId="0">
      <selection activeCell="H28" sqref="H28"/>
    </sheetView>
  </sheetViews>
  <sheetFormatPr baseColWidth="10" defaultColWidth="8.83203125" defaultRowHeight="14" x14ac:dyDescent="0"/>
  <cols>
    <col min="1" max="1" width="13.33203125" customWidth="1"/>
    <col min="2" max="2" width="25.1640625" customWidth="1"/>
    <col min="3" max="3" width="14.6640625" bestFit="1" customWidth="1"/>
    <col min="4" max="4" width="14.83203125" customWidth="1"/>
    <col min="5" max="5" width="15.33203125" bestFit="1" customWidth="1"/>
    <col min="6" max="6" width="7.83203125" bestFit="1" customWidth="1"/>
  </cols>
  <sheetData>
    <row r="2" spans="1:11">
      <c r="B2" s="1" t="s">
        <v>56</v>
      </c>
    </row>
    <row r="4" spans="1:11">
      <c r="B4" s="2" t="s">
        <v>1</v>
      </c>
      <c r="C4" s="2"/>
    </row>
    <row r="5" spans="1:11">
      <c r="A5" s="3" t="s">
        <v>2</v>
      </c>
      <c r="B5" s="4" t="s">
        <v>3</v>
      </c>
      <c r="C5" s="4" t="s">
        <v>57</v>
      </c>
      <c r="D5" s="4" t="s">
        <v>58</v>
      </c>
      <c r="E5" s="4" t="s">
        <v>59</v>
      </c>
      <c r="I5" s="60"/>
      <c r="J5" s="60"/>
      <c r="K5" s="60"/>
    </row>
    <row r="6" spans="1:11">
      <c r="A6" s="6">
        <f t="shared" ref="A6:A36" si="0">B6</f>
        <v>42917</v>
      </c>
      <c r="B6" s="7">
        <v>42917</v>
      </c>
      <c r="C6" s="44">
        <v>142</v>
      </c>
      <c r="D6" s="44">
        <v>36</v>
      </c>
      <c r="E6" s="14">
        <v>308</v>
      </c>
      <c r="I6" s="60"/>
      <c r="J6" s="61"/>
      <c r="K6" s="60"/>
    </row>
    <row r="7" spans="1:11">
      <c r="A7" s="6">
        <f t="shared" si="0"/>
        <v>42918</v>
      </c>
      <c r="B7" s="7">
        <v>42918</v>
      </c>
      <c r="C7" s="44">
        <v>148</v>
      </c>
      <c r="D7" s="44">
        <v>32</v>
      </c>
      <c r="E7" s="14">
        <v>273</v>
      </c>
      <c r="I7" s="60"/>
      <c r="J7" s="60"/>
      <c r="K7" s="60"/>
    </row>
    <row r="8" spans="1:11">
      <c r="A8" s="6">
        <f t="shared" si="0"/>
        <v>42919</v>
      </c>
      <c r="B8" s="7">
        <v>42919</v>
      </c>
      <c r="C8" s="44">
        <v>260</v>
      </c>
      <c r="D8" s="44">
        <v>67</v>
      </c>
      <c r="E8" s="14">
        <v>355</v>
      </c>
      <c r="I8" s="60"/>
      <c r="J8" s="60"/>
      <c r="K8" s="60"/>
    </row>
    <row r="9" spans="1:11">
      <c r="A9" s="6">
        <f t="shared" si="0"/>
        <v>42920</v>
      </c>
      <c r="B9" s="7">
        <v>42920</v>
      </c>
      <c r="C9" s="44">
        <v>161</v>
      </c>
      <c r="D9" s="44">
        <v>81</v>
      </c>
      <c r="E9" s="14">
        <v>346</v>
      </c>
      <c r="I9" s="60"/>
      <c r="J9" s="60"/>
      <c r="K9" s="60"/>
    </row>
    <row r="10" spans="1:11">
      <c r="A10" s="6">
        <f t="shared" si="0"/>
        <v>42921</v>
      </c>
      <c r="B10" s="7">
        <v>42921</v>
      </c>
      <c r="C10" s="44">
        <v>321</v>
      </c>
      <c r="D10" s="44">
        <v>99</v>
      </c>
      <c r="E10" s="14">
        <v>559</v>
      </c>
      <c r="I10" s="60"/>
      <c r="J10" s="60"/>
      <c r="K10" s="60"/>
    </row>
    <row r="11" spans="1:11">
      <c r="A11" s="6">
        <f t="shared" si="0"/>
        <v>42922</v>
      </c>
      <c r="B11" s="7">
        <v>42922</v>
      </c>
      <c r="C11" s="44">
        <v>332</v>
      </c>
      <c r="D11" s="44">
        <v>103</v>
      </c>
      <c r="E11" s="14">
        <v>600</v>
      </c>
      <c r="I11" s="60"/>
      <c r="J11" s="60"/>
      <c r="K11" s="60"/>
    </row>
    <row r="12" spans="1:11">
      <c r="A12" s="6">
        <f t="shared" si="0"/>
        <v>42923</v>
      </c>
      <c r="B12" s="7">
        <v>42923</v>
      </c>
      <c r="C12" s="44">
        <v>300</v>
      </c>
      <c r="D12" s="44">
        <v>94</v>
      </c>
      <c r="E12" s="14">
        <v>499</v>
      </c>
      <c r="I12" s="60"/>
      <c r="J12" s="60"/>
      <c r="K12" s="60"/>
    </row>
    <row r="13" spans="1:11">
      <c r="A13" s="6">
        <f t="shared" si="0"/>
        <v>42924</v>
      </c>
      <c r="B13" s="7">
        <v>42924</v>
      </c>
      <c r="C13" s="44">
        <v>186</v>
      </c>
      <c r="D13" s="44">
        <v>30</v>
      </c>
      <c r="E13" s="14">
        <v>336</v>
      </c>
      <c r="I13" s="60"/>
      <c r="J13" s="61"/>
      <c r="K13" s="60"/>
    </row>
    <row r="14" spans="1:11">
      <c r="A14" s="6">
        <f t="shared" si="0"/>
        <v>42925</v>
      </c>
      <c r="B14" s="7">
        <v>42925</v>
      </c>
      <c r="C14" s="44">
        <v>152</v>
      </c>
      <c r="D14" s="44">
        <v>58</v>
      </c>
      <c r="E14" s="14">
        <v>349</v>
      </c>
      <c r="I14" s="60"/>
      <c r="J14" s="60"/>
      <c r="K14" s="60"/>
    </row>
    <row r="15" spans="1:11">
      <c r="A15" s="6">
        <f t="shared" si="0"/>
        <v>42926</v>
      </c>
      <c r="B15" s="7">
        <v>42926</v>
      </c>
      <c r="C15" s="44">
        <v>363</v>
      </c>
      <c r="D15" s="44">
        <v>83</v>
      </c>
      <c r="E15" s="14">
        <v>554</v>
      </c>
      <c r="I15" s="60"/>
      <c r="J15" s="60"/>
      <c r="K15" s="60"/>
    </row>
    <row r="16" spans="1:11">
      <c r="A16" s="6">
        <f t="shared" si="0"/>
        <v>42927</v>
      </c>
      <c r="B16" s="7">
        <v>42927</v>
      </c>
      <c r="C16" s="44">
        <v>369</v>
      </c>
      <c r="D16" s="44">
        <v>83</v>
      </c>
      <c r="E16" s="14">
        <v>639</v>
      </c>
      <c r="I16" s="60"/>
      <c r="J16" s="60"/>
      <c r="K16" s="60"/>
    </row>
    <row r="17" spans="1:11">
      <c r="A17" s="6">
        <f t="shared" si="0"/>
        <v>42928</v>
      </c>
      <c r="B17" s="7">
        <v>42928</v>
      </c>
      <c r="C17" s="44">
        <v>408</v>
      </c>
      <c r="D17" s="44">
        <v>81</v>
      </c>
      <c r="E17" s="14">
        <v>610</v>
      </c>
      <c r="I17" s="60"/>
      <c r="J17" s="60"/>
      <c r="K17" s="60"/>
    </row>
    <row r="18" spans="1:11">
      <c r="A18" s="6">
        <f t="shared" si="0"/>
        <v>42929</v>
      </c>
      <c r="B18" s="7">
        <v>42929</v>
      </c>
      <c r="C18" s="44">
        <v>386</v>
      </c>
      <c r="D18" s="44">
        <v>80</v>
      </c>
      <c r="E18" s="14">
        <v>526</v>
      </c>
      <c r="I18" s="60"/>
      <c r="J18" s="60"/>
      <c r="K18" s="60"/>
    </row>
    <row r="19" spans="1:11">
      <c r="A19" s="6">
        <f t="shared" si="0"/>
        <v>42930</v>
      </c>
      <c r="B19" s="7">
        <v>42930</v>
      </c>
      <c r="C19" s="44">
        <v>323</v>
      </c>
      <c r="D19" s="44">
        <v>67</v>
      </c>
      <c r="E19" s="14">
        <v>514</v>
      </c>
      <c r="I19" s="60"/>
      <c r="J19" s="60"/>
      <c r="K19" s="60"/>
    </row>
    <row r="20" spans="1:11">
      <c r="A20" s="6">
        <f t="shared" si="0"/>
        <v>42931</v>
      </c>
      <c r="B20" s="7">
        <v>42931</v>
      </c>
      <c r="C20" s="44">
        <v>205</v>
      </c>
      <c r="D20" s="44">
        <v>27</v>
      </c>
      <c r="E20" s="14">
        <v>353</v>
      </c>
      <c r="I20" s="60"/>
      <c r="J20" s="61"/>
      <c r="K20" s="60"/>
    </row>
    <row r="21" spans="1:11">
      <c r="A21" s="6">
        <f t="shared" si="0"/>
        <v>42932</v>
      </c>
      <c r="B21" s="7">
        <v>42932</v>
      </c>
      <c r="C21" s="44">
        <v>195</v>
      </c>
      <c r="D21" s="44">
        <v>21</v>
      </c>
      <c r="E21" s="14">
        <v>357</v>
      </c>
      <c r="I21" s="60"/>
      <c r="J21" s="60"/>
      <c r="K21" s="60"/>
    </row>
    <row r="22" spans="1:11">
      <c r="A22" s="6">
        <f t="shared" si="0"/>
        <v>42933</v>
      </c>
      <c r="B22" s="7">
        <v>42933</v>
      </c>
      <c r="C22" s="44">
        <v>382</v>
      </c>
      <c r="D22" s="44">
        <v>111</v>
      </c>
      <c r="E22" s="14">
        <v>536</v>
      </c>
      <c r="I22" s="60"/>
      <c r="J22" s="60"/>
      <c r="K22" s="60"/>
    </row>
    <row r="23" spans="1:11">
      <c r="A23" s="6">
        <f t="shared" si="0"/>
        <v>42934</v>
      </c>
      <c r="B23" s="7">
        <v>42934</v>
      </c>
      <c r="C23" s="44">
        <v>338</v>
      </c>
      <c r="D23" s="44">
        <v>100</v>
      </c>
      <c r="E23" s="14">
        <v>570</v>
      </c>
      <c r="I23" s="60"/>
      <c r="J23" s="60"/>
      <c r="K23" s="60"/>
    </row>
    <row r="24" spans="1:11">
      <c r="A24" s="6">
        <f t="shared" si="0"/>
        <v>42935</v>
      </c>
      <c r="B24" s="7">
        <v>42935</v>
      </c>
      <c r="C24" s="44">
        <v>337</v>
      </c>
      <c r="D24" s="44">
        <v>95</v>
      </c>
      <c r="E24" s="14">
        <v>553</v>
      </c>
      <c r="I24" s="60"/>
      <c r="J24" s="60"/>
      <c r="K24" s="60"/>
    </row>
    <row r="25" spans="1:11">
      <c r="A25" s="6">
        <f t="shared" si="0"/>
        <v>42936</v>
      </c>
      <c r="B25" s="7">
        <v>42936</v>
      </c>
      <c r="C25" s="44">
        <v>341</v>
      </c>
      <c r="D25" s="44">
        <v>83</v>
      </c>
      <c r="E25" s="14">
        <v>540</v>
      </c>
      <c r="I25" s="60"/>
      <c r="J25" s="60"/>
      <c r="K25" s="60"/>
    </row>
    <row r="26" spans="1:11">
      <c r="A26" s="6">
        <f t="shared" si="0"/>
        <v>42937</v>
      </c>
      <c r="B26" s="7">
        <v>42937</v>
      </c>
      <c r="C26" s="44">
        <v>325</v>
      </c>
      <c r="D26" s="44">
        <v>75</v>
      </c>
      <c r="E26" s="14">
        <v>514</v>
      </c>
      <c r="I26" s="60"/>
      <c r="J26" s="60"/>
      <c r="K26" s="60"/>
    </row>
    <row r="27" spans="1:11">
      <c r="A27" s="6">
        <f t="shared" si="0"/>
        <v>42938</v>
      </c>
      <c r="B27" s="7">
        <v>42938</v>
      </c>
      <c r="C27" s="44">
        <v>194</v>
      </c>
      <c r="D27" s="44">
        <v>43</v>
      </c>
      <c r="E27" s="14">
        <v>332</v>
      </c>
      <c r="I27" s="60"/>
      <c r="J27" s="61"/>
      <c r="K27" s="60"/>
    </row>
    <row r="28" spans="1:11">
      <c r="A28" s="6">
        <f t="shared" si="0"/>
        <v>42939</v>
      </c>
      <c r="B28" s="7">
        <v>42939</v>
      </c>
      <c r="C28" s="44">
        <v>161</v>
      </c>
      <c r="D28" s="44">
        <v>43</v>
      </c>
      <c r="E28" s="14">
        <v>351</v>
      </c>
      <c r="I28" s="60"/>
      <c r="J28" s="60"/>
      <c r="K28" s="60"/>
    </row>
    <row r="29" spans="1:11">
      <c r="A29" s="6">
        <f t="shared" si="0"/>
        <v>42940</v>
      </c>
      <c r="B29" s="7">
        <v>42940</v>
      </c>
      <c r="C29" s="44">
        <v>429</v>
      </c>
      <c r="D29" s="44">
        <v>98</v>
      </c>
      <c r="E29" s="14">
        <v>540</v>
      </c>
      <c r="I29" s="60"/>
      <c r="J29" s="60"/>
      <c r="K29" s="60"/>
    </row>
    <row r="30" spans="1:11">
      <c r="A30" s="6">
        <f t="shared" si="0"/>
        <v>42941</v>
      </c>
      <c r="B30" s="7">
        <v>42941</v>
      </c>
      <c r="C30" s="44">
        <v>396</v>
      </c>
      <c r="D30" s="44">
        <v>110</v>
      </c>
      <c r="E30" s="14">
        <v>540</v>
      </c>
      <c r="I30" s="60"/>
      <c r="J30" s="60"/>
      <c r="K30" s="60"/>
    </row>
    <row r="31" spans="1:11">
      <c r="A31" s="6">
        <f t="shared" si="0"/>
        <v>42942</v>
      </c>
      <c r="B31" s="7">
        <v>42942</v>
      </c>
      <c r="C31" s="44">
        <v>343</v>
      </c>
      <c r="D31" s="44">
        <v>78</v>
      </c>
      <c r="E31" s="14">
        <v>590</v>
      </c>
      <c r="I31" s="60"/>
      <c r="J31" s="60"/>
      <c r="K31" s="60"/>
    </row>
    <row r="32" spans="1:11">
      <c r="A32" s="6">
        <f t="shared" si="0"/>
        <v>42943</v>
      </c>
      <c r="B32" s="7">
        <v>42943</v>
      </c>
      <c r="C32" s="44">
        <v>400</v>
      </c>
      <c r="D32" s="44">
        <v>74</v>
      </c>
      <c r="E32" s="14">
        <v>507</v>
      </c>
      <c r="I32" s="60"/>
      <c r="J32" s="60"/>
      <c r="K32" s="60"/>
    </row>
    <row r="33" spans="1:11">
      <c r="A33" s="6">
        <f t="shared" si="0"/>
        <v>42944</v>
      </c>
      <c r="B33" s="7">
        <v>42944</v>
      </c>
      <c r="C33" s="44">
        <v>323</v>
      </c>
      <c r="D33" s="44">
        <v>76</v>
      </c>
      <c r="E33" s="14">
        <v>432</v>
      </c>
      <c r="I33" s="60"/>
      <c r="J33" s="60"/>
      <c r="K33" s="60"/>
    </row>
    <row r="34" spans="1:11">
      <c r="A34" s="6">
        <f t="shared" si="0"/>
        <v>42945</v>
      </c>
      <c r="B34" s="7">
        <v>42945</v>
      </c>
      <c r="C34" s="44">
        <v>182</v>
      </c>
      <c r="D34" s="44">
        <v>32</v>
      </c>
      <c r="E34" s="14">
        <v>330</v>
      </c>
      <c r="I34" s="60"/>
      <c r="J34" s="60"/>
      <c r="K34" s="60"/>
    </row>
    <row r="35" spans="1:11">
      <c r="A35" s="6">
        <f t="shared" si="0"/>
        <v>42946</v>
      </c>
      <c r="B35" s="7">
        <v>42946</v>
      </c>
      <c r="C35" s="44">
        <v>181</v>
      </c>
      <c r="D35" s="44">
        <v>25</v>
      </c>
      <c r="E35" s="14">
        <v>329</v>
      </c>
      <c r="I35" s="60"/>
      <c r="J35" s="60"/>
      <c r="K35" s="60"/>
    </row>
    <row r="36" spans="1:11">
      <c r="A36" s="6">
        <f t="shared" si="0"/>
        <v>42947</v>
      </c>
      <c r="B36" s="7">
        <v>42947</v>
      </c>
      <c r="C36" s="14">
        <v>346</v>
      </c>
      <c r="D36" s="44">
        <v>77</v>
      </c>
      <c r="E36" s="14">
        <v>548</v>
      </c>
    </row>
    <row r="37" spans="1:11">
      <c r="B37" s="10" t="s">
        <v>6</v>
      </c>
      <c r="C37" s="11">
        <f>SUM(C6:C36)</f>
        <v>8929</v>
      </c>
      <c r="D37" s="12"/>
    </row>
    <row r="38" spans="1:11">
      <c r="C38" s="13"/>
    </row>
    <row r="39" spans="1:11">
      <c r="B39" s="14" t="s">
        <v>7</v>
      </c>
      <c r="C39" s="9">
        <v>20197</v>
      </c>
    </row>
    <row r="40" spans="1:11">
      <c r="B40" s="14" t="s">
        <v>8</v>
      </c>
      <c r="C40" s="9">
        <f>C37</f>
        <v>8929</v>
      </c>
    </row>
    <row r="41" spans="1:11">
      <c r="B41" s="14" t="s">
        <v>9</v>
      </c>
      <c r="C41" s="9">
        <f>C39-C40</f>
        <v>11268</v>
      </c>
    </row>
    <row r="42" spans="1:11">
      <c r="B42" s="14" t="s">
        <v>10</v>
      </c>
      <c r="C42" s="15">
        <f>C40/C39</f>
        <v>0.44209536069713323</v>
      </c>
    </row>
    <row r="43" spans="1:11">
      <c r="B43" s="14" t="s">
        <v>11</v>
      </c>
      <c r="C43" s="9">
        <f>IF(C40&lt;C39,0,C40-C39)</f>
        <v>0</v>
      </c>
    </row>
    <row r="44" spans="1:11">
      <c r="B44" s="14" t="s">
        <v>12</v>
      </c>
      <c r="C44" s="9">
        <f ca="1">(C39-C37)/C48</f>
        <v>375.6</v>
      </c>
    </row>
    <row r="45" spans="1:11" ht="15.75" customHeight="1" thickBot="1"/>
    <row r="46" spans="1:11">
      <c r="B46" s="16" t="s">
        <v>13</v>
      </c>
      <c r="C46" s="17">
        <f ca="1">C50-C49</f>
        <v>1</v>
      </c>
      <c r="D46" s="18"/>
    </row>
    <row r="47" spans="1:11">
      <c r="B47" s="19" t="s">
        <v>14</v>
      </c>
      <c r="C47" s="20">
        <f ca="1">D49-C49+1</f>
        <v>31</v>
      </c>
      <c r="D47" s="21"/>
    </row>
    <row r="48" spans="1:11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workbookViewId="0">
      <selection activeCell="C38" sqref="C38"/>
    </sheetView>
  </sheetViews>
  <sheetFormatPr baseColWidth="10" defaultColWidth="8.83203125" defaultRowHeight="14" x14ac:dyDescent="0"/>
  <cols>
    <col min="1" max="1" width="13.33203125" customWidth="1"/>
    <col min="2" max="2" width="25.1640625" customWidth="1"/>
    <col min="3" max="3" width="14.6640625" bestFit="1" customWidth="1"/>
    <col min="4" max="4" width="14.83203125" customWidth="1"/>
    <col min="5" max="5" width="11.5" bestFit="1" customWidth="1"/>
    <col min="6" max="6" width="7.83203125" bestFit="1" customWidth="1"/>
  </cols>
  <sheetData>
    <row r="2" spans="1:6">
      <c r="B2" s="1" t="s">
        <v>61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4</v>
      </c>
    </row>
    <row r="6" spans="1:6">
      <c r="A6" s="6">
        <f t="shared" ref="A6:A36" si="0">B6</f>
        <v>42917</v>
      </c>
      <c r="B6" s="7">
        <v>42917</v>
      </c>
      <c r="C6" s="44">
        <v>17</v>
      </c>
      <c r="D6" s="36"/>
      <c r="E6" s="14"/>
      <c r="F6" s="9">
        <f>AVERAGE(C6:C12)</f>
        <v>23.714285714285715</v>
      </c>
    </row>
    <row r="7" spans="1:6">
      <c r="A7" s="6">
        <f t="shared" si="0"/>
        <v>42918</v>
      </c>
      <c r="B7" s="7">
        <v>42918</v>
      </c>
      <c r="C7" s="44">
        <v>10</v>
      </c>
      <c r="D7" s="36"/>
    </row>
    <row r="8" spans="1:6">
      <c r="A8" s="6">
        <f t="shared" si="0"/>
        <v>42919</v>
      </c>
      <c r="B8" s="7">
        <v>42919</v>
      </c>
      <c r="C8" s="44">
        <v>26</v>
      </c>
      <c r="D8" s="36"/>
    </row>
    <row r="9" spans="1:6">
      <c r="A9" s="6">
        <f t="shared" si="0"/>
        <v>42920</v>
      </c>
      <c r="B9" s="7">
        <v>42920</v>
      </c>
      <c r="C9" s="44">
        <v>15</v>
      </c>
      <c r="D9" s="36"/>
    </row>
    <row r="10" spans="1:6">
      <c r="A10" s="6">
        <f t="shared" si="0"/>
        <v>42921</v>
      </c>
      <c r="B10" s="7">
        <v>42921</v>
      </c>
      <c r="C10" s="44">
        <v>27</v>
      </c>
      <c r="D10" s="36"/>
    </row>
    <row r="11" spans="1:6">
      <c r="A11" s="6">
        <f t="shared" si="0"/>
        <v>42922</v>
      </c>
      <c r="B11" s="7">
        <v>42922</v>
      </c>
      <c r="C11" s="44">
        <v>39</v>
      </c>
      <c r="D11" s="36"/>
    </row>
    <row r="12" spans="1:6">
      <c r="A12" s="6">
        <f t="shared" si="0"/>
        <v>42923</v>
      </c>
      <c r="B12" s="7">
        <v>42923</v>
      </c>
      <c r="C12" s="44">
        <v>32</v>
      </c>
      <c r="D12" s="36"/>
    </row>
    <row r="13" spans="1:6">
      <c r="A13" s="6">
        <f t="shared" si="0"/>
        <v>42924</v>
      </c>
      <c r="B13" s="7">
        <v>42924</v>
      </c>
      <c r="C13" s="44">
        <v>14</v>
      </c>
      <c r="D13" s="36"/>
      <c r="E13" s="14"/>
      <c r="F13" s="9">
        <f>AVERAGE(C13:C19)</f>
        <v>36.428571428571431</v>
      </c>
    </row>
    <row r="14" spans="1:6">
      <c r="A14" s="6">
        <f t="shared" si="0"/>
        <v>42925</v>
      </c>
      <c r="B14" s="7">
        <v>42925</v>
      </c>
      <c r="C14" s="44">
        <v>17</v>
      </c>
      <c r="D14" s="36"/>
    </row>
    <row r="15" spans="1:6">
      <c r="A15" s="6">
        <f t="shared" si="0"/>
        <v>42926</v>
      </c>
      <c r="B15" s="7">
        <v>42926</v>
      </c>
      <c r="C15" s="44">
        <v>42</v>
      </c>
      <c r="D15" s="36"/>
    </row>
    <row r="16" spans="1:6">
      <c r="A16" s="6">
        <f t="shared" si="0"/>
        <v>42927</v>
      </c>
      <c r="B16" s="7">
        <v>42927</v>
      </c>
      <c r="C16" s="44">
        <v>52</v>
      </c>
      <c r="D16" s="36"/>
    </row>
    <row r="17" spans="1:6">
      <c r="A17" s="6">
        <f t="shared" si="0"/>
        <v>42928</v>
      </c>
      <c r="B17" s="7">
        <v>42928</v>
      </c>
      <c r="C17" s="44">
        <v>46</v>
      </c>
      <c r="D17" s="36"/>
    </row>
    <row r="18" spans="1:6">
      <c r="A18" s="6">
        <f t="shared" si="0"/>
        <v>42929</v>
      </c>
      <c r="B18" s="7">
        <v>42929</v>
      </c>
      <c r="C18" s="44">
        <v>38</v>
      </c>
      <c r="D18" s="36"/>
    </row>
    <row r="19" spans="1:6">
      <c r="A19" s="6">
        <f t="shared" si="0"/>
        <v>42930</v>
      </c>
      <c r="B19" s="7">
        <v>42930</v>
      </c>
      <c r="C19" s="44">
        <v>46</v>
      </c>
      <c r="D19" s="36"/>
    </row>
    <row r="20" spans="1:6">
      <c r="A20" s="6">
        <f t="shared" si="0"/>
        <v>42931</v>
      </c>
      <c r="B20" s="7">
        <v>42931</v>
      </c>
      <c r="C20" s="44">
        <v>16</v>
      </c>
      <c r="D20" s="36"/>
      <c r="E20" s="14"/>
      <c r="F20" s="9">
        <f>AVERAGE(C20:C26)</f>
        <v>36.857142857142854</v>
      </c>
    </row>
    <row r="21" spans="1:6">
      <c r="A21" s="6">
        <f t="shared" si="0"/>
        <v>42932</v>
      </c>
      <c r="B21" s="7">
        <v>42932</v>
      </c>
      <c r="C21" s="44">
        <v>15</v>
      </c>
      <c r="D21" s="36"/>
    </row>
    <row r="22" spans="1:6">
      <c r="A22" s="6">
        <f t="shared" si="0"/>
        <v>42933</v>
      </c>
      <c r="B22" s="7">
        <v>42933</v>
      </c>
      <c r="C22" s="44">
        <v>39</v>
      </c>
      <c r="D22" s="36"/>
    </row>
    <row r="23" spans="1:6">
      <c r="A23" s="6">
        <f t="shared" si="0"/>
        <v>42934</v>
      </c>
      <c r="B23" s="7">
        <v>42934</v>
      </c>
      <c r="C23" s="44">
        <v>48</v>
      </c>
      <c r="D23" s="36"/>
    </row>
    <row r="24" spans="1:6">
      <c r="A24" s="6">
        <f t="shared" si="0"/>
        <v>42935</v>
      </c>
      <c r="B24" s="7">
        <v>42935</v>
      </c>
      <c r="C24" s="44">
        <v>55</v>
      </c>
      <c r="D24" s="36"/>
    </row>
    <row r="25" spans="1:6">
      <c r="A25" s="6">
        <f t="shared" si="0"/>
        <v>42936</v>
      </c>
      <c r="B25" s="7">
        <v>42936</v>
      </c>
      <c r="C25" s="44">
        <v>43</v>
      </c>
      <c r="D25" s="36"/>
    </row>
    <row r="26" spans="1:6">
      <c r="A26" s="6">
        <f t="shared" si="0"/>
        <v>42937</v>
      </c>
      <c r="B26" s="7">
        <v>42937</v>
      </c>
      <c r="C26" s="44">
        <v>42</v>
      </c>
      <c r="D26" s="36"/>
    </row>
    <row r="27" spans="1:6">
      <c r="A27" s="6">
        <f t="shared" si="0"/>
        <v>42938</v>
      </c>
      <c r="B27" s="7">
        <v>42938</v>
      </c>
      <c r="C27" s="44">
        <v>21</v>
      </c>
      <c r="D27" s="36"/>
      <c r="E27" s="14"/>
      <c r="F27" s="9">
        <f>AVERAGE(C27:C33)</f>
        <v>37.285714285714285</v>
      </c>
    </row>
    <row r="28" spans="1:6">
      <c r="A28" s="6">
        <f t="shared" si="0"/>
        <v>42939</v>
      </c>
      <c r="B28" s="7">
        <v>42939</v>
      </c>
      <c r="C28" s="44">
        <v>24</v>
      </c>
      <c r="D28" s="36"/>
    </row>
    <row r="29" spans="1:6">
      <c r="A29" s="6">
        <f t="shared" si="0"/>
        <v>42940</v>
      </c>
      <c r="B29" s="7">
        <v>42940</v>
      </c>
      <c r="C29" s="44">
        <v>38</v>
      </c>
      <c r="D29" s="36"/>
    </row>
    <row r="30" spans="1:6">
      <c r="A30" s="6">
        <f t="shared" si="0"/>
        <v>42941</v>
      </c>
      <c r="B30" s="7">
        <v>42941</v>
      </c>
      <c r="C30" s="44">
        <v>54</v>
      </c>
      <c r="D30" s="36"/>
    </row>
    <row r="31" spans="1:6">
      <c r="A31" s="6">
        <f t="shared" si="0"/>
        <v>42942</v>
      </c>
      <c r="B31" s="7">
        <v>42942</v>
      </c>
      <c r="C31" s="44">
        <v>48</v>
      </c>
      <c r="D31" s="36"/>
    </row>
    <row r="32" spans="1:6">
      <c r="A32" s="6">
        <f t="shared" si="0"/>
        <v>42943</v>
      </c>
      <c r="B32" s="7">
        <v>42943</v>
      </c>
      <c r="C32" s="44">
        <v>41</v>
      </c>
      <c r="D32" s="36"/>
    </row>
    <row r="33" spans="1:4">
      <c r="A33" s="6">
        <f t="shared" si="0"/>
        <v>42944</v>
      </c>
      <c r="B33" s="7">
        <v>42944</v>
      </c>
      <c r="C33" s="44">
        <v>35</v>
      </c>
      <c r="D33" s="36"/>
    </row>
    <row r="34" spans="1:4">
      <c r="A34" s="6">
        <f t="shared" si="0"/>
        <v>42945</v>
      </c>
      <c r="B34" s="7">
        <v>42945</v>
      </c>
      <c r="C34" s="44">
        <v>12</v>
      </c>
      <c r="D34" s="36"/>
    </row>
    <row r="35" spans="1:4">
      <c r="A35" s="6">
        <f t="shared" si="0"/>
        <v>42946</v>
      </c>
      <c r="B35" s="7">
        <v>42946</v>
      </c>
      <c r="C35" s="44">
        <v>27</v>
      </c>
      <c r="D35" s="36"/>
    </row>
    <row r="36" spans="1:4">
      <c r="A36" s="6">
        <f t="shared" si="0"/>
        <v>42947</v>
      </c>
      <c r="B36" s="7">
        <v>42947</v>
      </c>
      <c r="C36" s="14">
        <v>62</v>
      </c>
    </row>
    <row r="37" spans="1:4">
      <c r="B37" s="10" t="s">
        <v>6</v>
      </c>
      <c r="C37" s="11">
        <f>SUM(C6:C36)</f>
        <v>1041</v>
      </c>
      <c r="D37" s="12"/>
    </row>
    <row r="38" spans="1:4">
      <c r="C38" s="13"/>
    </row>
    <row r="39" spans="1:4">
      <c r="B39" s="14" t="s">
        <v>7</v>
      </c>
      <c r="C39" s="9">
        <v>540</v>
      </c>
    </row>
    <row r="40" spans="1:4">
      <c r="B40" s="14" t="s">
        <v>8</v>
      </c>
      <c r="C40" s="9">
        <f>C37</f>
        <v>1041</v>
      </c>
    </row>
    <row r="41" spans="1:4">
      <c r="B41" s="14" t="s">
        <v>9</v>
      </c>
      <c r="C41" s="9">
        <f>C39-C40</f>
        <v>-501</v>
      </c>
    </row>
    <row r="42" spans="1:4">
      <c r="B42" s="14" t="s">
        <v>10</v>
      </c>
      <c r="C42" s="15">
        <f>C40/C39</f>
        <v>1.9277777777777778</v>
      </c>
    </row>
    <row r="43" spans="1:4">
      <c r="B43" s="14" t="s">
        <v>11</v>
      </c>
      <c r="C43" s="9">
        <f>IF(C40&lt;C39,0,C40-C39)</f>
        <v>501</v>
      </c>
    </row>
    <row r="44" spans="1:4">
      <c r="B44" s="14" t="s">
        <v>12</v>
      </c>
      <c r="C44" s="9">
        <f ca="1">(C39-C37)/C48</f>
        <v>-16.7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7"/>
  <sheetViews>
    <sheetView showGridLines="0" topLeftCell="A4" workbookViewId="0">
      <selection activeCell="O53" sqref="O53"/>
    </sheetView>
  </sheetViews>
  <sheetFormatPr baseColWidth="10" defaultColWidth="8.83203125" defaultRowHeight="14" x14ac:dyDescent="0"/>
  <cols>
    <col min="1" max="1" width="13.33203125" customWidth="1"/>
    <col min="2" max="2" width="25.1640625" customWidth="1"/>
    <col min="3" max="3" width="14.6640625" bestFit="1" customWidth="1"/>
    <col min="4" max="4" width="14.83203125" customWidth="1"/>
    <col min="5" max="5" width="11.5" bestFit="1" customWidth="1"/>
    <col min="6" max="6" width="7.83203125" bestFit="1" customWidth="1"/>
  </cols>
  <sheetData>
    <row r="2" spans="1:5">
      <c r="B2" s="1" t="s">
        <v>60</v>
      </c>
    </row>
    <row r="4" spans="1:5">
      <c r="B4" s="2" t="s">
        <v>1</v>
      </c>
      <c r="C4" s="2"/>
    </row>
    <row r="5" spans="1:5">
      <c r="A5" s="3" t="s">
        <v>2</v>
      </c>
      <c r="B5" s="4" t="s">
        <v>3</v>
      </c>
      <c r="C5" s="4" t="s">
        <v>4</v>
      </c>
    </row>
    <row r="6" spans="1:5">
      <c r="A6" s="6">
        <f t="shared" ref="A6:A36" si="0">B6</f>
        <v>42887</v>
      </c>
      <c r="B6" s="7">
        <v>42887</v>
      </c>
      <c r="C6" s="44"/>
      <c r="D6" s="44"/>
      <c r="E6" s="9"/>
    </row>
    <row r="7" spans="1:5">
      <c r="A7" s="6">
        <f t="shared" si="0"/>
        <v>42888</v>
      </c>
      <c r="B7" s="7">
        <v>42888</v>
      </c>
      <c r="C7" s="44"/>
      <c r="D7" s="36"/>
    </row>
    <row r="8" spans="1:5">
      <c r="A8" s="6">
        <f t="shared" si="0"/>
        <v>42889</v>
      </c>
      <c r="B8" s="7">
        <v>42889</v>
      </c>
      <c r="C8" s="44"/>
      <c r="D8" s="36"/>
    </row>
    <row r="9" spans="1:5">
      <c r="A9" s="6">
        <f t="shared" si="0"/>
        <v>42890</v>
      </c>
      <c r="B9" s="7">
        <v>42890</v>
      </c>
      <c r="C9" s="44"/>
      <c r="D9" s="36"/>
    </row>
    <row r="10" spans="1:5">
      <c r="A10" s="6">
        <f t="shared" si="0"/>
        <v>42891</v>
      </c>
      <c r="B10" s="7">
        <v>42891</v>
      </c>
      <c r="C10" s="44"/>
      <c r="D10" s="36"/>
    </row>
    <row r="11" spans="1:5">
      <c r="A11" s="6">
        <f t="shared" si="0"/>
        <v>42892</v>
      </c>
      <c r="B11" s="7">
        <v>42892</v>
      </c>
      <c r="C11" s="44"/>
      <c r="D11" s="36"/>
    </row>
    <row r="12" spans="1:5">
      <c r="A12" s="6">
        <f t="shared" si="0"/>
        <v>42893</v>
      </c>
      <c r="B12" s="7">
        <v>42893</v>
      </c>
      <c r="C12" s="44"/>
      <c r="D12" s="36"/>
    </row>
    <row r="13" spans="1:5">
      <c r="A13" s="6">
        <f t="shared" si="0"/>
        <v>42894</v>
      </c>
      <c r="B13" s="7">
        <v>42894</v>
      </c>
      <c r="C13" s="44"/>
      <c r="D13" s="44"/>
      <c r="E13" s="9"/>
    </row>
    <row r="14" spans="1:5">
      <c r="A14" s="6">
        <f t="shared" si="0"/>
        <v>42895</v>
      </c>
      <c r="B14" s="7">
        <v>42895</v>
      </c>
      <c r="C14" s="44"/>
      <c r="D14" s="36"/>
    </row>
    <row r="15" spans="1:5">
      <c r="A15" s="6">
        <f t="shared" si="0"/>
        <v>42896</v>
      </c>
      <c r="B15" s="7">
        <v>42896</v>
      </c>
      <c r="C15" s="44"/>
      <c r="D15" s="36"/>
    </row>
    <row r="16" spans="1:5">
      <c r="A16" s="6">
        <f t="shared" si="0"/>
        <v>42897</v>
      </c>
      <c r="B16" s="7">
        <v>42897</v>
      </c>
      <c r="C16" s="44"/>
      <c r="D16" s="36"/>
    </row>
    <row r="17" spans="1:5">
      <c r="A17" s="6">
        <f t="shared" si="0"/>
        <v>42898</v>
      </c>
      <c r="B17" s="7">
        <v>42898</v>
      </c>
      <c r="C17" s="44"/>
      <c r="D17" s="36"/>
    </row>
    <row r="18" spans="1:5">
      <c r="A18" s="6">
        <f t="shared" si="0"/>
        <v>42899</v>
      </c>
      <c r="B18" s="7">
        <v>42899</v>
      </c>
      <c r="C18" s="44"/>
      <c r="D18" s="36"/>
    </row>
    <row r="19" spans="1:5">
      <c r="A19" s="6">
        <f t="shared" si="0"/>
        <v>42900</v>
      </c>
      <c r="B19" s="7">
        <v>42900</v>
      </c>
      <c r="C19" s="44"/>
      <c r="D19" s="36"/>
    </row>
    <row r="20" spans="1:5">
      <c r="A20" s="6">
        <f t="shared" si="0"/>
        <v>42901</v>
      </c>
      <c r="B20" s="7">
        <v>42901</v>
      </c>
      <c r="C20" s="44"/>
      <c r="D20" s="44"/>
      <c r="E20" s="9"/>
    </row>
    <row r="21" spans="1:5">
      <c r="A21" s="6">
        <f t="shared" si="0"/>
        <v>42902</v>
      </c>
      <c r="B21" s="7">
        <v>42902</v>
      </c>
      <c r="C21" s="44"/>
      <c r="D21" s="36"/>
    </row>
    <row r="22" spans="1:5">
      <c r="A22" s="6">
        <f t="shared" si="0"/>
        <v>42903</v>
      </c>
      <c r="B22" s="7">
        <v>42903</v>
      </c>
      <c r="C22" s="44"/>
      <c r="D22" s="36"/>
    </row>
    <row r="23" spans="1:5">
      <c r="A23" s="6">
        <f t="shared" si="0"/>
        <v>42904</v>
      </c>
      <c r="B23" s="7">
        <v>42904</v>
      </c>
      <c r="C23" s="44"/>
      <c r="D23" s="36"/>
    </row>
    <row r="24" spans="1:5">
      <c r="A24" s="6">
        <f t="shared" si="0"/>
        <v>42905</v>
      </c>
      <c r="B24" s="7">
        <v>42905</v>
      </c>
      <c r="C24" s="44"/>
      <c r="D24" s="36"/>
    </row>
    <row r="25" spans="1:5">
      <c r="A25" s="6">
        <f t="shared" si="0"/>
        <v>42906</v>
      </c>
      <c r="B25" s="7">
        <v>42906</v>
      </c>
      <c r="C25" s="44"/>
      <c r="D25" s="36"/>
    </row>
    <row r="26" spans="1:5">
      <c r="A26" s="6">
        <f t="shared" si="0"/>
        <v>42907</v>
      </c>
      <c r="B26" s="7">
        <v>42907</v>
      </c>
      <c r="C26" s="44"/>
      <c r="D26" s="36"/>
    </row>
    <row r="27" spans="1:5">
      <c r="A27" s="6">
        <f t="shared" si="0"/>
        <v>42908</v>
      </c>
      <c r="B27" s="7">
        <v>42908</v>
      </c>
      <c r="C27" s="44"/>
      <c r="D27" s="44"/>
      <c r="E27" s="9"/>
    </row>
    <row r="28" spans="1:5">
      <c r="A28" s="6">
        <f t="shared" si="0"/>
        <v>42909</v>
      </c>
      <c r="B28" s="7">
        <v>42909</v>
      </c>
      <c r="C28" s="44"/>
      <c r="D28" s="36"/>
    </row>
    <row r="29" spans="1:5">
      <c r="A29" s="6">
        <f t="shared" si="0"/>
        <v>42910</v>
      </c>
      <c r="B29" s="7">
        <v>42910</v>
      </c>
      <c r="C29" s="44"/>
      <c r="D29" s="36"/>
    </row>
    <row r="30" spans="1:5">
      <c r="A30" s="6">
        <f t="shared" si="0"/>
        <v>42911</v>
      </c>
      <c r="B30" s="7">
        <v>42911</v>
      </c>
      <c r="C30" s="44"/>
      <c r="D30" s="36"/>
    </row>
    <row r="31" spans="1:5">
      <c r="A31" s="6">
        <f t="shared" si="0"/>
        <v>42912</v>
      </c>
      <c r="B31" s="7">
        <v>42912</v>
      </c>
      <c r="C31" s="44"/>
      <c r="D31" s="36"/>
    </row>
    <row r="32" spans="1:5">
      <c r="A32" s="6">
        <f t="shared" si="0"/>
        <v>42913</v>
      </c>
      <c r="B32" s="7">
        <v>42913</v>
      </c>
      <c r="C32" s="44"/>
      <c r="D32" s="36"/>
    </row>
    <row r="33" spans="1:4">
      <c r="A33" s="6">
        <f t="shared" si="0"/>
        <v>42914</v>
      </c>
      <c r="B33" s="7">
        <v>42914</v>
      </c>
      <c r="C33" s="44"/>
      <c r="D33" s="36"/>
    </row>
    <row r="34" spans="1:4">
      <c r="A34" s="6">
        <f t="shared" si="0"/>
        <v>42915</v>
      </c>
      <c r="B34" s="7">
        <v>42915</v>
      </c>
      <c r="C34" s="44"/>
      <c r="D34" s="36"/>
    </row>
    <row r="35" spans="1:4">
      <c r="A35" s="6">
        <f t="shared" si="0"/>
        <v>42916</v>
      </c>
      <c r="B35" s="7">
        <v>42916</v>
      </c>
      <c r="C35" s="44"/>
      <c r="D35" s="36"/>
    </row>
    <row r="36" spans="1:4" hidden="1">
      <c r="A36" s="6">
        <f t="shared" si="0"/>
        <v>42917</v>
      </c>
      <c r="B36" s="7">
        <v>42917</v>
      </c>
      <c r="C36" s="14"/>
    </row>
    <row r="37" spans="1:4">
      <c r="B37" s="10" t="s">
        <v>6</v>
      </c>
      <c r="C37" s="11">
        <f>SUM(C6:C35)</f>
        <v>0</v>
      </c>
      <c r="D37" s="12"/>
    </row>
    <row r="38" spans="1:4">
      <c r="C38" s="13"/>
    </row>
    <row r="39" spans="1:4">
      <c r="B39" s="14" t="s">
        <v>7</v>
      </c>
      <c r="C39" s="9">
        <v>0</v>
      </c>
    </row>
    <row r="40" spans="1:4">
      <c r="B40" s="14" t="s">
        <v>8</v>
      </c>
      <c r="C40" s="9">
        <f>C37</f>
        <v>0</v>
      </c>
    </row>
    <row r="41" spans="1:4">
      <c r="B41" s="14" t="s">
        <v>9</v>
      </c>
      <c r="C41" s="9">
        <f>C39-C40</f>
        <v>0</v>
      </c>
    </row>
    <row r="42" spans="1:4">
      <c r="B42" s="14" t="s">
        <v>10</v>
      </c>
      <c r="C42" s="15" t="e">
        <f>C40/C39</f>
        <v>#DIV/0!</v>
      </c>
    </row>
    <row r="43" spans="1:4">
      <c r="B43" s="14" t="s">
        <v>11</v>
      </c>
      <c r="C43" s="9">
        <f>IF(C40&lt;C39,0,C40-C39)</f>
        <v>0</v>
      </c>
    </row>
    <row r="44" spans="1:4">
      <c r="B44" s="14" t="s">
        <v>12</v>
      </c>
      <c r="C44" s="9">
        <f ca="1">(C39-C37)/C48</f>
        <v>0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workbookViewId="0">
      <selection activeCell="D37" sqref="D37"/>
    </sheetView>
  </sheetViews>
  <sheetFormatPr baseColWidth="10" defaultColWidth="8.83203125" defaultRowHeight="14" x14ac:dyDescent="0"/>
  <cols>
    <col min="1" max="1" width="13.1640625" customWidth="1"/>
    <col min="2" max="2" width="20.33203125" bestFit="1" customWidth="1"/>
    <col min="3" max="3" width="16.33203125" customWidth="1"/>
    <col min="4" max="4" width="14.83203125" customWidth="1"/>
    <col min="5" max="5" width="13.83203125" customWidth="1"/>
  </cols>
  <sheetData>
    <row r="2" spans="1:6">
      <c r="B2" s="1" t="s">
        <v>62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4</v>
      </c>
      <c r="D5" s="5" t="s">
        <v>5</v>
      </c>
    </row>
    <row r="6" spans="1:6">
      <c r="A6" s="6">
        <f t="shared" ref="A6:A36" si="0">B6</f>
        <v>42917</v>
      </c>
      <c r="B6" s="7">
        <v>42917</v>
      </c>
      <c r="C6" s="8">
        <f>D6</f>
        <v>13</v>
      </c>
      <c r="D6" s="52">
        <v>13</v>
      </c>
      <c r="E6" s="14" t="s">
        <v>37</v>
      </c>
      <c r="F6" s="9">
        <f>AVERAGE(C6:C12)</f>
        <v>16.285714285714285</v>
      </c>
    </row>
    <row r="7" spans="1:6">
      <c r="A7" s="6">
        <f t="shared" si="0"/>
        <v>42918</v>
      </c>
      <c r="B7" s="7">
        <v>42918</v>
      </c>
      <c r="C7" s="8">
        <f t="shared" ref="C7:C36" si="1">IF(D7-D6&lt;0,0,D7-D6)</f>
        <v>15</v>
      </c>
      <c r="D7" s="8">
        <v>28</v>
      </c>
    </row>
    <row r="8" spans="1:6">
      <c r="A8" s="6">
        <f t="shared" si="0"/>
        <v>42919</v>
      </c>
      <c r="B8" s="7">
        <v>42919</v>
      </c>
      <c r="C8" s="8">
        <f t="shared" si="1"/>
        <v>20</v>
      </c>
      <c r="D8" s="8">
        <v>48</v>
      </c>
    </row>
    <row r="9" spans="1:6">
      <c r="A9" s="6">
        <f t="shared" si="0"/>
        <v>42920</v>
      </c>
      <c r="B9" s="7">
        <v>42920</v>
      </c>
      <c r="C9" s="8">
        <f t="shared" si="1"/>
        <v>13</v>
      </c>
      <c r="D9" s="8">
        <v>61</v>
      </c>
    </row>
    <row r="10" spans="1:6">
      <c r="A10" s="6">
        <f t="shared" si="0"/>
        <v>42921</v>
      </c>
      <c r="B10" s="7">
        <v>42921</v>
      </c>
      <c r="C10" s="8">
        <f t="shared" si="1"/>
        <v>22</v>
      </c>
      <c r="D10" s="8">
        <v>83</v>
      </c>
    </row>
    <row r="11" spans="1:6">
      <c r="A11" s="6">
        <f t="shared" si="0"/>
        <v>42922</v>
      </c>
      <c r="B11" s="7">
        <v>42922</v>
      </c>
      <c r="C11" s="8">
        <f t="shared" si="1"/>
        <v>17</v>
      </c>
      <c r="D11" s="8">
        <v>100</v>
      </c>
    </row>
    <row r="12" spans="1:6">
      <c r="A12" s="6">
        <f t="shared" si="0"/>
        <v>42923</v>
      </c>
      <c r="B12" s="7">
        <v>42923</v>
      </c>
      <c r="C12" s="8">
        <f t="shared" si="1"/>
        <v>14</v>
      </c>
      <c r="D12" s="8">
        <f>67+47</f>
        <v>114</v>
      </c>
    </row>
    <row r="13" spans="1:6">
      <c r="A13" s="6">
        <f t="shared" si="0"/>
        <v>42924</v>
      </c>
      <c r="B13" s="7">
        <v>42924</v>
      </c>
      <c r="C13" s="8">
        <f t="shared" si="1"/>
        <v>15</v>
      </c>
      <c r="D13" s="8">
        <f>77+52</f>
        <v>129</v>
      </c>
      <c r="E13" s="14" t="s">
        <v>38</v>
      </c>
      <c r="F13" s="9">
        <f>AVERAGE(C13:C19)</f>
        <v>15.428571428571429</v>
      </c>
    </row>
    <row r="14" spans="1:6">
      <c r="A14" s="6">
        <f t="shared" si="0"/>
        <v>42925</v>
      </c>
      <c r="B14" s="7">
        <v>42925</v>
      </c>
      <c r="C14" s="8">
        <f t="shared" si="1"/>
        <v>15</v>
      </c>
      <c r="D14" s="8">
        <v>144</v>
      </c>
    </row>
    <row r="15" spans="1:6">
      <c r="A15" s="6">
        <f t="shared" si="0"/>
        <v>42926</v>
      </c>
      <c r="B15" s="7">
        <v>42926</v>
      </c>
      <c r="C15" s="8">
        <f t="shared" si="1"/>
        <v>16</v>
      </c>
      <c r="D15" s="8">
        <v>160</v>
      </c>
    </row>
    <row r="16" spans="1:6">
      <c r="A16" s="6">
        <f t="shared" si="0"/>
        <v>42927</v>
      </c>
      <c r="B16" s="7">
        <v>42927</v>
      </c>
      <c r="C16" s="8">
        <f t="shared" si="1"/>
        <v>21</v>
      </c>
      <c r="D16" s="8">
        <v>181</v>
      </c>
    </row>
    <row r="17" spans="1:6">
      <c r="A17" s="6">
        <f t="shared" si="0"/>
        <v>42928</v>
      </c>
      <c r="B17" s="7">
        <v>42928</v>
      </c>
      <c r="C17" s="8">
        <f t="shared" si="1"/>
        <v>10</v>
      </c>
      <c r="D17" s="8">
        <v>191</v>
      </c>
    </row>
    <row r="18" spans="1:6">
      <c r="A18" s="6">
        <f t="shared" si="0"/>
        <v>42929</v>
      </c>
      <c r="B18" s="7">
        <v>42929</v>
      </c>
      <c r="C18" s="8">
        <f t="shared" si="1"/>
        <v>16</v>
      </c>
      <c r="D18" s="8">
        <v>207</v>
      </c>
    </row>
    <row r="19" spans="1:6">
      <c r="A19" s="6">
        <f t="shared" si="0"/>
        <v>42930</v>
      </c>
      <c r="B19" s="7">
        <v>42930</v>
      </c>
      <c r="C19" s="8">
        <f t="shared" si="1"/>
        <v>15</v>
      </c>
      <c r="D19" s="8">
        <f>142+80</f>
        <v>222</v>
      </c>
    </row>
    <row r="20" spans="1:6">
      <c r="A20" s="6">
        <f t="shared" si="0"/>
        <v>42931</v>
      </c>
      <c r="B20" s="7">
        <v>42931</v>
      </c>
      <c r="C20" s="8">
        <f t="shared" si="1"/>
        <v>10</v>
      </c>
      <c r="D20" s="8">
        <f>148+84</f>
        <v>232</v>
      </c>
      <c r="E20" s="14" t="s">
        <v>39</v>
      </c>
      <c r="F20" s="9">
        <f>AVERAGE(C20:C26)</f>
        <v>15.714285714285714</v>
      </c>
    </row>
    <row r="21" spans="1:6">
      <c r="A21" s="6">
        <f t="shared" si="0"/>
        <v>42932</v>
      </c>
      <c r="B21" s="7">
        <v>42932</v>
      </c>
      <c r="C21" s="8">
        <f t="shared" si="1"/>
        <v>14</v>
      </c>
      <c r="D21" s="8">
        <f>154+92</f>
        <v>246</v>
      </c>
    </row>
    <row r="22" spans="1:6">
      <c r="A22" s="6">
        <f t="shared" si="0"/>
        <v>42933</v>
      </c>
      <c r="B22" s="7">
        <v>42933</v>
      </c>
      <c r="C22" s="8">
        <f t="shared" si="1"/>
        <v>16</v>
      </c>
      <c r="D22" s="8">
        <v>262</v>
      </c>
    </row>
    <row r="23" spans="1:6">
      <c r="A23" s="6">
        <f t="shared" si="0"/>
        <v>42934</v>
      </c>
      <c r="B23" s="7">
        <v>42934</v>
      </c>
      <c r="C23" s="8">
        <f t="shared" si="1"/>
        <v>14</v>
      </c>
      <c r="D23" s="8">
        <v>276</v>
      </c>
    </row>
    <row r="24" spans="1:6">
      <c r="A24" s="6">
        <f t="shared" si="0"/>
        <v>42935</v>
      </c>
      <c r="B24" s="7">
        <v>42935</v>
      </c>
      <c r="C24" s="8">
        <f t="shared" si="1"/>
        <v>17</v>
      </c>
      <c r="D24" s="8">
        <v>293</v>
      </c>
    </row>
    <row r="25" spans="1:6">
      <c r="A25" s="6">
        <f t="shared" si="0"/>
        <v>42936</v>
      </c>
      <c r="B25" s="7">
        <v>42936</v>
      </c>
      <c r="C25" s="8">
        <f t="shared" si="1"/>
        <v>22</v>
      </c>
      <c r="D25" s="8">
        <v>315</v>
      </c>
    </row>
    <row r="26" spans="1:6">
      <c r="A26" s="6">
        <f t="shared" si="0"/>
        <v>42937</v>
      </c>
      <c r="B26" s="7">
        <v>42937</v>
      </c>
      <c r="C26" s="8">
        <f t="shared" si="1"/>
        <v>17</v>
      </c>
      <c r="D26" s="8">
        <f>214+118</f>
        <v>332</v>
      </c>
    </row>
    <row r="27" spans="1:6">
      <c r="A27" s="6">
        <f t="shared" si="0"/>
        <v>42938</v>
      </c>
      <c r="B27" s="7">
        <v>42938</v>
      </c>
      <c r="C27" s="8">
        <f t="shared" si="1"/>
        <v>7</v>
      </c>
      <c r="D27" s="8">
        <f>219+120</f>
        <v>339</v>
      </c>
      <c r="E27" s="14" t="s">
        <v>40</v>
      </c>
      <c r="F27" s="9">
        <f>AVERAGE(C27:C33)</f>
        <v>8.8571428571428577</v>
      </c>
    </row>
    <row r="28" spans="1:6">
      <c r="A28" s="6">
        <f t="shared" si="0"/>
        <v>42939</v>
      </c>
      <c r="B28" s="7">
        <v>42939</v>
      </c>
      <c r="C28" s="8">
        <f t="shared" si="1"/>
        <v>4</v>
      </c>
      <c r="D28" s="8">
        <f>220+123</f>
        <v>343</v>
      </c>
    </row>
    <row r="29" spans="1:6">
      <c r="A29" s="6">
        <f t="shared" si="0"/>
        <v>42940</v>
      </c>
      <c r="B29" s="7">
        <v>42940</v>
      </c>
      <c r="C29" s="8">
        <f t="shared" si="1"/>
        <v>9</v>
      </c>
      <c r="D29" s="8">
        <v>352</v>
      </c>
    </row>
    <row r="30" spans="1:6">
      <c r="A30" s="6">
        <f t="shared" si="0"/>
        <v>42941</v>
      </c>
      <c r="B30" s="7">
        <v>42941</v>
      </c>
      <c r="C30" s="8">
        <f t="shared" si="1"/>
        <v>10</v>
      </c>
      <c r="D30" s="8">
        <v>362</v>
      </c>
    </row>
    <row r="31" spans="1:6">
      <c r="A31" s="6">
        <f t="shared" si="0"/>
        <v>42942</v>
      </c>
      <c r="B31" s="7">
        <v>42942</v>
      </c>
      <c r="C31" s="8">
        <f t="shared" si="1"/>
        <v>10</v>
      </c>
      <c r="D31" s="8">
        <v>372</v>
      </c>
    </row>
    <row r="32" spans="1:6">
      <c r="A32" s="6">
        <f t="shared" si="0"/>
        <v>42943</v>
      </c>
      <c r="B32" s="7">
        <v>42943</v>
      </c>
      <c r="C32" s="8">
        <f t="shared" si="1"/>
        <v>7</v>
      </c>
      <c r="D32" s="8">
        <v>379</v>
      </c>
    </row>
    <row r="33" spans="1:4">
      <c r="A33" s="6">
        <f t="shared" si="0"/>
        <v>42944</v>
      </c>
      <c r="B33" s="7">
        <v>42944</v>
      </c>
      <c r="C33" s="8">
        <f t="shared" si="1"/>
        <v>15</v>
      </c>
      <c r="D33" s="8">
        <f>252+142</f>
        <v>394</v>
      </c>
    </row>
    <row r="34" spans="1:4">
      <c r="A34" s="6">
        <f t="shared" si="0"/>
        <v>42945</v>
      </c>
      <c r="B34" s="7">
        <v>42945</v>
      </c>
      <c r="C34" s="8">
        <f t="shared" si="1"/>
        <v>12</v>
      </c>
      <c r="D34" s="8">
        <f>259+147</f>
        <v>406</v>
      </c>
    </row>
    <row r="35" spans="1:4">
      <c r="A35" s="6">
        <f t="shared" si="0"/>
        <v>42946</v>
      </c>
      <c r="B35" s="7">
        <v>42946</v>
      </c>
      <c r="C35" s="8">
        <f t="shared" si="1"/>
        <v>6</v>
      </c>
      <c r="D35" s="8">
        <v>412</v>
      </c>
    </row>
    <row r="36" spans="1:4">
      <c r="A36" s="6">
        <f t="shared" si="0"/>
        <v>42947</v>
      </c>
      <c r="B36" s="7">
        <v>42947</v>
      </c>
      <c r="C36" s="9">
        <f t="shared" si="1"/>
        <v>7</v>
      </c>
      <c r="D36" s="9">
        <v>419</v>
      </c>
    </row>
    <row r="37" spans="1:4">
      <c r="B37" s="10" t="s">
        <v>6</v>
      </c>
      <c r="C37" s="11">
        <f>SUM(C6:C36)</f>
        <v>419</v>
      </c>
      <c r="D37" s="12"/>
    </row>
    <row r="38" spans="1:4">
      <c r="C38" s="13"/>
    </row>
    <row r="39" spans="1:4">
      <c r="B39" s="14" t="s">
        <v>7</v>
      </c>
      <c r="C39" s="9">
        <v>5</v>
      </c>
    </row>
    <row r="40" spans="1:4">
      <c r="B40" s="14" t="s">
        <v>8</v>
      </c>
      <c r="C40" s="9">
        <f>C37</f>
        <v>419</v>
      </c>
    </row>
    <row r="41" spans="1:4">
      <c r="B41" s="14" t="s">
        <v>9</v>
      </c>
      <c r="C41" s="9">
        <f>C39-C40</f>
        <v>-414</v>
      </c>
    </row>
    <row r="42" spans="1:4">
      <c r="B42" s="14" t="s">
        <v>10</v>
      </c>
      <c r="C42" s="15">
        <f>C40/C39</f>
        <v>83.8</v>
      </c>
    </row>
    <row r="43" spans="1:4">
      <c r="B43" s="14" t="s">
        <v>11</v>
      </c>
      <c r="C43" s="9">
        <f>IF(C40&lt;C39,0,C40-C39)</f>
        <v>414</v>
      </c>
    </row>
    <row r="44" spans="1:4">
      <c r="B44" s="14" t="s">
        <v>12</v>
      </c>
      <c r="C44" s="9">
        <f ca="1">(C39-C37)/C48</f>
        <v>-13.8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workbookViewId="0">
      <selection activeCell="C38" sqref="C38"/>
    </sheetView>
  </sheetViews>
  <sheetFormatPr baseColWidth="10" defaultColWidth="8.83203125" defaultRowHeight="14" x14ac:dyDescent="0"/>
  <cols>
    <col min="1" max="1" width="13.33203125" customWidth="1"/>
    <col min="2" max="2" width="20.83203125" customWidth="1"/>
    <col min="3" max="3" width="14.6640625" bestFit="1" customWidth="1"/>
    <col min="4" max="4" width="14.83203125" customWidth="1"/>
    <col min="5" max="5" width="11.5" bestFit="1" customWidth="1"/>
    <col min="6" max="6" width="7.83203125" bestFit="1" customWidth="1"/>
  </cols>
  <sheetData>
    <row r="2" spans="1:5">
      <c r="B2" s="1" t="s">
        <v>86</v>
      </c>
    </row>
    <row r="4" spans="1:5">
      <c r="B4" s="2" t="s">
        <v>1</v>
      </c>
      <c r="C4" s="2"/>
    </row>
    <row r="5" spans="1:5">
      <c r="A5" s="3" t="s">
        <v>2</v>
      </c>
      <c r="B5" s="4" t="s">
        <v>3</v>
      </c>
      <c r="C5" s="5" t="s">
        <v>5</v>
      </c>
    </row>
    <row r="6" spans="1:5">
      <c r="A6" s="6">
        <f t="shared" ref="A6:A36" si="0">B6</f>
        <v>42917</v>
      </c>
      <c r="B6" s="7">
        <v>42917</v>
      </c>
      <c r="C6" s="8">
        <v>103</v>
      </c>
      <c r="D6" s="44"/>
      <c r="E6" s="9" t="e">
        <f>AVERAGE(#REF!)</f>
        <v>#REF!</v>
      </c>
    </row>
    <row r="7" spans="1:5">
      <c r="A7" s="6">
        <f t="shared" si="0"/>
        <v>42918</v>
      </c>
      <c r="B7" s="7">
        <v>42918</v>
      </c>
      <c r="C7" s="8">
        <v>95</v>
      </c>
      <c r="D7" s="36"/>
    </row>
    <row r="8" spans="1:5">
      <c r="A8" s="6">
        <f t="shared" si="0"/>
        <v>42919</v>
      </c>
      <c r="B8" s="7">
        <v>42919</v>
      </c>
      <c r="C8" s="8">
        <v>134</v>
      </c>
      <c r="D8" s="36"/>
    </row>
    <row r="9" spans="1:5">
      <c r="A9" s="6">
        <f t="shared" si="0"/>
        <v>42920</v>
      </c>
      <c r="B9" s="7">
        <v>42920</v>
      </c>
      <c r="C9" s="8">
        <v>105</v>
      </c>
      <c r="D9" s="36"/>
    </row>
    <row r="10" spans="1:5">
      <c r="A10" s="6">
        <f t="shared" si="0"/>
        <v>42921</v>
      </c>
      <c r="B10" s="7">
        <v>42921</v>
      </c>
      <c r="C10" s="8">
        <v>157</v>
      </c>
      <c r="D10" s="36"/>
    </row>
    <row r="11" spans="1:5">
      <c r="A11" s="6">
        <f t="shared" si="0"/>
        <v>42922</v>
      </c>
      <c r="B11" s="7">
        <v>42922</v>
      </c>
      <c r="C11" s="8">
        <v>174</v>
      </c>
      <c r="D11" s="36"/>
    </row>
    <row r="12" spans="1:5">
      <c r="A12" s="6">
        <f t="shared" si="0"/>
        <v>42923</v>
      </c>
      <c r="B12" s="7">
        <v>42923</v>
      </c>
      <c r="C12" s="8">
        <v>171</v>
      </c>
      <c r="D12" s="36"/>
    </row>
    <row r="13" spans="1:5">
      <c r="A13" s="6">
        <f t="shared" si="0"/>
        <v>42924</v>
      </c>
      <c r="B13" s="7">
        <v>42924</v>
      </c>
      <c r="C13" s="8">
        <v>96</v>
      </c>
      <c r="D13" s="44"/>
      <c r="E13" s="9" t="e">
        <f>AVERAGE(#REF!)</f>
        <v>#REF!</v>
      </c>
    </row>
    <row r="14" spans="1:5">
      <c r="A14" s="6">
        <f t="shared" si="0"/>
        <v>42925</v>
      </c>
      <c r="B14" s="7">
        <v>42925</v>
      </c>
      <c r="C14" s="8">
        <v>116</v>
      </c>
      <c r="D14" s="36"/>
    </row>
    <row r="15" spans="1:5">
      <c r="A15" s="6">
        <f t="shared" si="0"/>
        <v>42926</v>
      </c>
      <c r="B15" s="7">
        <v>42926</v>
      </c>
      <c r="C15" s="8">
        <v>170</v>
      </c>
      <c r="D15" s="36"/>
    </row>
    <row r="16" spans="1:5">
      <c r="A16" s="6">
        <f t="shared" si="0"/>
        <v>42927</v>
      </c>
      <c r="B16" s="7">
        <v>42927</v>
      </c>
      <c r="C16" s="8">
        <v>174</v>
      </c>
      <c r="D16" s="36"/>
    </row>
    <row r="17" spans="1:5">
      <c r="A17" s="6">
        <f t="shared" si="0"/>
        <v>42928</v>
      </c>
      <c r="B17" s="7">
        <v>42928</v>
      </c>
      <c r="C17" s="8">
        <v>188</v>
      </c>
      <c r="D17" s="36"/>
    </row>
    <row r="18" spans="1:5">
      <c r="A18" s="6">
        <f t="shared" si="0"/>
        <v>42929</v>
      </c>
      <c r="B18" s="7">
        <v>42929</v>
      </c>
      <c r="C18" s="8">
        <v>172</v>
      </c>
      <c r="D18" s="36"/>
    </row>
    <row r="19" spans="1:5">
      <c r="A19" s="6">
        <f t="shared" si="0"/>
        <v>42930</v>
      </c>
      <c r="B19" s="7">
        <v>42930</v>
      </c>
      <c r="C19" s="8">
        <v>151</v>
      </c>
      <c r="D19" s="36"/>
    </row>
    <row r="20" spans="1:5">
      <c r="A20" s="6">
        <f t="shared" si="0"/>
        <v>42931</v>
      </c>
      <c r="B20" s="7">
        <v>42931</v>
      </c>
      <c r="C20" s="8">
        <v>69</v>
      </c>
      <c r="D20" s="44"/>
      <c r="E20" s="9" t="e">
        <f>AVERAGE(#REF!)</f>
        <v>#REF!</v>
      </c>
    </row>
    <row r="21" spans="1:5">
      <c r="A21" s="6">
        <f t="shared" si="0"/>
        <v>42932</v>
      </c>
      <c r="B21" s="7">
        <v>42932</v>
      </c>
      <c r="C21" s="8">
        <v>93</v>
      </c>
      <c r="D21" s="36"/>
    </row>
    <row r="22" spans="1:5">
      <c r="A22" s="6">
        <f t="shared" si="0"/>
        <v>42933</v>
      </c>
      <c r="B22" s="7">
        <v>42933</v>
      </c>
      <c r="C22" s="8">
        <v>189</v>
      </c>
      <c r="D22" s="36"/>
    </row>
    <row r="23" spans="1:5">
      <c r="A23" s="6">
        <f t="shared" si="0"/>
        <v>42934</v>
      </c>
      <c r="B23" s="7">
        <v>42934</v>
      </c>
      <c r="C23" s="8">
        <v>213</v>
      </c>
      <c r="D23" s="36"/>
    </row>
    <row r="24" spans="1:5">
      <c r="A24" s="6">
        <f t="shared" si="0"/>
        <v>42935</v>
      </c>
      <c r="B24" s="7">
        <v>42935</v>
      </c>
      <c r="C24" s="8">
        <v>195</v>
      </c>
      <c r="D24" s="36"/>
    </row>
    <row r="25" spans="1:5">
      <c r="A25" s="6">
        <f t="shared" si="0"/>
        <v>42936</v>
      </c>
      <c r="B25" s="7">
        <v>42936</v>
      </c>
      <c r="C25" s="8">
        <v>183</v>
      </c>
      <c r="D25" s="36"/>
    </row>
    <row r="26" spans="1:5">
      <c r="A26" s="6">
        <f t="shared" si="0"/>
        <v>42937</v>
      </c>
      <c r="B26" s="7">
        <v>42937</v>
      </c>
      <c r="C26" s="8">
        <v>172</v>
      </c>
      <c r="D26" s="36"/>
    </row>
    <row r="27" spans="1:5">
      <c r="A27" s="6">
        <f t="shared" si="0"/>
        <v>42938</v>
      </c>
      <c r="B27" s="7">
        <v>42938</v>
      </c>
      <c r="C27" s="8">
        <v>72</v>
      </c>
      <c r="D27" s="44"/>
      <c r="E27" s="9" t="e">
        <f>AVERAGE(#REF!)</f>
        <v>#REF!</v>
      </c>
    </row>
    <row r="28" spans="1:5">
      <c r="A28" s="6">
        <f t="shared" si="0"/>
        <v>42939</v>
      </c>
      <c r="B28" s="7">
        <v>42939</v>
      </c>
      <c r="C28" s="8">
        <v>95</v>
      </c>
      <c r="D28" s="36"/>
    </row>
    <row r="29" spans="1:5">
      <c r="A29" s="6">
        <f t="shared" si="0"/>
        <v>42940</v>
      </c>
      <c r="B29" s="7">
        <v>42940</v>
      </c>
      <c r="C29" s="8">
        <v>176</v>
      </c>
      <c r="D29" s="36"/>
    </row>
    <row r="30" spans="1:5">
      <c r="A30" s="6">
        <f t="shared" si="0"/>
        <v>42941</v>
      </c>
      <c r="B30" s="7">
        <v>42941</v>
      </c>
      <c r="C30" s="8">
        <v>168</v>
      </c>
      <c r="D30" s="36"/>
    </row>
    <row r="31" spans="1:5">
      <c r="A31" s="6">
        <f t="shared" si="0"/>
        <v>42942</v>
      </c>
      <c r="B31" s="7">
        <v>42942</v>
      </c>
      <c r="C31" s="8">
        <v>129</v>
      </c>
      <c r="D31" s="36"/>
    </row>
    <row r="32" spans="1:5">
      <c r="A32" s="6">
        <f t="shared" si="0"/>
        <v>42943</v>
      </c>
      <c r="B32" s="7">
        <v>42943</v>
      </c>
      <c r="C32" s="8"/>
      <c r="D32" s="36"/>
    </row>
    <row r="33" spans="1:6">
      <c r="A33" s="6">
        <f t="shared" si="0"/>
        <v>42944</v>
      </c>
      <c r="B33" s="7">
        <v>42944</v>
      </c>
      <c r="C33" s="8"/>
      <c r="D33" s="36"/>
    </row>
    <row r="34" spans="1:6">
      <c r="A34" s="6">
        <f t="shared" si="0"/>
        <v>42945</v>
      </c>
      <c r="B34" s="7">
        <v>42945</v>
      </c>
      <c r="C34" s="8"/>
      <c r="D34" s="36"/>
    </row>
    <row r="35" spans="1:6">
      <c r="A35" s="6">
        <f t="shared" si="0"/>
        <v>42946</v>
      </c>
      <c r="B35" s="7">
        <v>42946</v>
      </c>
      <c r="C35" s="8"/>
      <c r="D35" s="36"/>
    </row>
    <row r="36" spans="1:6">
      <c r="A36" s="6">
        <f t="shared" si="0"/>
        <v>42947</v>
      </c>
      <c r="B36" s="7">
        <v>42947</v>
      </c>
      <c r="C36" s="9"/>
    </row>
    <row r="37" spans="1:6">
      <c r="B37" s="10" t="s">
        <v>6</v>
      </c>
      <c r="C37" s="11">
        <f>SUM(C6:C36)</f>
        <v>3760</v>
      </c>
      <c r="D37" s="12"/>
    </row>
    <row r="38" spans="1:6">
      <c r="C38" s="13"/>
    </row>
    <row r="39" spans="1:6">
      <c r="B39" s="14" t="s">
        <v>7</v>
      </c>
      <c r="C39" s="9">
        <v>5100</v>
      </c>
      <c r="F39" s="55"/>
    </row>
    <row r="40" spans="1:6">
      <c r="B40" s="14" t="s">
        <v>8</v>
      </c>
      <c r="C40" s="9">
        <f>C37</f>
        <v>3760</v>
      </c>
    </row>
    <row r="41" spans="1:6">
      <c r="B41" s="14" t="s">
        <v>9</v>
      </c>
      <c r="C41" s="9">
        <f>C39-C40</f>
        <v>1340</v>
      </c>
    </row>
    <row r="42" spans="1:6">
      <c r="B42" s="14" t="s">
        <v>10</v>
      </c>
      <c r="C42" s="15">
        <f>C40/C39</f>
        <v>0.73725490196078436</v>
      </c>
    </row>
    <row r="43" spans="1:6">
      <c r="B43" s="14" t="s">
        <v>11</v>
      </c>
      <c r="C43" s="9">
        <f>IF(C40&lt;C39,0,C40-C39)</f>
        <v>0</v>
      </c>
    </row>
    <row r="44" spans="1:6">
      <c r="B44" s="14" t="s">
        <v>12</v>
      </c>
      <c r="C44" s="9">
        <f ca="1">(C39-C37)/C48</f>
        <v>44.666666666666664</v>
      </c>
    </row>
    <row r="45" spans="1:6" ht="15.75" customHeight="1" thickBot="1"/>
    <row r="46" spans="1:6">
      <c r="B46" s="16" t="s">
        <v>13</v>
      </c>
      <c r="C46" s="17">
        <f ca="1">C50-C49</f>
        <v>1</v>
      </c>
      <c r="D46" s="18"/>
    </row>
    <row r="47" spans="1:6">
      <c r="B47" s="19" t="s">
        <v>14</v>
      </c>
      <c r="C47" s="20">
        <f ca="1">D49-C49+1</f>
        <v>31</v>
      </c>
      <c r="D47" s="21"/>
    </row>
    <row r="48" spans="1:6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7"/>
  <sheetViews>
    <sheetView showGridLines="0" topLeftCell="A2" workbookViewId="0">
      <selection activeCell="F24" sqref="F24"/>
    </sheetView>
  </sheetViews>
  <sheetFormatPr baseColWidth="10" defaultColWidth="8.83203125" defaultRowHeight="14" x14ac:dyDescent="0"/>
  <cols>
    <col min="1" max="1" width="12.1640625" customWidth="1"/>
    <col min="2" max="2" width="22.5" bestFit="1" customWidth="1"/>
    <col min="3" max="3" width="15.5" bestFit="1" customWidth="1"/>
    <col min="4" max="4" width="14.83203125" customWidth="1"/>
  </cols>
  <sheetData>
    <row r="2" spans="1:4">
      <c r="B2" s="1" t="s">
        <v>64</v>
      </c>
    </row>
    <row r="4" spans="1:4">
      <c r="B4" s="2" t="s">
        <v>1</v>
      </c>
      <c r="C4" s="2"/>
    </row>
    <row r="5" spans="1:4">
      <c r="A5" s="3" t="s">
        <v>2</v>
      </c>
      <c r="B5" s="4" t="s">
        <v>3</v>
      </c>
      <c r="C5" s="4" t="s">
        <v>4</v>
      </c>
    </row>
    <row r="6" spans="1:4">
      <c r="A6" s="6">
        <f t="shared" ref="A6:A36" si="0">B6</f>
        <v>42917</v>
      </c>
      <c r="B6" s="7">
        <v>42917</v>
      </c>
      <c r="C6" s="8">
        <v>1</v>
      </c>
      <c r="D6" s="36"/>
    </row>
    <row r="7" spans="1:4">
      <c r="A7" s="6">
        <f t="shared" si="0"/>
        <v>42918</v>
      </c>
      <c r="B7" s="7">
        <v>42918</v>
      </c>
      <c r="C7" s="8">
        <v>3</v>
      </c>
      <c r="D7" s="36"/>
    </row>
    <row r="8" spans="1:4">
      <c r="A8" s="6">
        <f t="shared" si="0"/>
        <v>42919</v>
      </c>
      <c r="B8" s="7">
        <v>42919</v>
      </c>
      <c r="C8" s="8">
        <v>11</v>
      </c>
      <c r="D8" s="36"/>
    </row>
    <row r="9" spans="1:4">
      <c r="A9" s="6">
        <f t="shared" si="0"/>
        <v>42920</v>
      </c>
      <c r="B9" s="7">
        <v>42920</v>
      </c>
      <c r="C9" s="8">
        <v>8</v>
      </c>
      <c r="D9" s="36"/>
    </row>
    <row r="10" spans="1:4">
      <c r="A10" s="6">
        <f t="shared" si="0"/>
        <v>42921</v>
      </c>
      <c r="B10" s="7">
        <v>42921</v>
      </c>
      <c r="C10" s="8">
        <v>8</v>
      </c>
      <c r="D10" s="36"/>
    </row>
    <row r="11" spans="1:4">
      <c r="A11" s="6">
        <f t="shared" si="0"/>
        <v>42922</v>
      </c>
      <c r="B11" s="7">
        <v>42922</v>
      </c>
      <c r="C11" s="8">
        <v>11</v>
      </c>
      <c r="D11" s="36"/>
    </row>
    <row r="12" spans="1:4">
      <c r="A12" s="6">
        <f t="shared" si="0"/>
        <v>42923</v>
      </c>
      <c r="B12" s="7">
        <v>42923</v>
      </c>
      <c r="C12" s="8">
        <v>9</v>
      </c>
      <c r="D12" s="36"/>
    </row>
    <row r="13" spans="1:4">
      <c r="A13" s="6">
        <f t="shared" si="0"/>
        <v>42924</v>
      </c>
      <c r="B13" s="7">
        <v>42924</v>
      </c>
      <c r="C13" s="8">
        <v>6</v>
      </c>
      <c r="D13" s="36"/>
    </row>
    <row r="14" spans="1:4">
      <c r="A14" s="6">
        <f t="shared" si="0"/>
        <v>42925</v>
      </c>
      <c r="B14" s="7">
        <v>42925</v>
      </c>
      <c r="C14" s="8">
        <v>8</v>
      </c>
      <c r="D14" s="36"/>
    </row>
    <row r="15" spans="1:4">
      <c r="A15" s="6">
        <f t="shared" si="0"/>
        <v>42926</v>
      </c>
      <c r="B15" s="7">
        <v>42926</v>
      </c>
      <c r="C15" s="8">
        <v>17</v>
      </c>
      <c r="D15" s="36"/>
    </row>
    <row r="16" spans="1:4">
      <c r="A16" s="6">
        <f t="shared" si="0"/>
        <v>42927</v>
      </c>
      <c r="B16" s="7">
        <v>42927</v>
      </c>
      <c r="C16" s="8">
        <v>9</v>
      </c>
      <c r="D16" s="36"/>
    </row>
    <row r="17" spans="1:4">
      <c r="A17" s="6">
        <f t="shared" si="0"/>
        <v>42928</v>
      </c>
      <c r="B17" s="7">
        <v>42928</v>
      </c>
      <c r="C17" s="8">
        <v>7</v>
      </c>
      <c r="D17" s="36"/>
    </row>
    <row r="18" spans="1:4">
      <c r="A18" s="6">
        <f t="shared" si="0"/>
        <v>42929</v>
      </c>
      <c r="B18" s="7">
        <v>42929</v>
      </c>
      <c r="C18" s="8">
        <v>11</v>
      </c>
      <c r="D18" s="36"/>
    </row>
    <row r="19" spans="1:4">
      <c r="A19" s="6">
        <f t="shared" si="0"/>
        <v>42930</v>
      </c>
      <c r="B19" s="7">
        <v>42930</v>
      </c>
      <c r="C19" s="8">
        <v>16</v>
      </c>
      <c r="D19" s="36"/>
    </row>
    <row r="20" spans="1:4">
      <c r="A20" s="6">
        <f t="shared" si="0"/>
        <v>42931</v>
      </c>
      <c r="B20" s="7">
        <v>42931</v>
      </c>
      <c r="C20" s="8">
        <v>5</v>
      </c>
      <c r="D20" s="36"/>
    </row>
    <row r="21" spans="1:4">
      <c r="A21" s="6">
        <f t="shared" si="0"/>
        <v>42932</v>
      </c>
      <c r="B21" s="7">
        <v>42932</v>
      </c>
      <c r="C21" s="8">
        <v>5</v>
      </c>
      <c r="D21" s="36"/>
    </row>
    <row r="22" spans="1:4">
      <c r="A22" s="6">
        <f t="shared" si="0"/>
        <v>42933</v>
      </c>
      <c r="B22" s="7">
        <v>42933</v>
      </c>
      <c r="C22" s="8">
        <v>16</v>
      </c>
      <c r="D22" s="36"/>
    </row>
    <row r="23" spans="1:4">
      <c r="A23" s="6">
        <f t="shared" si="0"/>
        <v>42934</v>
      </c>
      <c r="B23" s="7">
        <v>42934</v>
      </c>
      <c r="C23" s="8">
        <v>9</v>
      </c>
      <c r="D23" s="36"/>
    </row>
    <row r="24" spans="1:4">
      <c r="A24" s="6">
        <f t="shared" si="0"/>
        <v>42935</v>
      </c>
      <c r="B24" s="7">
        <v>42935</v>
      </c>
      <c r="C24" s="8">
        <v>6</v>
      </c>
      <c r="D24" s="36"/>
    </row>
    <row r="25" spans="1:4">
      <c r="A25" s="6">
        <f t="shared" si="0"/>
        <v>42936</v>
      </c>
      <c r="B25" s="7">
        <v>42936</v>
      </c>
      <c r="C25" s="8">
        <v>5</v>
      </c>
      <c r="D25" s="36"/>
    </row>
    <row r="26" spans="1:4">
      <c r="A26" s="6">
        <f t="shared" si="0"/>
        <v>42937</v>
      </c>
      <c r="B26" s="7">
        <v>42937</v>
      </c>
      <c r="C26" s="8">
        <v>7</v>
      </c>
      <c r="D26" s="36"/>
    </row>
    <row r="27" spans="1:4">
      <c r="A27" s="6">
        <f t="shared" si="0"/>
        <v>42938</v>
      </c>
      <c r="B27" s="7">
        <v>42938</v>
      </c>
      <c r="C27" s="8">
        <v>3</v>
      </c>
      <c r="D27" s="36"/>
    </row>
    <row r="28" spans="1:4">
      <c r="A28" s="6">
        <f t="shared" si="0"/>
        <v>42939</v>
      </c>
      <c r="B28" s="7">
        <v>42939</v>
      </c>
      <c r="C28" s="8">
        <v>1</v>
      </c>
      <c r="D28" s="36"/>
    </row>
    <row r="29" spans="1:4">
      <c r="A29" s="6">
        <f t="shared" si="0"/>
        <v>42940</v>
      </c>
      <c r="B29" s="7">
        <v>42940</v>
      </c>
      <c r="C29" s="8">
        <v>4</v>
      </c>
      <c r="D29" s="36"/>
    </row>
    <row r="30" spans="1:4">
      <c r="A30" s="6">
        <f t="shared" si="0"/>
        <v>42941</v>
      </c>
      <c r="B30" s="7">
        <v>42941</v>
      </c>
      <c r="C30" s="8">
        <v>17</v>
      </c>
      <c r="D30" s="36"/>
    </row>
    <row r="31" spans="1:4" ht="16.5" customHeight="1">
      <c r="A31" s="6">
        <f t="shared" si="0"/>
        <v>42942</v>
      </c>
      <c r="B31" s="7">
        <v>42942</v>
      </c>
      <c r="C31" s="8">
        <v>11</v>
      </c>
      <c r="D31" s="36"/>
    </row>
    <row r="32" spans="1:4" ht="15" customHeight="1">
      <c r="A32" s="6">
        <f t="shared" si="0"/>
        <v>42943</v>
      </c>
      <c r="B32" s="7">
        <v>42943</v>
      </c>
      <c r="C32" s="8">
        <v>8</v>
      </c>
      <c r="D32" s="36"/>
    </row>
    <row r="33" spans="1:4">
      <c r="A33" s="6">
        <f t="shared" si="0"/>
        <v>42944</v>
      </c>
      <c r="B33" s="7">
        <v>42944</v>
      </c>
      <c r="C33" s="8">
        <v>5</v>
      </c>
      <c r="D33" s="36"/>
    </row>
    <row r="34" spans="1:4">
      <c r="A34" s="6">
        <f t="shared" si="0"/>
        <v>42945</v>
      </c>
      <c r="B34" s="7">
        <v>42945</v>
      </c>
      <c r="C34" s="8">
        <v>4</v>
      </c>
      <c r="D34" s="36"/>
    </row>
    <row r="35" spans="1:4">
      <c r="A35" s="6">
        <f t="shared" si="0"/>
        <v>42946</v>
      </c>
      <c r="B35" s="7">
        <v>42946</v>
      </c>
      <c r="C35" s="8">
        <v>4</v>
      </c>
      <c r="D35" s="36"/>
    </row>
    <row r="36" spans="1:4">
      <c r="A36" s="6">
        <f t="shared" si="0"/>
        <v>42947</v>
      </c>
      <c r="B36" s="7">
        <v>42947</v>
      </c>
      <c r="C36" s="9">
        <v>9</v>
      </c>
    </row>
    <row r="37" spans="1:4">
      <c r="B37" s="10" t="s">
        <v>6</v>
      </c>
      <c r="C37" s="11">
        <f>SUM(C6:C36)</f>
        <v>244</v>
      </c>
    </row>
    <row r="38" spans="1:4">
      <c r="C38" s="13"/>
    </row>
    <row r="39" spans="1:4">
      <c r="B39" s="14" t="s">
        <v>7</v>
      </c>
      <c r="C39" s="9">
        <v>1000</v>
      </c>
    </row>
    <row r="40" spans="1:4">
      <c r="B40" s="14" t="s">
        <v>8</v>
      </c>
      <c r="C40" s="9">
        <f>C37</f>
        <v>244</v>
      </c>
    </row>
    <row r="41" spans="1:4">
      <c r="B41" s="14" t="s">
        <v>9</v>
      </c>
      <c r="C41" s="9">
        <f>C39-C40</f>
        <v>756</v>
      </c>
    </row>
    <row r="42" spans="1:4">
      <c r="B42" s="14" t="s">
        <v>10</v>
      </c>
      <c r="C42" s="15">
        <f>C40/C39</f>
        <v>0.24399999999999999</v>
      </c>
    </row>
    <row r="43" spans="1:4">
      <c r="B43" s="14" t="s">
        <v>11</v>
      </c>
      <c r="C43" s="9">
        <f>IF(C40&lt;C39,0,C40-C39)</f>
        <v>0</v>
      </c>
    </row>
    <row r="44" spans="1:4">
      <c r="B44" s="14" t="s">
        <v>12</v>
      </c>
      <c r="C44" s="9">
        <f ca="1">(C39-C37)/C48</f>
        <v>25.2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33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4" workbookViewId="0">
      <selection activeCell="D37" sqref="D37"/>
    </sheetView>
  </sheetViews>
  <sheetFormatPr baseColWidth="10" defaultColWidth="8.83203125" defaultRowHeight="14" x14ac:dyDescent="0"/>
  <cols>
    <col min="1" max="1" width="13.33203125" customWidth="1"/>
    <col min="2" max="2" width="20.83203125" customWidth="1"/>
    <col min="3" max="3" width="14.6640625" bestFit="1" customWidth="1"/>
    <col min="4" max="4" width="14.83203125" customWidth="1"/>
    <col min="5" max="5" width="11.5" bestFit="1" customWidth="1"/>
    <col min="6" max="6" width="7.83203125" bestFit="1" customWidth="1"/>
  </cols>
  <sheetData>
    <row r="2" spans="1:6">
      <c r="B2" s="1" t="s">
        <v>87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4</v>
      </c>
      <c r="D5" s="5" t="s">
        <v>5</v>
      </c>
    </row>
    <row r="6" spans="1:6">
      <c r="A6" s="6">
        <f t="shared" ref="A6:A36" si="0">B6</f>
        <v>42917</v>
      </c>
      <c r="B6" s="7">
        <v>42917</v>
      </c>
      <c r="C6" s="39">
        <f>D6</f>
        <v>0</v>
      </c>
      <c r="D6" s="8">
        <v>0</v>
      </c>
      <c r="E6" s="14" t="s">
        <v>37</v>
      </c>
      <c r="F6" s="9">
        <f>AVERAGE(C6:C12)</f>
        <v>12.142857142857142</v>
      </c>
    </row>
    <row r="7" spans="1:6">
      <c r="A7" s="6">
        <f t="shared" si="0"/>
        <v>42918</v>
      </c>
      <c r="B7" s="7">
        <v>42918</v>
      </c>
      <c r="C7" s="44">
        <f t="shared" ref="C7:C36" si="1">IF(D7-D6&lt;0,0,D7-D6)</f>
        <v>0</v>
      </c>
      <c r="D7" s="8">
        <v>0</v>
      </c>
    </row>
    <row r="8" spans="1:6">
      <c r="A8" s="6">
        <f t="shared" si="0"/>
        <v>42919</v>
      </c>
      <c r="B8" s="7">
        <v>42919</v>
      </c>
      <c r="C8" s="44">
        <f t="shared" si="1"/>
        <v>14</v>
      </c>
      <c r="D8" s="8">
        <v>14</v>
      </c>
    </row>
    <row r="9" spans="1:6">
      <c r="A9" s="6">
        <f t="shared" si="0"/>
        <v>42920</v>
      </c>
      <c r="B9" s="7">
        <v>42920</v>
      </c>
      <c r="C9" s="44">
        <f t="shared" si="1"/>
        <v>15</v>
      </c>
      <c r="D9" s="8">
        <v>29</v>
      </c>
    </row>
    <row r="10" spans="1:6">
      <c r="A10" s="6">
        <f t="shared" si="0"/>
        <v>42921</v>
      </c>
      <c r="B10" s="7">
        <v>42921</v>
      </c>
      <c r="C10" s="44">
        <f t="shared" si="1"/>
        <v>19</v>
      </c>
      <c r="D10" s="8">
        <f>27+21</f>
        <v>48</v>
      </c>
    </row>
    <row r="11" spans="1:6">
      <c r="A11" s="6">
        <f t="shared" si="0"/>
        <v>42922</v>
      </c>
      <c r="B11" s="7">
        <v>42922</v>
      </c>
      <c r="C11" s="44">
        <f t="shared" si="1"/>
        <v>22</v>
      </c>
      <c r="D11" s="8">
        <f>36+34</f>
        <v>70</v>
      </c>
    </row>
    <row r="12" spans="1:6">
      <c r="A12" s="6">
        <f t="shared" si="0"/>
        <v>42923</v>
      </c>
      <c r="B12" s="7">
        <v>42923</v>
      </c>
      <c r="C12" s="44">
        <f t="shared" si="1"/>
        <v>15</v>
      </c>
      <c r="D12" s="8">
        <f>44+41</f>
        <v>85</v>
      </c>
    </row>
    <row r="13" spans="1:6">
      <c r="A13" s="6">
        <f t="shared" si="0"/>
        <v>42924</v>
      </c>
      <c r="B13" s="7">
        <v>42924</v>
      </c>
      <c r="C13" s="44">
        <f t="shared" si="1"/>
        <v>19</v>
      </c>
      <c r="D13" s="8">
        <f>58+46</f>
        <v>104</v>
      </c>
      <c r="E13" s="14" t="s">
        <v>38</v>
      </c>
      <c r="F13" s="9">
        <f>AVERAGE(C13:C19)</f>
        <v>18.428571428571427</v>
      </c>
    </row>
    <row r="14" spans="1:6">
      <c r="A14" s="6">
        <f t="shared" si="0"/>
        <v>42925</v>
      </c>
      <c r="B14" s="7">
        <v>42925</v>
      </c>
      <c r="C14" s="44">
        <f t="shared" si="1"/>
        <v>12</v>
      </c>
      <c r="D14" s="8">
        <f>63+53</f>
        <v>116</v>
      </c>
    </row>
    <row r="15" spans="1:6">
      <c r="A15" s="6">
        <f t="shared" si="0"/>
        <v>42926</v>
      </c>
      <c r="B15" s="7">
        <v>42926</v>
      </c>
      <c r="C15" s="44">
        <f t="shared" si="1"/>
        <v>13</v>
      </c>
      <c r="D15" s="8">
        <f>65+64</f>
        <v>129</v>
      </c>
    </row>
    <row r="16" spans="1:6">
      <c r="A16" s="6">
        <f t="shared" si="0"/>
        <v>42927</v>
      </c>
      <c r="B16" s="7">
        <v>42927</v>
      </c>
      <c r="C16" s="44">
        <f t="shared" si="1"/>
        <v>18</v>
      </c>
      <c r="D16" s="8">
        <f>76+71</f>
        <v>147</v>
      </c>
    </row>
    <row r="17" spans="1:6">
      <c r="A17" s="6">
        <f t="shared" si="0"/>
        <v>42928</v>
      </c>
      <c r="B17" s="7">
        <v>42928</v>
      </c>
      <c r="C17" s="44">
        <f t="shared" si="1"/>
        <v>32</v>
      </c>
      <c r="D17" s="8">
        <f>96+83</f>
        <v>179</v>
      </c>
    </row>
    <row r="18" spans="1:6">
      <c r="A18" s="6">
        <f t="shared" si="0"/>
        <v>42929</v>
      </c>
      <c r="B18" s="7">
        <v>42929</v>
      </c>
      <c r="C18" s="44">
        <f t="shared" si="1"/>
        <v>16</v>
      </c>
      <c r="D18" s="8">
        <f>106+89</f>
        <v>195</v>
      </c>
    </row>
    <row r="19" spans="1:6">
      <c r="A19" s="6">
        <f t="shared" si="0"/>
        <v>42930</v>
      </c>
      <c r="B19" s="7">
        <v>42930</v>
      </c>
      <c r="C19" s="44">
        <f t="shared" si="1"/>
        <v>19</v>
      </c>
      <c r="D19" s="8">
        <f>118+96</f>
        <v>214</v>
      </c>
    </row>
    <row r="20" spans="1:6">
      <c r="A20" s="6">
        <f t="shared" si="0"/>
        <v>42931</v>
      </c>
      <c r="B20" s="7">
        <v>42931</v>
      </c>
      <c r="C20" s="44">
        <f t="shared" si="1"/>
        <v>16</v>
      </c>
      <c r="D20" s="8">
        <f>126+104</f>
        <v>230</v>
      </c>
      <c r="E20" s="14" t="s">
        <v>39</v>
      </c>
      <c r="F20" s="9">
        <f>AVERAGE(C20:C26)</f>
        <v>20.714285714285715</v>
      </c>
    </row>
    <row r="21" spans="1:6">
      <c r="A21" s="6">
        <f t="shared" si="0"/>
        <v>42932</v>
      </c>
      <c r="B21" s="7">
        <v>42932</v>
      </c>
      <c r="C21" s="44">
        <f t="shared" si="1"/>
        <v>22</v>
      </c>
      <c r="D21" s="8">
        <f>131+121</f>
        <v>252</v>
      </c>
    </row>
    <row r="22" spans="1:6">
      <c r="A22" s="6">
        <f t="shared" si="0"/>
        <v>42933</v>
      </c>
      <c r="B22" s="7">
        <v>42933</v>
      </c>
      <c r="C22" s="44">
        <f t="shared" si="1"/>
        <v>20</v>
      </c>
      <c r="D22" s="8">
        <f>143+129</f>
        <v>272</v>
      </c>
    </row>
    <row r="23" spans="1:6">
      <c r="A23" s="6">
        <f t="shared" si="0"/>
        <v>42934</v>
      </c>
      <c r="B23" s="7">
        <v>42934</v>
      </c>
      <c r="C23" s="44">
        <f t="shared" si="1"/>
        <v>0</v>
      </c>
      <c r="D23" s="8">
        <f>143+129</f>
        <v>272</v>
      </c>
    </row>
    <row r="24" spans="1:6">
      <c r="A24" s="6">
        <f t="shared" si="0"/>
        <v>42935</v>
      </c>
      <c r="B24" s="7">
        <v>42935</v>
      </c>
      <c r="C24" s="44">
        <f t="shared" si="1"/>
        <v>40</v>
      </c>
      <c r="D24" s="8">
        <f>160+152</f>
        <v>312</v>
      </c>
    </row>
    <row r="25" spans="1:6">
      <c r="A25" s="6">
        <f t="shared" si="0"/>
        <v>42936</v>
      </c>
      <c r="B25" s="7">
        <v>42936</v>
      </c>
      <c r="C25" s="44">
        <f t="shared" si="1"/>
        <v>25</v>
      </c>
      <c r="D25" s="8">
        <f>172+165</f>
        <v>337</v>
      </c>
    </row>
    <row r="26" spans="1:6">
      <c r="A26" s="6">
        <f t="shared" si="0"/>
        <v>42937</v>
      </c>
      <c r="B26" s="7">
        <v>42937</v>
      </c>
      <c r="C26" s="44">
        <f t="shared" si="1"/>
        <v>22</v>
      </c>
      <c r="D26" s="8">
        <f>182+177</f>
        <v>359</v>
      </c>
    </row>
    <row r="27" spans="1:6">
      <c r="A27" s="6">
        <f t="shared" si="0"/>
        <v>42938</v>
      </c>
      <c r="B27" s="7">
        <v>42938</v>
      </c>
      <c r="C27" s="44">
        <f t="shared" si="1"/>
        <v>11</v>
      </c>
      <c r="D27" s="8">
        <f>188+182</f>
        <v>370</v>
      </c>
      <c r="E27" s="14" t="s">
        <v>40</v>
      </c>
      <c r="F27" s="9">
        <f>AVERAGE(C27:C33)</f>
        <v>19.571428571428573</v>
      </c>
    </row>
    <row r="28" spans="1:6">
      <c r="A28" s="6">
        <f t="shared" si="0"/>
        <v>42939</v>
      </c>
      <c r="B28" s="7">
        <v>42939</v>
      </c>
      <c r="C28" s="44">
        <f t="shared" si="1"/>
        <v>19</v>
      </c>
      <c r="D28" s="8">
        <f>195+194</f>
        <v>389</v>
      </c>
    </row>
    <row r="29" spans="1:6">
      <c r="A29" s="6">
        <f t="shared" si="0"/>
        <v>42940</v>
      </c>
      <c r="B29" s="7">
        <v>42940</v>
      </c>
      <c r="C29" s="44">
        <f t="shared" si="1"/>
        <v>24</v>
      </c>
      <c r="D29" s="8">
        <f>208+205</f>
        <v>413</v>
      </c>
    </row>
    <row r="30" spans="1:6">
      <c r="A30" s="6">
        <f t="shared" si="0"/>
        <v>42941</v>
      </c>
      <c r="B30" s="7">
        <v>42941</v>
      </c>
      <c r="C30" s="44">
        <f t="shared" si="1"/>
        <v>22</v>
      </c>
      <c r="D30" s="8">
        <f>226+209</f>
        <v>435</v>
      </c>
    </row>
    <row r="31" spans="1:6">
      <c r="A31" s="6">
        <f t="shared" si="0"/>
        <v>42942</v>
      </c>
      <c r="B31" s="7">
        <v>42942</v>
      </c>
      <c r="C31" s="44">
        <f t="shared" si="1"/>
        <v>25</v>
      </c>
      <c r="D31" s="8">
        <f>239+221</f>
        <v>460</v>
      </c>
    </row>
    <row r="32" spans="1:6">
      <c r="A32" s="6">
        <f t="shared" si="0"/>
        <v>42943</v>
      </c>
      <c r="B32" s="7">
        <v>42943</v>
      </c>
      <c r="C32" s="44">
        <f t="shared" si="1"/>
        <v>15</v>
      </c>
      <c r="D32" s="8">
        <f>247+228</f>
        <v>475</v>
      </c>
    </row>
    <row r="33" spans="1:4">
      <c r="A33" s="6">
        <f t="shared" si="0"/>
        <v>42944</v>
      </c>
      <c r="B33" s="7">
        <v>42944</v>
      </c>
      <c r="C33" s="44">
        <f t="shared" si="1"/>
        <v>21</v>
      </c>
      <c r="D33" s="8">
        <f>258+238</f>
        <v>496</v>
      </c>
    </row>
    <row r="34" spans="1:4">
      <c r="A34" s="6">
        <f t="shared" si="0"/>
        <v>42945</v>
      </c>
      <c r="B34" s="7">
        <v>42945</v>
      </c>
      <c r="C34" s="44">
        <f t="shared" si="1"/>
        <v>18</v>
      </c>
      <c r="D34" s="8">
        <f>265+249</f>
        <v>514</v>
      </c>
    </row>
    <row r="35" spans="1:4">
      <c r="A35" s="6">
        <f t="shared" si="0"/>
        <v>42946</v>
      </c>
      <c r="B35" s="7">
        <v>42946</v>
      </c>
      <c r="C35" s="44">
        <f t="shared" si="1"/>
        <v>10</v>
      </c>
      <c r="D35" s="8">
        <f>268+256</f>
        <v>524</v>
      </c>
    </row>
    <row r="36" spans="1:4">
      <c r="A36" s="6">
        <f t="shared" si="0"/>
        <v>42947</v>
      </c>
      <c r="B36" s="7">
        <v>42947</v>
      </c>
      <c r="C36" s="14">
        <f t="shared" si="1"/>
        <v>22</v>
      </c>
      <c r="D36" s="9">
        <f>281+265</f>
        <v>546</v>
      </c>
    </row>
    <row r="37" spans="1:4">
      <c r="B37" s="10" t="s">
        <v>6</v>
      </c>
      <c r="C37" s="11">
        <f>SUM(C6:C36)</f>
        <v>546</v>
      </c>
      <c r="D37" s="12"/>
    </row>
    <row r="38" spans="1:4">
      <c r="C38" s="13"/>
    </row>
    <row r="39" spans="1:4">
      <c r="B39" s="14" t="s">
        <v>7</v>
      </c>
      <c r="C39" s="9">
        <v>10</v>
      </c>
    </row>
    <row r="40" spans="1:4">
      <c r="B40" s="14" t="s">
        <v>8</v>
      </c>
      <c r="C40" s="9">
        <f>C37</f>
        <v>546</v>
      </c>
    </row>
    <row r="41" spans="1:4">
      <c r="B41" s="14" t="s">
        <v>9</v>
      </c>
      <c r="C41" s="9">
        <f>C39-C40</f>
        <v>-536</v>
      </c>
    </row>
    <row r="42" spans="1:4">
      <c r="B42" s="14" t="s">
        <v>10</v>
      </c>
      <c r="C42" s="15">
        <f>C40/C39</f>
        <v>54.6</v>
      </c>
    </row>
    <row r="43" spans="1:4">
      <c r="B43" s="14" t="s">
        <v>11</v>
      </c>
      <c r="C43" s="9">
        <f>IF(C40&lt;C39,0,C40-C39)</f>
        <v>536</v>
      </c>
    </row>
    <row r="44" spans="1:4">
      <c r="B44" s="14" t="s">
        <v>12</v>
      </c>
      <c r="C44" s="9">
        <f ca="1">(C39-C37)/C48</f>
        <v>-17.866666666666667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10" zoomScale="80" zoomScaleNormal="80" zoomScalePageLayoutView="80" workbookViewId="0">
      <selection activeCell="B35" sqref="B35:B36"/>
    </sheetView>
  </sheetViews>
  <sheetFormatPr baseColWidth="10" defaultColWidth="8.83203125" defaultRowHeight="14" x14ac:dyDescent="0"/>
  <cols>
    <col min="1" max="1" width="13.33203125" customWidth="1"/>
    <col min="2" max="2" width="20.83203125" customWidth="1"/>
    <col min="3" max="3" width="14.6640625" bestFit="1" customWidth="1"/>
    <col min="4" max="4" width="14.83203125" customWidth="1"/>
    <col min="5" max="5" width="11.5" bestFit="1" customWidth="1"/>
    <col min="6" max="6" width="7.83203125" bestFit="1" customWidth="1"/>
  </cols>
  <sheetData>
    <row r="2" spans="1:6">
      <c r="B2" s="1" t="s">
        <v>65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4</v>
      </c>
      <c r="D5" s="5" t="s">
        <v>5</v>
      </c>
    </row>
    <row r="6" spans="1:6">
      <c r="A6" s="6">
        <f t="shared" ref="A6:A36" si="0">B6</f>
        <v>42917</v>
      </c>
      <c r="B6" s="7">
        <v>42917</v>
      </c>
      <c r="C6" s="39">
        <f>D6</f>
        <v>0</v>
      </c>
      <c r="D6" s="8"/>
      <c r="E6" s="14" t="s">
        <v>37</v>
      </c>
      <c r="F6" s="9">
        <f>AVERAGE(C6:C12)</f>
        <v>0</v>
      </c>
    </row>
    <row r="7" spans="1:6">
      <c r="A7" s="6">
        <f t="shared" si="0"/>
        <v>42918</v>
      </c>
      <c r="B7" s="7">
        <v>42918</v>
      </c>
      <c r="C7" s="44">
        <f t="shared" ref="C7:C36" si="1">IF(D7-D6&lt;0,0,D7-D6)</f>
        <v>0</v>
      </c>
      <c r="D7" s="8"/>
    </row>
    <row r="8" spans="1:6">
      <c r="A8" s="6">
        <f t="shared" si="0"/>
        <v>42919</v>
      </c>
      <c r="B8" s="7">
        <v>42919</v>
      </c>
      <c r="C8" s="44">
        <f t="shared" si="1"/>
        <v>0</v>
      </c>
      <c r="D8" s="8"/>
    </row>
    <row r="9" spans="1:6">
      <c r="A9" s="6">
        <f t="shared" si="0"/>
        <v>42920</v>
      </c>
      <c r="B9" s="7">
        <v>42920</v>
      </c>
      <c r="C9" s="44">
        <f t="shared" si="1"/>
        <v>0</v>
      </c>
      <c r="D9" s="8"/>
    </row>
    <row r="10" spans="1:6">
      <c r="A10" s="6">
        <f t="shared" si="0"/>
        <v>42921</v>
      </c>
      <c r="B10" s="7">
        <v>42921</v>
      </c>
      <c r="C10" s="44">
        <f t="shared" si="1"/>
        <v>0</v>
      </c>
      <c r="D10" s="8"/>
    </row>
    <row r="11" spans="1:6">
      <c r="A11" s="6">
        <f t="shared" si="0"/>
        <v>42922</v>
      </c>
      <c r="B11" s="7">
        <v>42922</v>
      </c>
      <c r="C11" s="44">
        <f t="shared" si="1"/>
        <v>0</v>
      </c>
      <c r="D11" s="8"/>
    </row>
    <row r="12" spans="1:6">
      <c r="A12" s="6">
        <f t="shared" si="0"/>
        <v>42923</v>
      </c>
      <c r="B12" s="7">
        <v>42923</v>
      </c>
      <c r="C12" s="44">
        <f t="shared" si="1"/>
        <v>0</v>
      </c>
      <c r="D12" s="8"/>
    </row>
    <row r="13" spans="1:6">
      <c r="A13" s="6">
        <f t="shared" si="0"/>
        <v>42924</v>
      </c>
      <c r="B13" s="7">
        <v>42924</v>
      </c>
      <c r="C13" s="44">
        <f t="shared" si="1"/>
        <v>0</v>
      </c>
      <c r="D13" s="8"/>
      <c r="E13" s="14" t="s">
        <v>38</v>
      </c>
      <c r="F13" s="9">
        <f>AVERAGE(C13:C19)</f>
        <v>0</v>
      </c>
    </row>
    <row r="14" spans="1:6">
      <c r="A14" s="6">
        <f t="shared" si="0"/>
        <v>42925</v>
      </c>
      <c r="B14" s="7">
        <v>42925</v>
      </c>
      <c r="C14" s="44">
        <f t="shared" si="1"/>
        <v>0</v>
      </c>
      <c r="D14" s="8"/>
    </row>
    <row r="15" spans="1:6">
      <c r="A15" s="6">
        <f t="shared" si="0"/>
        <v>42926</v>
      </c>
      <c r="B15" s="7">
        <v>42926</v>
      </c>
      <c r="C15" s="44">
        <f t="shared" si="1"/>
        <v>0</v>
      </c>
      <c r="D15" s="8"/>
    </row>
    <row r="16" spans="1:6">
      <c r="A16" s="6">
        <f t="shared" si="0"/>
        <v>42927</v>
      </c>
      <c r="B16" s="7">
        <v>42927</v>
      </c>
      <c r="C16" s="44">
        <f t="shared" si="1"/>
        <v>0</v>
      </c>
      <c r="D16" s="8"/>
    </row>
    <row r="17" spans="1:6">
      <c r="A17" s="6">
        <f t="shared" si="0"/>
        <v>42928</v>
      </c>
      <c r="B17" s="7">
        <v>42928</v>
      </c>
      <c r="C17" s="44">
        <f t="shared" si="1"/>
        <v>0</v>
      </c>
      <c r="D17" s="8"/>
    </row>
    <row r="18" spans="1:6">
      <c r="A18" s="6">
        <f t="shared" si="0"/>
        <v>42929</v>
      </c>
      <c r="B18" s="7">
        <v>42929</v>
      </c>
      <c r="C18" s="44">
        <f t="shared" si="1"/>
        <v>0</v>
      </c>
      <c r="D18" s="8"/>
    </row>
    <row r="19" spans="1:6">
      <c r="A19" s="6">
        <f t="shared" si="0"/>
        <v>42930</v>
      </c>
      <c r="B19" s="7">
        <v>42930</v>
      </c>
      <c r="C19" s="44">
        <f t="shared" si="1"/>
        <v>0</v>
      </c>
      <c r="D19" s="8"/>
    </row>
    <row r="20" spans="1:6">
      <c r="A20" s="6">
        <f t="shared" si="0"/>
        <v>42931</v>
      </c>
      <c r="B20" s="7">
        <v>42931</v>
      </c>
      <c r="C20" s="44">
        <f t="shared" si="1"/>
        <v>0</v>
      </c>
      <c r="D20" s="8"/>
      <c r="E20" s="14" t="s">
        <v>39</v>
      </c>
      <c r="F20" s="9">
        <f>AVERAGE(C20:C26)</f>
        <v>0</v>
      </c>
    </row>
    <row r="21" spans="1:6">
      <c r="A21" s="6">
        <f t="shared" si="0"/>
        <v>42932</v>
      </c>
      <c r="B21" s="7">
        <v>42932</v>
      </c>
      <c r="C21" s="44">
        <f t="shared" si="1"/>
        <v>0</v>
      </c>
      <c r="D21" s="8"/>
    </row>
    <row r="22" spans="1:6">
      <c r="A22" s="6">
        <f t="shared" si="0"/>
        <v>42933</v>
      </c>
      <c r="B22" s="7">
        <v>42933</v>
      </c>
      <c r="C22" s="44">
        <f t="shared" si="1"/>
        <v>0</v>
      </c>
      <c r="D22" s="8"/>
    </row>
    <row r="23" spans="1:6">
      <c r="A23" s="6">
        <f t="shared" si="0"/>
        <v>42934</v>
      </c>
      <c r="B23" s="7">
        <v>42934</v>
      </c>
      <c r="C23" s="44">
        <f t="shared" si="1"/>
        <v>0</v>
      </c>
      <c r="D23" s="8"/>
    </row>
    <row r="24" spans="1:6">
      <c r="A24" s="6">
        <f t="shared" si="0"/>
        <v>42935</v>
      </c>
      <c r="B24" s="7">
        <v>42935</v>
      </c>
      <c r="C24" s="44">
        <f t="shared" si="1"/>
        <v>0</v>
      </c>
      <c r="D24" s="8"/>
    </row>
    <row r="25" spans="1:6">
      <c r="A25" s="6">
        <f t="shared" si="0"/>
        <v>42936</v>
      </c>
      <c r="B25" s="7">
        <v>42936</v>
      </c>
      <c r="C25" s="44">
        <f t="shared" si="1"/>
        <v>0</v>
      </c>
      <c r="D25" s="8"/>
    </row>
    <row r="26" spans="1:6">
      <c r="A26" s="6">
        <f t="shared" si="0"/>
        <v>42937</v>
      </c>
      <c r="B26" s="7">
        <v>42937</v>
      </c>
      <c r="C26" s="44">
        <f t="shared" si="1"/>
        <v>0</v>
      </c>
      <c r="D26" s="8"/>
    </row>
    <row r="27" spans="1:6">
      <c r="A27" s="6">
        <f t="shared" si="0"/>
        <v>42938</v>
      </c>
      <c r="B27" s="7">
        <v>42938</v>
      </c>
      <c r="C27" s="44">
        <f t="shared" si="1"/>
        <v>0</v>
      </c>
      <c r="D27" s="8"/>
      <c r="E27" s="14" t="s">
        <v>40</v>
      </c>
      <c r="F27" s="9">
        <f>AVERAGE(C27:C33)</f>
        <v>0</v>
      </c>
    </row>
    <row r="28" spans="1:6">
      <c r="A28" s="6">
        <f t="shared" si="0"/>
        <v>42939</v>
      </c>
      <c r="B28" s="7">
        <v>42939</v>
      </c>
      <c r="C28" s="44">
        <f t="shared" si="1"/>
        <v>0</v>
      </c>
      <c r="D28" s="8"/>
    </row>
    <row r="29" spans="1:6">
      <c r="A29" s="6">
        <f t="shared" si="0"/>
        <v>42940</v>
      </c>
      <c r="B29" s="7">
        <v>42940</v>
      </c>
      <c r="C29" s="44">
        <f t="shared" si="1"/>
        <v>0</v>
      </c>
      <c r="D29" s="8"/>
    </row>
    <row r="30" spans="1:6">
      <c r="A30" s="6">
        <f t="shared" si="0"/>
        <v>42941</v>
      </c>
      <c r="B30" s="7">
        <v>42941</v>
      </c>
      <c r="C30" s="44">
        <f t="shared" si="1"/>
        <v>0</v>
      </c>
      <c r="D30" s="8"/>
    </row>
    <row r="31" spans="1:6">
      <c r="A31" s="6">
        <f t="shared" si="0"/>
        <v>42942</v>
      </c>
      <c r="B31" s="7">
        <v>42942</v>
      </c>
      <c r="C31" s="44">
        <f t="shared" si="1"/>
        <v>0</v>
      </c>
      <c r="D31" s="8"/>
    </row>
    <row r="32" spans="1:6">
      <c r="A32" s="6">
        <f t="shared" si="0"/>
        <v>42943</v>
      </c>
      <c r="B32" s="7">
        <v>42943</v>
      </c>
      <c r="C32" s="44">
        <f t="shared" si="1"/>
        <v>0</v>
      </c>
      <c r="D32" s="8"/>
    </row>
    <row r="33" spans="1:4">
      <c r="A33" s="6">
        <f t="shared" si="0"/>
        <v>42944</v>
      </c>
      <c r="B33" s="7">
        <v>42944</v>
      </c>
      <c r="C33" s="44">
        <f t="shared" si="1"/>
        <v>0</v>
      </c>
      <c r="D33" s="8"/>
    </row>
    <row r="34" spans="1:4">
      <c r="A34" s="6">
        <f t="shared" si="0"/>
        <v>42945</v>
      </c>
      <c r="B34" s="7">
        <v>42945</v>
      </c>
      <c r="C34" s="44">
        <f t="shared" si="1"/>
        <v>0</v>
      </c>
      <c r="D34" s="8"/>
    </row>
    <row r="35" spans="1:4">
      <c r="A35" s="6">
        <f t="shared" si="0"/>
        <v>42946</v>
      </c>
      <c r="B35" s="7">
        <v>42946</v>
      </c>
      <c r="C35" s="44">
        <f t="shared" si="1"/>
        <v>0</v>
      </c>
      <c r="D35" s="8"/>
    </row>
    <row r="36" spans="1:4">
      <c r="A36" s="6">
        <f t="shared" si="0"/>
        <v>42947</v>
      </c>
      <c r="B36" s="7">
        <v>42947</v>
      </c>
      <c r="C36" s="14">
        <f t="shared" si="1"/>
        <v>0</v>
      </c>
      <c r="D36" s="9"/>
    </row>
    <row r="37" spans="1:4">
      <c r="B37" s="10" t="s">
        <v>6</v>
      </c>
      <c r="C37" s="11">
        <f>SUM(C6:C35)</f>
        <v>0</v>
      </c>
      <c r="D37" s="12"/>
    </row>
    <row r="38" spans="1:4">
      <c r="C38" s="13"/>
    </row>
    <row r="39" spans="1:4">
      <c r="B39" s="14" t="s">
        <v>7</v>
      </c>
      <c r="C39" s="9">
        <v>10</v>
      </c>
    </row>
    <row r="40" spans="1:4">
      <c r="B40" s="14" t="s">
        <v>8</v>
      </c>
      <c r="C40" s="9">
        <f>C37</f>
        <v>0</v>
      </c>
    </row>
    <row r="41" spans="1:4">
      <c r="B41" s="14" t="s">
        <v>9</v>
      </c>
      <c r="C41" s="9">
        <f>C39-C40</f>
        <v>10</v>
      </c>
    </row>
    <row r="42" spans="1:4">
      <c r="B42" s="14" t="s">
        <v>10</v>
      </c>
      <c r="C42" s="15">
        <f>C40/C39</f>
        <v>0</v>
      </c>
    </row>
    <row r="43" spans="1:4">
      <c r="B43" s="14" t="s">
        <v>11</v>
      </c>
      <c r="C43" s="9">
        <f>IF(C40&lt;C39,0,C40-C39)</f>
        <v>0</v>
      </c>
    </row>
    <row r="44" spans="1:4">
      <c r="B44" s="14" t="s">
        <v>12</v>
      </c>
      <c r="C44" s="9">
        <f ca="1">(C39-C37)/C48</f>
        <v>0.33333333333333331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7"/>
  <sheetViews>
    <sheetView showGridLines="0" workbookViewId="0">
      <selection activeCell="C38" sqref="C38"/>
    </sheetView>
  </sheetViews>
  <sheetFormatPr baseColWidth="10" defaultColWidth="8.83203125" defaultRowHeight="14" x14ac:dyDescent="0"/>
  <cols>
    <col min="1" max="1" width="13.33203125" customWidth="1"/>
    <col min="2" max="2" width="20.83203125" customWidth="1"/>
    <col min="3" max="3" width="14.6640625" bestFit="1" customWidth="1"/>
    <col min="4" max="4" width="14.83203125" customWidth="1"/>
    <col min="5" max="5" width="11.5" bestFit="1" customWidth="1"/>
    <col min="6" max="6" width="7.83203125" bestFit="1" customWidth="1"/>
  </cols>
  <sheetData>
    <row r="2" spans="1:5">
      <c r="B2" s="1" t="s">
        <v>68</v>
      </c>
    </row>
    <row r="4" spans="1:5">
      <c r="B4" s="2" t="s">
        <v>1</v>
      </c>
      <c r="C4" s="2"/>
    </row>
    <row r="5" spans="1:5">
      <c r="A5" s="3" t="s">
        <v>2</v>
      </c>
      <c r="B5" s="4" t="s">
        <v>3</v>
      </c>
      <c r="C5" s="5" t="s">
        <v>5</v>
      </c>
    </row>
    <row r="6" spans="1:5">
      <c r="A6" s="6">
        <f t="shared" ref="A6:A36" si="0">B6</f>
        <v>42917</v>
      </c>
      <c r="B6" s="7">
        <v>42917</v>
      </c>
      <c r="C6" s="8">
        <v>483</v>
      </c>
      <c r="D6" s="44"/>
      <c r="E6" s="9" t="e">
        <f>AVERAGE(#REF!)</f>
        <v>#REF!</v>
      </c>
    </row>
    <row r="7" spans="1:5">
      <c r="A7" s="6">
        <f t="shared" si="0"/>
        <v>42918</v>
      </c>
      <c r="B7" s="7">
        <v>42918</v>
      </c>
      <c r="C7" s="8">
        <v>415</v>
      </c>
      <c r="D7" s="36"/>
    </row>
    <row r="8" spans="1:5">
      <c r="A8" s="6">
        <f t="shared" si="0"/>
        <v>42919</v>
      </c>
      <c r="B8" s="7">
        <v>42919</v>
      </c>
      <c r="C8" s="8">
        <v>686</v>
      </c>
      <c r="D8" s="36"/>
    </row>
    <row r="9" spans="1:5">
      <c r="A9" s="6">
        <f t="shared" si="0"/>
        <v>42920</v>
      </c>
      <c r="B9" s="7">
        <v>42920</v>
      </c>
      <c r="C9" s="8">
        <v>473</v>
      </c>
      <c r="D9" s="36"/>
    </row>
    <row r="10" spans="1:5">
      <c r="A10" s="6">
        <f t="shared" si="0"/>
        <v>42921</v>
      </c>
      <c r="B10" s="7">
        <v>42921</v>
      </c>
      <c r="C10" s="8">
        <v>949</v>
      </c>
      <c r="D10" s="36"/>
    </row>
    <row r="11" spans="1:5">
      <c r="A11" s="6">
        <f t="shared" si="0"/>
        <v>42922</v>
      </c>
      <c r="B11" s="7">
        <v>42922</v>
      </c>
      <c r="C11" s="8">
        <v>1282</v>
      </c>
      <c r="D11" s="36"/>
    </row>
    <row r="12" spans="1:5">
      <c r="A12" s="6">
        <f t="shared" si="0"/>
        <v>42923</v>
      </c>
      <c r="B12" s="7">
        <v>42923</v>
      </c>
      <c r="C12" s="8">
        <v>1249</v>
      </c>
      <c r="D12" s="36"/>
    </row>
    <row r="13" spans="1:5">
      <c r="A13" s="6">
        <f t="shared" si="0"/>
        <v>42924</v>
      </c>
      <c r="B13" s="7">
        <v>42924</v>
      </c>
      <c r="C13" s="8">
        <v>716</v>
      </c>
      <c r="D13" s="44"/>
      <c r="E13" s="9" t="e">
        <f>AVERAGE(#REF!)</f>
        <v>#REF!</v>
      </c>
    </row>
    <row r="14" spans="1:5">
      <c r="A14" s="6">
        <f t="shared" si="0"/>
        <v>42925</v>
      </c>
      <c r="B14" s="7">
        <v>42925</v>
      </c>
      <c r="C14" s="8">
        <v>686</v>
      </c>
      <c r="D14" s="36"/>
    </row>
    <row r="15" spans="1:5">
      <c r="A15" s="6">
        <f t="shared" si="0"/>
        <v>42926</v>
      </c>
      <c r="B15" s="7">
        <v>42926</v>
      </c>
      <c r="C15" s="8">
        <v>1224</v>
      </c>
      <c r="D15" s="36"/>
    </row>
    <row r="16" spans="1:5">
      <c r="A16" s="6">
        <f t="shared" si="0"/>
        <v>42927</v>
      </c>
      <c r="B16" s="7">
        <v>42927</v>
      </c>
      <c r="C16" s="8">
        <v>872</v>
      </c>
      <c r="D16" s="36"/>
    </row>
    <row r="17" spans="1:5">
      <c r="A17" s="6">
        <f t="shared" si="0"/>
        <v>42928</v>
      </c>
      <c r="B17" s="7">
        <v>42928</v>
      </c>
      <c r="C17" s="8">
        <v>960</v>
      </c>
      <c r="D17" s="36"/>
    </row>
    <row r="18" spans="1:5">
      <c r="A18" s="6">
        <f t="shared" si="0"/>
        <v>42929</v>
      </c>
      <c r="B18" s="7">
        <v>42929</v>
      </c>
      <c r="C18" s="8">
        <v>1000</v>
      </c>
      <c r="D18" s="36"/>
    </row>
    <row r="19" spans="1:5">
      <c r="A19" s="6">
        <f t="shared" si="0"/>
        <v>42930</v>
      </c>
      <c r="B19" s="7">
        <v>42930</v>
      </c>
      <c r="C19" s="8">
        <v>953</v>
      </c>
      <c r="D19" s="36"/>
    </row>
    <row r="20" spans="1:5">
      <c r="A20" s="6">
        <f t="shared" si="0"/>
        <v>42931</v>
      </c>
      <c r="B20" s="7">
        <v>42931</v>
      </c>
      <c r="C20" s="8">
        <v>485</v>
      </c>
      <c r="D20" s="44"/>
      <c r="E20" s="9" t="e">
        <f>AVERAGE(#REF!)</f>
        <v>#REF!</v>
      </c>
    </row>
    <row r="21" spans="1:5">
      <c r="A21" s="6">
        <f t="shared" si="0"/>
        <v>42932</v>
      </c>
      <c r="B21" s="7">
        <v>42932</v>
      </c>
      <c r="C21" s="8">
        <v>528</v>
      </c>
      <c r="D21" s="36"/>
    </row>
    <row r="22" spans="1:5">
      <c r="A22" s="6">
        <f t="shared" si="0"/>
        <v>42933</v>
      </c>
      <c r="B22" s="7">
        <v>42933</v>
      </c>
      <c r="C22" s="8">
        <v>918</v>
      </c>
      <c r="D22" s="36"/>
    </row>
    <row r="23" spans="1:5">
      <c r="A23" s="6">
        <f t="shared" si="0"/>
        <v>42934</v>
      </c>
      <c r="B23" s="7">
        <v>42934</v>
      </c>
      <c r="C23" s="8">
        <v>903</v>
      </c>
      <c r="D23" s="36"/>
    </row>
    <row r="24" spans="1:5">
      <c r="A24" s="6">
        <f t="shared" si="0"/>
        <v>42935</v>
      </c>
      <c r="B24" s="7">
        <v>42935</v>
      </c>
      <c r="C24" s="8">
        <v>946</v>
      </c>
      <c r="D24" s="36"/>
    </row>
    <row r="25" spans="1:5">
      <c r="A25" s="6">
        <f t="shared" si="0"/>
        <v>42936</v>
      </c>
      <c r="B25" s="7">
        <v>42936</v>
      </c>
      <c r="C25" s="8">
        <v>878</v>
      </c>
      <c r="D25" s="36"/>
    </row>
    <row r="26" spans="1:5">
      <c r="A26" s="6">
        <f t="shared" si="0"/>
        <v>42937</v>
      </c>
      <c r="B26" s="7">
        <v>42937</v>
      </c>
      <c r="C26" s="8">
        <v>779</v>
      </c>
      <c r="D26" s="36"/>
    </row>
    <row r="27" spans="1:5">
      <c r="A27" s="6">
        <f t="shared" si="0"/>
        <v>42938</v>
      </c>
      <c r="B27" s="7">
        <v>42938</v>
      </c>
      <c r="C27" s="37">
        <v>506</v>
      </c>
      <c r="D27" s="44"/>
      <c r="E27" s="9" t="e">
        <f>AVERAGE(#REF!)</f>
        <v>#REF!</v>
      </c>
    </row>
    <row r="28" spans="1:5">
      <c r="A28" s="6">
        <f t="shared" si="0"/>
        <v>42939</v>
      </c>
      <c r="B28" s="7">
        <v>42939</v>
      </c>
      <c r="C28" s="8">
        <v>521</v>
      </c>
      <c r="D28" s="36"/>
    </row>
    <row r="29" spans="1:5">
      <c r="A29" s="6">
        <f t="shared" si="0"/>
        <v>42940</v>
      </c>
      <c r="B29" s="7">
        <v>42940</v>
      </c>
      <c r="C29" s="8">
        <v>914</v>
      </c>
      <c r="D29" s="36"/>
    </row>
    <row r="30" spans="1:5">
      <c r="A30" s="6">
        <f t="shared" si="0"/>
        <v>42941</v>
      </c>
      <c r="B30" s="7">
        <v>42941</v>
      </c>
      <c r="C30" s="8">
        <v>981</v>
      </c>
      <c r="D30" s="36"/>
    </row>
    <row r="31" spans="1:5">
      <c r="A31" s="6">
        <f t="shared" si="0"/>
        <v>42942</v>
      </c>
      <c r="B31" s="7">
        <v>42942</v>
      </c>
      <c r="C31" s="8">
        <v>992</v>
      </c>
      <c r="D31" s="36"/>
    </row>
    <row r="32" spans="1:5">
      <c r="A32" s="6">
        <f t="shared" si="0"/>
        <v>42943</v>
      </c>
      <c r="B32" s="7">
        <v>42943</v>
      </c>
      <c r="C32" s="8">
        <v>997</v>
      </c>
      <c r="D32" s="36"/>
    </row>
    <row r="33" spans="1:4">
      <c r="A33" s="6">
        <f t="shared" si="0"/>
        <v>42944</v>
      </c>
      <c r="B33" s="7">
        <v>42944</v>
      </c>
      <c r="C33" s="8">
        <v>800</v>
      </c>
      <c r="D33" s="36"/>
    </row>
    <row r="34" spans="1:4">
      <c r="A34" s="6">
        <f t="shared" si="0"/>
        <v>42945</v>
      </c>
      <c r="B34" s="7">
        <v>42945</v>
      </c>
      <c r="C34" s="8">
        <v>465</v>
      </c>
      <c r="D34" s="36"/>
    </row>
    <row r="35" spans="1:4">
      <c r="A35" s="6">
        <f t="shared" si="0"/>
        <v>42946</v>
      </c>
      <c r="B35" s="7">
        <v>42946</v>
      </c>
      <c r="C35" s="8">
        <v>499</v>
      </c>
      <c r="D35" s="36"/>
    </row>
    <row r="36" spans="1:4">
      <c r="A36" s="6">
        <f t="shared" si="0"/>
        <v>42947</v>
      </c>
      <c r="B36" s="7">
        <v>42947</v>
      </c>
      <c r="C36" s="9">
        <v>970</v>
      </c>
    </row>
    <row r="37" spans="1:4">
      <c r="B37" s="10" t="s">
        <v>6</v>
      </c>
      <c r="C37" s="11">
        <f>SUM(C6:C36)</f>
        <v>25030</v>
      </c>
      <c r="D37" s="12"/>
    </row>
    <row r="38" spans="1:4">
      <c r="C38" s="13"/>
    </row>
    <row r="39" spans="1:4">
      <c r="B39" s="14" t="s">
        <v>7</v>
      </c>
      <c r="C39" s="9">
        <v>50000</v>
      </c>
    </row>
    <row r="40" spans="1:4">
      <c r="B40" s="14" t="s">
        <v>8</v>
      </c>
      <c r="C40" s="9">
        <f>C37</f>
        <v>25030</v>
      </c>
    </row>
    <row r="41" spans="1:4">
      <c r="B41" s="14" t="s">
        <v>9</v>
      </c>
      <c r="C41" s="9">
        <f>C39-C40</f>
        <v>24970</v>
      </c>
    </row>
    <row r="42" spans="1:4">
      <c r="B42" s="14" t="s">
        <v>10</v>
      </c>
      <c r="C42" s="15">
        <f>C40/C39</f>
        <v>0.50060000000000004</v>
      </c>
    </row>
    <row r="43" spans="1:4">
      <c r="B43" s="14" t="s">
        <v>11</v>
      </c>
      <c r="C43" s="9">
        <f>IF(C40&lt;C39,0,C40-C39)</f>
        <v>0</v>
      </c>
    </row>
    <row r="44" spans="1:4">
      <c r="B44" s="14" t="s">
        <v>12</v>
      </c>
      <c r="C44" s="9">
        <f ca="1">(C39-C37)/C48</f>
        <v>832.33333333333337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workbookViewId="0">
      <selection activeCell="D37" sqref="D37"/>
    </sheetView>
  </sheetViews>
  <sheetFormatPr baseColWidth="10" defaultColWidth="8.83203125" defaultRowHeight="14" x14ac:dyDescent="0"/>
  <cols>
    <col min="1" max="1" width="13.1640625" customWidth="1"/>
    <col min="2" max="2" width="20.33203125" bestFit="1" customWidth="1"/>
    <col min="3" max="3" width="16.33203125" customWidth="1"/>
    <col min="4" max="4" width="14.83203125" customWidth="1"/>
    <col min="5" max="5" width="13.83203125" customWidth="1"/>
  </cols>
  <sheetData>
    <row r="2" spans="1:6">
      <c r="B2" s="1" t="s">
        <v>66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4</v>
      </c>
      <c r="D5" s="5" t="s">
        <v>5</v>
      </c>
    </row>
    <row r="6" spans="1:6">
      <c r="A6" s="6">
        <f t="shared" ref="A6:A36" si="0">B6</f>
        <v>42917</v>
      </c>
      <c r="B6" s="7">
        <v>42917</v>
      </c>
      <c r="C6" s="8">
        <f>D6</f>
        <v>13</v>
      </c>
      <c r="D6" s="52">
        <v>13</v>
      </c>
      <c r="E6" s="14" t="s">
        <v>37</v>
      </c>
      <c r="F6" s="9">
        <f>AVERAGE(C6:C12)</f>
        <v>13.142857142857142</v>
      </c>
    </row>
    <row r="7" spans="1:6">
      <c r="A7" s="6">
        <f t="shared" si="0"/>
        <v>42918</v>
      </c>
      <c r="B7" s="7">
        <v>42918</v>
      </c>
      <c r="C7" s="8">
        <f t="shared" ref="C7:C36" si="1">IF(D7-D6&lt;0,0,D7-D6)</f>
        <v>9</v>
      </c>
      <c r="D7" s="8">
        <v>22</v>
      </c>
    </row>
    <row r="8" spans="1:6">
      <c r="A8" s="6">
        <f t="shared" si="0"/>
        <v>42919</v>
      </c>
      <c r="B8" s="7">
        <v>42919</v>
      </c>
      <c r="C8" s="8">
        <f t="shared" si="1"/>
        <v>16</v>
      </c>
      <c r="D8" s="8">
        <f>21+17</f>
        <v>38</v>
      </c>
    </row>
    <row r="9" spans="1:6">
      <c r="A9" s="6">
        <f t="shared" si="0"/>
        <v>42920</v>
      </c>
      <c r="B9" s="7">
        <v>42920</v>
      </c>
      <c r="C9" s="8">
        <f t="shared" si="1"/>
        <v>12</v>
      </c>
      <c r="D9" s="8">
        <v>50</v>
      </c>
    </row>
    <row r="10" spans="1:6">
      <c r="A10" s="6">
        <f t="shared" si="0"/>
        <v>42921</v>
      </c>
      <c r="B10" s="7">
        <v>42921</v>
      </c>
      <c r="C10" s="8">
        <f t="shared" si="1"/>
        <v>16</v>
      </c>
      <c r="D10" s="8">
        <v>66</v>
      </c>
    </row>
    <row r="11" spans="1:6">
      <c r="A11" s="6">
        <f t="shared" si="0"/>
        <v>42922</v>
      </c>
      <c r="B11" s="7">
        <v>42922</v>
      </c>
      <c r="C11" s="8">
        <f t="shared" si="1"/>
        <v>17</v>
      </c>
      <c r="D11" s="8">
        <v>83</v>
      </c>
    </row>
    <row r="12" spans="1:6">
      <c r="A12" s="6">
        <f t="shared" si="0"/>
        <v>42923</v>
      </c>
      <c r="B12" s="7">
        <v>42923</v>
      </c>
      <c r="C12" s="8">
        <f t="shared" si="1"/>
        <v>9</v>
      </c>
      <c r="D12" s="8">
        <v>92</v>
      </c>
    </row>
    <row r="13" spans="1:6">
      <c r="A13" s="6">
        <f t="shared" si="0"/>
        <v>42924</v>
      </c>
      <c r="B13" s="7">
        <v>42924</v>
      </c>
      <c r="C13" s="8">
        <f t="shared" si="1"/>
        <v>9</v>
      </c>
      <c r="D13" s="8">
        <f>53+48</f>
        <v>101</v>
      </c>
      <c r="E13" s="14" t="s">
        <v>38</v>
      </c>
      <c r="F13" s="9">
        <f>AVERAGE(C13:C19)</f>
        <v>15.571428571428571</v>
      </c>
    </row>
    <row r="14" spans="1:6">
      <c r="A14" s="6">
        <f t="shared" si="0"/>
        <v>42925</v>
      </c>
      <c r="B14" s="7">
        <v>42925</v>
      </c>
      <c r="C14" s="8">
        <f t="shared" si="1"/>
        <v>17</v>
      </c>
      <c r="D14" s="52">
        <f>66+52</f>
        <v>118</v>
      </c>
    </row>
    <row r="15" spans="1:6">
      <c r="A15" s="6">
        <f t="shared" si="0"/>
        <v>42926</v>
      </c>
      <c r="B15" s="7">
        <v>42926</v>
      </c>
      <c r="C15" s="8">
        <f t="shared" si="1"/>
        <v>16</v>
      </c>
      <c r="D15" s="8">
        <f>79+55</f>
        <v>134</v>
      </c>
    </row>
    <row r="16" spans="1:6">
      <c r="A16" s="6">
        <f t="shared" si="0"/>
        <v>42927</v>
      </c>
      <c r="B16" s="7">
        <v>42927</v>
      </c>
      <c r="C16" s="8">
        <f t="shared" si="1"/>
        <v>22</v>
      </c>
      <c r="D16" s="8">
        <v>156</v>
      </c>
    </row>
    <row r="17" spans="1:6">
      <c r="A17" s="6">
        <f t="shared" si="0"/>
        <v>42928</v>
      </c>
      <c r="B17" s="7">
        <v>42928</v>
      </c>
      <c r="C17" s="8">
        <f t="shared" si="1"/>
        <v>17</v>
      </c>
      <c r="D17" s="8">
        <v>173</v>
      </c>
    </row>
    <row r="18" spans="1:6">
      <c r="A18" s="6">
        <f t="shared" si="0"/>
        <v>42929</v>
      </c>
      <c r="B18" s="7">
        <v>42929</v>
      </c>
      <c r="C18" s="8">
        <f t="shared" si="1"/>
        <v>12</v>
      </c>
      <c r="D18" s="8">
        <v>185</v>
      </c>
    </row>
    <row r="19" spans="1:6">
      <c r="A19" s="6">
        <f t="shared" si="0"/>
        <v>42930</v>
      </c>
      <c r="B19" s="7">
        <v>42930</v>
      </c>
      <c r="C19" s="8">
        <f t="shared" si="1"/>
        <v>16</v>
      </c>
      <c r="D19" s="8">
        <f>120+81</f>
        <v>201</v>
      </c>
    </row>
    <row r="20" spans="1:6">
      <c r="A20" s="6">
        <f t="shared" si="0"/>
        <v>42931</v>
      </c>
      <c r="B20" s="7">
        <v>42931</v>
      </c>
      <c r="C20" s="8">
        <f t="shared" si="1"/>
        <v>10</v>
      </c>
      <c r="D20" s="8">
        <f>126+85</f>
        <v>211</v>
      </c>
      <c r="E20" s="14" t="s">
        <v>39</v>
      </c>
      <c r="F20" s="9">
        <f>AVERAGE(C20:C26)</f>
        <v>15.428571428571429</v>
      </c>
    </row>
    <row r="21" spans="1:6">
      <c r="A21" s="6">
        <f t="shared" si="0"/>
        <v>42932</v>
      </c>
      <c r="B21" s="7">
        <v>42932</v>
      </c>
      <c r="C21" s="8">
        <f t="shared" si="1"/>
        <v>9</v>
      </c>
      <c r="D21" s="8">
        <f>129+91</f>
        <v>220</v>
      </c>
    </row>
    <row r="22" spans="1:6">
      <c r="A22" s="6">
        <f t="shared" si="0"/>
        <v>42933</v>
      </c>
      <c r="B22" s="7">
        <v>42933</v>
      </c>
      <c r="C22" s="8">
        <f t="shared" si="1"/>
        <v>16</v>
      </c>
      <c r="D22" s="8">
        <v>236</v>
      </c>
    </row>
    <row r="23" spans="1:6">
      <c r="A23" s="6">
        <f t="shared" si="0"/>
        <v>42934</v>
      </c>
      <c r="B23" s="7">
        <v>42934</v>
      </c>
      <c r="C23" s="8">
        <f t="shared" si="1"/>
        <v>15</v>
      </c>
      <c r="D23" s="8">
        <v>251</v>
      </c>
    </row>
    <row r="24" spans="1:6">
      <c r="A24" s="6">
        <f t="shared" si="0"/>
        <v>42935</v>
      </c>
      <c r="B24" s="7">
        <v>42935</v>
      </c>
      <c r="C24" s="8">
        <f t="shared" si="1"/>
        <v>22</v>
      </c>
      <c r="D24" s="8">
        <v>273</v>
      </c>
    </row>
    <row r="25" spans="1:6">
      <c r="A25" s="6">
        <f t="shared" si="0"/>
        <v>42936</v>
      </c>
      <c r="B25" s="7">
        <v>42936</v>
      </c>
      <c r="C25" s="8">
        <f t="shared" si="1"/>
        <v>14</v>
      </c>
      <c r="D25" s="8">
        <v>287</v>
      </c>
    </row>
    <row r="26" spans="1:6">
      <c r="A26" s="6">
        <f t="shared" si="0"/>
        <v>42937</v>
      </c>
      <c r="B26" s="7">
        <v>42937</v>
      </c>
      <c r="C26" s="8">
        <f t="shared" si="1"/>
        <v>22</v>
      </c>
      <c r="D26" s="8">
        <f>184+125</f>
        <v>309</v>
      </c>
    </row>
    <row r="27" spans="1:6">
      <c r="A27" s="6">
        <f t="shared" si="0"/>
        <v>42938</v>
      </c>
      <c r="B27" s="7">
        <v>42938</v>
      </c>
      <c r="C27" s="8">
        <f t="shared" si="1"/>
        <v>8</v>
      </c>
      <c r="D27" s="8">
        <f>188+129</f>
        <v>317</v>
      </c>
      <c r="E27" s="14" t="s">
        <v>40</v>
      </c>
      <c r="F27" s="9">
        <f>AVERAGE(C27:C33)</f>
        <v>13.285714285714286</v>
      </c>
    </row>
    <row r="28" spans="1:6">
      <c r="A28" s="6">
        <f t="shared" si="0"/>
        <v>42939</v>
      </c>
      <c r="B28" s="7">
        <v>42939</v>
      </c>
      <c r="C28" s="8">
        <f t="shared" si="1"/>
        <v>16</v>
      </c>
      <c r="D28" s="8">
        <f>195+138</f>
        <v>333</v>
      </c>
    </row>
    <row r="29" spans="1:6">
      <c r="A29" s="6">
        <f t="shared" si="0"/>
        <v>42940</v>
      </c>
      <c r="B29" s="7">
        <v>42940</v>
      </c>
      <c r="C29" s="8">
        <f t="shared" si="1"/>
        <v>20</v>
      </c>
      <c r="D29" s="8">
        <v>353</v>
      </c>
    </row>
    <row r="30" spans="1:6">
      <c r="A30" s="6">
        <f t="shared" si="0"/>
        <v>42941</v>
      </c>
      <c r="B30" s="7">
        <v>42941</v>
      </c>
      <c r="C30" s="8">
        <f t="shared" si="1"/>
        <v>11</v>
      </c>
      <c r="D30" s="8">
        <v>364</v>
      </c>
    </row>
    <row r="31" spans="1:6">
      <c r="A31" s="6">
        <f t="shared" si="0"/>
        <v>42942</v>
      </c>
      <c r="B31" s="7">
        <v>42942</v>
      </c>
      <c r="C31" s="8">
        <f t="shared" si="1"/>
        <v>16</v>
      </c>
      <c r="D31" s="8">
        <v>380</v>
      </c>
    </row>
    <row r="32" spans="1:6">
      <c r="A32" s="6">
        <f t="shared" si="0"/>
        <v>42943</v>
      </c>
      <c r="B32" s="7">
        <v>42943</v>
      </c>
      <c r="C32" s="8">
        <f t="shared" si="1"/>
        <v>10</v>
      </c>
      <c r="D32" s="8">
        <v>390</v>
      </c>
    </row>
    <row r="33" spans="1:4">
      <c r="A33" s="6">
        <f t="shared" si="0"/>
        <v>42944</v>
      </c>
      <c r="B33" s="7">
        <v>42944</v>
      </c>
      <c r="C33" s="8">
        <f t="shared" si="1"/>
        <v>12</v>
      </c>
      <c r="D33" s="8">
        <f>241+161</f>
        <v>402</v>
      </c>
    </row>
    <row r="34" spans="1:4">
      <c r="A34" s="6">
        <f t="shared" si="0"/>
        <v>42945</v>
      </c>
      <c r="B34" s="7">
        <v>42945</v>
      </c>
      <c r="C34" s="8">
        <f t="shared" si="1"/>
        <v>11</v>
      </c>
      <c r="D34" s="37">
        <f>248+165</f>
        <v>413</v>
      </c>
    </row>
    <row r="35" spans="1:4">
      <c r="A35" s="6">
        <f t="shared" si="0"/>
        <v>42946</v>
      </c>
      <c r="B35" s="7">
        <v>42946</v>
      </c>
      <c r="C35" s="8">
        <f t="shared" si="1"/>
        <v>6</v>
      </c>
      <c r="D35" s="8">
        <f>252+167</f>
        <v>419</v>
      </c>
    </row>
    <row r="36" spans="1:4">
      <c r="A36" s="6">
        <f t="shared" si="0"/>
        <v>42947</v>
      </c>
      <c r="B36" s="7">
        <v>42947</v>
      </c>
      <c r="C36" s="9">
        <f t="shared" si="1"/>
        <v>19</v>
      </c>
      <c r="D36" s="9">
        <v>438</v>
      </c>
    </row>
    <row r="37" spans="1:4">
      <c r="B37" s="10" t="s">
        <v>6</v>
      </c>
      <c r="C37" s="11">
        <f>SUM(C6:C36)</f>
        <v>438</v>
      </c>
      <c r="D37" s="12"/>
    </row>
    <row r="38" spans="1:4">
      <c r="C38" s="13"/>
    </row>
    <row r="39" spans="1:4">
      <c r="B39" s="14" t="s">
        <v>7</v>
      </c>
      <c r="C39" s="9">
        <v>450</v>
      </c>
    </row>
    <row r="40" spans="1:4">
      <c r="B40" s="14" t="s">
        <v>8</v>
      </c>
      <c r="C40" s="9">
        <f>C37</f>
        <v>438</v>
      </c>
    </row>
    <row r="41" spans="1:4">
      <c r="B41" s="14" t="s">
        <v>9</v>
      </c>
      <c r="C41" s="9">
        <f>C39-C40</f>
        <v>12</v>
      </c>
    </row>
    <row r="42" spans="1:4">
      <c r="B42" s="14" t="s">
        <v>10</v>
      </c>
      <c r="C42" s="15">
        <f>C40/C39</f>
        <v>0.97333333333333338</v>
      </c>
    </row>
    <row r="43" spans="1:4">
      <c r="B43" s="14" t="s">
        <v>11</v>
      </c>
      <c r="C43" s="9">
        <f>IF(C40&lt;C39,0,C40-C39)</f>
        <v>0</v>
      </c>
    </row>
    <row r="44" spans="1:4">
      <c r="B44" s="14" t="s">
        <v>12</v>
      </c>
      <c r="C44" s="9">
        <f ca="1">(C39-C37)/C48</f>
        <v>0.4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7"/>
  <sheetViews>
    <sheetView showGridLines="0" workbookViewId="0">
      <selection activeCell="D28" sqref="D28"/>
    </sheetView>
  </sheetViews>
  <sheetFormatPr baseColWidth="10" defaultColWidth="8.83203125" defaultRowHeight="14" x14ac:dyDescent="0"/>
  <cols>
    <col min="1" max="1" width="12.1640625" customWidth="1"/>
    <col min="2" max="2" width="22.5" bestFit="1" customWidth="1"/>
    <col min="3" max="3" width="15.5" bestFit="1" customWidth="1"/>
    <col min="4" max="4" width="14.83203125" customWidth="1"/>
  </cols>
  <sheetData>
    <row r="2" spans="1:4">
      <c r="B2" s="1" t="s">
        <v>24</v>
      </c>
    </row>
    <row r="4" spans="1:4">
      <c r="B4" s="2" t="s">
        <v>1</v>
      </c>
      <c r="C4" s="2"/>
    </row>
    <row r="5" spans="1:4">
      <c r="A5" s="3" t="s">
        <v>2</v>
      </c>
      <c r="B5" s="4" t="s">
        <v>3</v>
      </c>
      <c r="C5" s="4" t="s">
        <v>4</v>
      </c>
    </row>
    <row r="6" spans="1:4">
      <c r="A6" s="6">
        <f t="shared" ref="A6:A36" si="0">B6</f>
        <v>42917</v>
      </c>
      <c r="B6" s="7">
        <v>42917</v>
      </c>
      <c r="C6" s="8">
        <v>0</v>
      </c>
      <c r="D6" s="35"/>
    </row>
    <row r="7" spans="1:4">
      <c r="A7" s="6">
        <f t="shared" si="0"/>
        <v>42918</v>
      </c>
      <c r="B7" s="7">
        <v>42918</v>
      </c>
      <c r="C7" s="8">
        <v>39</v>
      </c>
      <c r="D7" s="35"/>
    </row>
    <row r="8" spans="1:4">
      <c r="A8" s="6">
        <f t="shared" si="0"/>
        <v>42919</v>
      </c>
      <c r="B8" s="7">
        <v>42919</v>
      </c>
      <c r="C8" s="8">
        <v>122</v>
      </c>
      <c r="D8" s="35"/>
    </row>
    <row r="9" spans="1:4">
      <c r="A9" s="6">
        <f t="shared" si="0"/>
        <v>42920</v>
      </c>
      <c r="B9" s="7">
        <v>42920</v>
      </c>
      <c r="C9" s="8">
        <v>79</v>
      </c>
      <c r="D9" s="35"/>
    </row>
    <row r="10" spans="1:4">
      <c r="A10" s="6">
        <f t="shared" si="0"/>
        <v>42921</v>
      </c>
      <c r="B10" s="7">
        <v>42921</v>
      </c>
      <c r="C10" s="8">
        <v>151</v>
      </c>
      <c r="D10" s="35"/>
    </row>
    <row r="11" spans="1:4">
      <c r="A11" s="6">
        <f t="shared" si="0"/>
        <v>42922</v>
      </c>
      <c r="B11" s="7">
        <v>42922</v>
      </c>
      <c r="C11" s="8">
        <v>321</v>
      </c>
      <c r="D11" s="35"/>
    </row>
    <row r="12" spans="1:4">
      <c r="A12" s="6">
        <f t="shared" si="0"/>
        <v>42923</v>
      </c>
      <c r="B12" s="7">
        <v>42923</v>
      </c>
      <c r="C12" s="8">
        <v>280</v>
      </c>
      <c r="D12" s="35"/>
    </row>
    <row r="13" spans="1:4">
      <c r="A13" s="6">
        <f t="shared" si="0"/>
        <v>42924</v>
      </c>
      <c r="B13" s="7">
        <v>42924</v>
      </c>
      <c r="C13" s="8">
        <v>168</v>
      </c>
      <c r="D13" s="35"/>
    </row>
    <row r="14" spans="1:4">
      <c r="A14" s="6">
        <f t="shared" si="0"/>
        <v>42925</v>
      </c>
      <c r="B14" s="7">
        <v>42925</v>
      </c>
      <c r="C14" s="8">
        <v>169</v>
      </c>
      <c r="D14" s="35"/>
    </row>
    <row r="15" spans="1:4">
      <c r="A15" s="6">
        <f t="shared" si="0"/>
        <v>42926</v>
      </c>
      <c r="B15" s="7">
        <v>42926</v>
      </c>
      <c r="C15" s="8">
        <v>276</v>
      </c>
      <c r="D15" s="35"/>
    </row>
    <row r="16" spans="1:4">
      <c r="A16" s="6">
        <f t="shared" si="0"/>
        <v>42927</v>
      </c>
      <c r="B16" s="7">
        <v>42927</v>
      </c>
      <c r="C16" s="8">
        <v>315</v>
      </c>
      <c r="D16" s="35"/>
    </row>
    <row r="17" spans="1:4">
      <c r="A17" s="6">
        <f t="shared" si="0"/>
        <v>42928</v>
      </c>
      <c r="B17" s="7">
        <v>42928</v>
      </c>
      <c r="C17" s="8">
        <v>277</v>
      </c>
      <c r="D17" s="35"/>
    </row>
    <row r="18" spans="1:4">
      <c r="A18" s="6">
        <f t="shared" si="0"/>
        <v>42929</v>
      </c>
      <c r="B18" s="7">
        <v>42929</v>
      </c>
      <c r="C18" s="8">
        <v>278</v>
      </c>
      <c r="D18" s="35"/>
    </row>
    <row r="19" spans="1:4">
      <c r="A19" s="6">
        <f t="shared" si="0"/>
        <v>42930</v>
      </c>
      <c r="B19" s="7">
        <v>42930</v>
      </c>
      <c r="C19" s="8">
        <v>275</v>
      </c>
      <c r="D19" s="35"/>
    </row>
    <row r="20" spans="1:4">
      <c r="A20" s="6">
        <f t="shared" si="0"/>
        <v>42931</v>
      </c>
      <c r="B20" s="7">
        <v>42931</v>
      </c>
      <c r="C20" s="8">
        <v>145</v>
      </c>
      <c r="D20" s="35"/>
    </row>
    <row r="21" spans="1:4">
      <c r="A21" s="6">
        <f t="shared" si="0"/>
        <v>42932</v>
      </c>
      <c r="B21" s="7">
        <v>42932</v>
      </c>
      <c r="C21" s="8">
        <v>154</v>
      </c>
      <c r="D21" s="35"/>
    </row>
    <row r="22" spans="1:4">
      <c r="A22" s="6">
        <f t="shared" si="0"/>
        <v>42933</v>
      </c>
      <c r="B22" s="7">
        <v>42933</v>
      </c>
      <c r="C22" s="8">
        <v>286</v>
      </c>
      <c r="D22" s="35"/>
    </row>
    <row r="23" spans="1:4">
      <c r="A23" s="6">
        <f t="shared" si="0"/>
        <v>42934</v>
      </c>
      <c r="B23" s="7">
        <v>42934</v>
      </c>
      <c r="C23" s="8">
        <v>315</v>
      </c>
      <c r="D23" s="35"/>
    </row>
    <row r="24" spans="1:4">
      <c r="A24" s="6">
        <f t="shared" si="0"/>
        <v>42935</v>
      </c>
      <c r="B24" s="7">
        <v>42935</v>
      </c>
      <c r="C24" s="8">
        <v>337</v>
      </c>
      <c r="D24" s="35"/>
    </row>
    <row r="25" spans="1:4">
      <c r="A25" s="6">
        <f t="shared" si="0"/>
        <v>42936</v>
      </c>
      <c r="B25" s="7">
        <v>42936</v>
      </c>
      <c r="C25" s="8">
        <v>312</v>
      </c>
      <c r="D25" s="35"/>
    </row>
    <row r="26" spans="1:4">
      <c r="A26" s="6">
        <f t="shared" si="0"/>
        <v>42937</v>
      </c>
      <c r="B26" s="7">
        <v>42937</v>
      </c>
      <c r="C26" s="8">
        <v>223</v>
      </c>
      <c r="D26" s="35"/>
    </row>
    <row r="27" spans="1:4">
      <c r="A27" s="6">
        <f t="shared" si="0"/>
        <v>42938</v>
      </c>
      <c r="B27" s="7">
        <v>42938</v>
      </c>
      <c r="C27" s="8">
        <v>0</v>
      </c>
      <c r="D27" s="35"/>
    </row>
    <row r="28" spans="1:4">
      <c r="A28" s="6">
        <f t="shared" si="0"/>
        <v>42939</v>
      </c>
      <c r="B28" s="7">
        <v>42939</v>
      </c>
      <c r="C28" s="8">
        <v>0</v>
      </c>
      <c r="D28" s="35"/>
    </row>
    <row r="29" spans="1:4">
      <c r="A29" s="6">
        <f t="shared" si="0"/>
        <v>42940</v>
      </c>
      <c r="B29" s="7">
        <v>42940</v>
      </c>
      <c r="C29" s="8">
        <v>0</v>
      </c>
      <c r="D29" s="35"/>
    </row>
    <row r="30" spans="1:4">
      <c r="A30" s="6">
        <f t="shared" si="0"/>
        <v>42941</v>
      </c>
      <c r="B30" s="7">
        <v>42941</v>
      </c>
      <c r="C30" s="8">
        <v>0</v>
      </c>
      <c r="D30" s="35"/>
    </row>
    <row r="31" spans="1:4" ht="16.5" customHeight="1">
      <c r="A31" s="6">
        <f t="shared" si="0"/>
        <v>42942</v>
      </c>
      <c r="B31" s="7">
        <v>42942</v>
      </c>
      <c r="C31" s="8">
        <v>0</v>
      </c>
      <c r="D31" s="35"/>
    </row>
    <row r="32" spans="1:4" ht="15" customHeight="1">
      <c r="A32" s="6">
        <f t="shared" si="0"/>
        <v>42943</v>
      </c>
      <c r="B32" s="7">
        <v>42943</v>
      </c>
      <c r="C32" s="8">
        <v>141</v>
      </c>
      <c r="D32" s="35"/>
    </row>
    <row r="33" spans="1:4">
      <c r="A33" s="6">
        <f t="shared" si="0"/>
        <v>42944</v>
      </c>
      <c r="B33" s="7">
        <v>42944</v>
      </c>
      <c r="C33" s="8">
        <v>282</v>
      </c>
      <c r="D33" s="35"/>
    </row>
    <row r="34" spans="1:4">
      <c r="A34" s="6">
        <f t="shared" si="0"/>
        <v>42945</v>
      </c>
      <c r="B34" s="7">
        <v>42945</v>
      </c>
      <c r="C34" s="8">
        <v>174</v>
      </c>
      <c r="D34" s="35"/>
    </row>
    <row r="35" spans="1:4">
      <c r="A35" s="6">
        <f t="shared" si="0"/>
        <v>42946</v>
      </c>
      <c r="B35" s="7">
        <v>42946</v>
      </c>
      <c r="C35" s="8">
        <v>178</v>
      </c>
      <c r="D35" s="35"/>
    </row>
    <row r="36" spans="1:4">
      <c r="A36" s="6">
        <f t="shared" si="0"/>
        <v>42947</v>
      </c>
      <c r="B36" s="7">
        <v>42947</v>
      </c>
      <c r="C36" s="9">
        <v>138</v>
      </c>
      <c r="D36" s="13"/>
    </row>
    <row r="37" spans="1:4" ht="18" customHeight="1">
      <c r="B37" s="10" t="s">
        <v>6</v>
      </c>
      <c r="C37" s="11">
        <f>SUM(C6:C36)</f>
        <v>5435</v>
      </c>
    </row>
    <row r="38" spans="1:4">
      <c r="C38" s="13"/>
    </row>
    <row r="39" spans="1:4">
      <c r="B39" s="14" t="s">
        <v>7</v>
      </c>
      <c r="C39" s="9">
        <v>2550</v>
      </c>
    </row>
    <row r="40" spans="1:4">
      <c r="B40" s="14" t="s">
        <v>8</v>
      </c>
      <c r="C40" s="9">
        <f>C37</f>
        <v>5435</v>
      </c>
    </row>
    <row r="41" spans="1:4">
      <c r="B41" s="14" t="s">
        <v>9</v>
      </c>
      <c r="C41" s="9">
        <f>C39-C40</f>
        <v>-2885</v>
      </c>
    </row>
    <row r="42" spans="1:4">
      <c r="B42" s="14" t="s">
        <v>10</v>
      </c>
      <c r="C42" s="15">
        <f>C40/C39</f>
        <v>2.1313725490196078</v>
      </c>
    </row>
    <row r="43" spans="1:4">
      <c r="B43" s="14" t="s">
        <v>11</v>
      </c>
      <c r="C43" s="9">
        <f>IF(C40&lt;C39,0,C40-C39)</f>
        <v>2885</v>
      </c>
    </row>
    <row r="44" spans="1:4">
      <c r="B44" s="14" t="s">
        <v>12</v>
      </c>
      <c r="C44" s="9">
        <f ca="1">(C39-C37)/C48</f>
        <v>-96.166666666666671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33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5" workbookViewId="0">
      <selection activeCell="D37" sqref="D37"/>
    </sheetView>
  </sheetViews>
  <sheetFormatPr baseColWidth="10" defaultColWidth="8.83203125" defaultRowHeight="14" x14ac:dyDescent="0"/>
  <cols>
    <col min="1" max="1" width="13.33203125" customWidth="1"/>
    <col min="2" max="2" width="20.83203125" customWidth="1"/>
    <col min="3" max="3" width="14.6640625" bestFit="1" customWidth="1"/>
    <col min="4" max="4" width="14.83203125" customWidth="1"/>
    <col min="5" max="5" width="11.5" bestFit="1" customWidth="1"/>
    <col min="6" max="6" width="7.83203125" bestFit="1" customWidth="1"/>
  </cols>
  <sheetData>
    <row r="2" spans="1:6">
      <c r="B2" s="1" t="s">
        <v>67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4</v>
      </c>
      <c r="D5" s="5" t="s">
        <v>5</v>
      </c>
    </row>
    <row r="6" spans="1:6">
      <c r="A6" s="6">
        <f t="shared" ref="A6:A36" si="0">B6</f>
        <v>42917</v>
      </c>
      <c r="B6" s="7">
        <v>42917</v>
      </c>
      <c r="C6" s="8">
        <f>D6</f>
        <v>3</v>
      </c>
      <c r="D6" s="8">
        <v>3</v>
      </c>
      <c r="E6" s="14" t="s">
        <v>37</v>
      </c>
      <c r="F6" s="9">
        <f>AVERAGE(C6:C12)</f>
        <v>6.8571428571428568</v>
      </c>
    </row>
    <row r="7" spans="1:6">
      <c r="A7" s="6">
        <f t="shared" si="0"/>
        <v>42918</v>
      </c>
      <c r="B7" s="7">
        <v>42918</v>
      </c>
      <c r="C7" s="8">
        <f t="shared" ref="C7:C36" si="1">IF(D7-D6&lt;0,0,D7-D6)</f>
        <v>6</v>
      </c>
      <c r="D7" s="8">
        <v>9</v>
      </c>
    </row>
    <row r="8" spans="1:6">
      <c r="A8" s="6">
        <f t="shared" si="0"/>
        <v>42919</v>
      </c>
      <c r="B8" s="7">
        <v>42919</v>
      </c>
      <c r="C8" s="8">
        <f t="shared" si="1"/>
        <v>9</v>
      </c>
      <c r="D8" s="8">
        <v>18</v>
      </c>
    </row>
    <row r="9" spans="1:6">
      <c r="A9" s="6">
        <f t="shared" si="0"/>
        <v>42920</v>
      </c>
      <c r="B9" s="7">
        <v>42920</v>
      </c>
      <c r="C9" s="8">
        <f t="shared" si="1"/>
        <v>8</v>
      </c>
      <c r="D9" s="8">
        <v>26</v>
      </c>
    </row>
    <row r="10" spans="1:6">
      <c r="A10" s="6">
        <f t="shared" si="0"/>
        <v>42921</v>
      </c>
      <c r="B10" s="7">
        <v>42921</v>
      </c>
      <c r="C10" s="8">
        <f t="shared" si="1"/>
        <v>4</v>
      </c>
      <c r="D10" s="8">
        <v>30</v>
      </c>
    </row>
    <row r="11" spans="1:6">
      <c r="A11" s="6">
        <f t="shared" si="0"/>
        <v>42922</v>
      </c>
      <c r="B11" s="7">
        <v>42922</v>
      </c>
      <c r="C11" s="8">
        <f t="shared" si="1"/>
        <v>11</v>
      </c>
      <c r="D11" s="8">
        <v>41</v>
      </c>
    </row>
    <row r="12" spans="1:6">
      <c r="A12" s="6">
        <f t="shared" si="0"/>
        <v>42923</v>
      </c>
      <c r="B12" s="7">
        <v>42923</v>
      </c>
      <c r="C12" s="8">
        <f t="shared" si="1"/>
        <v>7</v>
      </c>
      <c r="D12" s="8">
        <f>39+9</f>
        <v>48</v>
      </c>
    </row>
    <row r="13" spans="1:6">
      <c r="A13" s="6">
        <f t="shared" si="0"/>
        <v>42924</v>
      </c>
      <c r="B13" s="7">
        <v>42924</v>
      </c>
      <c r="C13" s="8">
        <f t="shared" si="1"/>
        <v>5</v>
      </c>
      <c r="D13" s="8">
        <f>44+9</f>
        <v>53</v>
      </c>
      <c r="E13" s="14" t="s">
        <v>38</v>
      </c>
      <c r="F13" s="9">
        <f>AVERAGE(C13:C19)</f>
        <v>7.8571428571428568</v>
      </c>
    </row>
    <row r="14" spans="1:6">
      <c r="A14" s="6">
        <f t="shared" si="0"/>
        <v>42925</v>
      </c>
      <c r="B14" s="7">
        <v>42925</v>
      </c>
      <c r="C14" s="8">
        <f t="shared" si="1"/>
        <v>12</v>
      </c>
      <c r="D14" s="8">
        <f>51+14</f>
        <v>65</v>
      </c>
    </row>
    <row r="15" spans="1:6">
      <c r="A15" s="6">
        <f t="shared" si="0"/>
        <v>42926</v>
      </c>
      <c r="B15" s="7">
        <v>42926</v>
      </c>
      <c r="C15" s="8">
        <f t="shared" si="1"/>
        <v>9</v>
      </c>
      <c r="D15" s="8">
        <f>58+16</f>
        <v>74</v>
      </c>
    </row>
    <row r="16" spans="1:6">
      <c r="A16" s="6">
        <f t="shared" si="0"/>
        <v>42927</v>
      </c>
      <c r="B16" s="7">
        <v>42927</v>
      </c>
      <c r="C16" s="8">
        <f t="shared" si="1"/>
        <v>8</v>
      </c>
      <c r="D16" s="8">
        <f>65+17</f>
        <v>82</v>
      </c>
    </row>
    <row r="17" spans="1:6">
      <c r="A17" s="6">
        <f t="shared" si="0"/>
        <v>42928</v>
      </c>
      <c r="B17" s="7">
        <v>42928</v>
      </c>
      <c r="C17" s="8">
        <f t="shared" si="1"/>
        <v>7</v>
      </c>
      <c r="D17" s="8">
        <f>71+18</f>
        <v>89</v>
      </c>
    </row>
    <row r="18" spans="1:6">
      <c r="A18" s="6">
        <f t="shared" si="0"/>
        <v>42929</v>
      </c>
      <c r="B18" s="7">
        <v>42929</v>
      </c>
      <c r="C18" s="8">
        <f t="shared" si="1"/>
        <v>11</v>
      </c>
      <c r="D18" s="8">
        <f>78+22</f>
        <v>100</v>
      </c>
    </row>
    <row r="19" spans="1:6">
      <c r="A19" s="6">
        <f t="shared" si="0"/>
        <v>42930</v>
      </c>
      <c r="B19" s="7">
        <v>42930</v>
      </c>
      <c r="C19" s="8">
        <f t="shared" si="1"/>
        <v>3</v>
      </c>
      <c r="D19" s="8">
        <f>80+23</f>
        <v>103</v>
      </c>
    </row>
    <row r="20" spans="1:6">
      <c r="A20" s="6">
        <f t="shared" si="0"/>
        <v>42931</v>
      </c>
      <c r="B20" s="7">
        <v>42931</v>
      </c>
      <c r="C20" s="8">
        <f t="shared" si="1"/>
        <v>9</v>
      </c>
      <c r="D20" s="8">
        <f>86+26</f>
        <v>112</v>
      </c>
      <c r="E20" s="14" t="s">
        <v>39</v>
      </c>
      <c r="F20" s="9">
        <f>AVERAGE(C20:C26)</f>
        <v>8.8571428571428577</v>
      </c>
    </row>
    <row r="21" spans="1:6">
      <c r="A21" s="6">
        <f t="shared" si="0"/>
        <v>42932</v>
      </c>
      <c r="B21" s="7">
        <v>42932</v>
      </c>
      <c r="C21" s="8">
        <f t="shared" si="1"/>
        <v>5</v>
      </c>
      <c r="D21" s="52">
        <f>91+26</f>
        <v>117</v>
      </c>
    </row>
    <row r="22" spans="1:6">
      <c r="A22" s="6">
        <f t="shared" si="0"/>
        <v>42933</v>
      </c>
      <c r="B22" s="7">
        <v>42933</v>
      </c>
      <c r="C22" s="8">
        <f t="shared" si="1"/>
        <v>9</v>
      </c>
      <c r="D22" s="8">
        <f>97+29</f>
        <v>126</v>
      </c>
    </row>
    <row r="23" spans="1:6">
      <c r="A23" s="6">
        <f t="shared" si="0"/>
        <v>42934</v>
      </c>
      <c r="B23" s="7">
        <v>42934</v>
      </c>
      <c r="C23" s="8">
        <f t="shared" si="1"/>
        <v>12</v>
      </c>
      <c r="D23" s="8">
        <f>103+35</f>
        <v>138</v>
      </c>
    </row>
    <row r="24" spans="1:6">
      <c r="A24" s="6">
        <f t="shared" si="0"/>
        <v>42935</v>
      </c>
      <c r="B24" s="7">
        <v>42935</v>
      </c>
      <c r="C24" s="8">
        <f t="shared" si="1"/>
        <v>6</v>
      </c>
      <c r="D24" s="8">
        <f>107+37</f>
        <v>144</v>
      </c>
    </row>
    <row r="25" spans="1:6">
      <c r="A25" s="6">
        <f t="shared" si="0"/>
        <v>42936</v>
      </c>
      <c r="B25" s="7">
        <v>42936</v>
      </c>
      <c r="C25" s="8">
        <f t="shared" si="1"/>
        <v>13</v>
      </c>
      <c r="D25" s="8">
        <f>117+40</f>
        <v>157</v>
      </c>
    </row>
    <row r="26" spans="1:6">
      <c r="A26" s="6">
        <f t="shared" si="0"/>
        <v>42937</v>
      </c>
      <c r="B26" s="7">
        <v>42937</v>
      </c>
      <c r="C26" s="8">
        <f t="shared" si="1"/>
        <v>8</v>
      </c>
      <c r="D26" s="8">
        <f>124+41</f>
        <v>165</v>
      </c>
    </row>
    <row r="27" spans="1:6">
      <c r="A27" s="6">
        <f t="shared" si="0"/>
        <v>42938</v>
      </c>
      <c r="B27" s="7">
        <v>42938</v>
      </c>
      <c r="C27" s="8">
        <f t="shared" si="1"/>
        <v>9</v>
      </c>
      <c r="D27" s="8">
        <f>132+42</f>
        <v>174</v>
      </c>
      <c r="E27" s="14" t="s">
        <v>40</v>
      </c>
      <c r="F27" s="9">
        <f>AVERAGE(C27:C33)</f>
        <v>9.4285714285714288</v>
      </c>
    </row>
    <row r="28" spans="1:6">
      <c r="A28" s="6">
        <f t="shared" si="0"/>
        <v>42939</v>
      </c>
      <c r="B28" s="7">
        <v>42939</v>
      </c>
      <c r="C28" s="8">
        <f t="shared" si="1"/>
        <v>12</v>
      </c>
      <c r="D28" s="8">
        <f>142+44</f>
        <v>186</v>
      </c>
    </row>
    <row r="29" spans="1:6">
      <c r="A29" s="6">
        <f t="shared" si="0"/>
        <v>42940</v>
      </c>
      <c r="B29" s="7">
        <v>42940</v>
      </c>
      <c r="C29" s="8">
        <f t="shared" si="1"/>
        <v>11</v>
      </c>
      <c r="D29" s="8">
        <f>150+47</f>
        <v>197</v>
      </c>
    </row>
    <row r="30" spans="1:6">
      <c r="A30" s="6">
        <f t="shared" si="0"/>
        <v>42941</v>
      </c>
      <c r="B30" s="7">
        <v>42941</v>
      </c>
      <c r="C30" s="8">
        <f t="shared" si="1"/>
        <v>8</v>
      </c>
      <c r="D30" s="8">
        <f>155+50</f>
        <v>205</v>
      </c>
    </row>
    <row r="31" spans="1:6">
      <c r="A31" s="6">
        <f t="shared" si="0"/>
        <v>42942</v>
      </c>
      <c r="B31" s="7">
        <v>42942</v>
      </c>
      <c r="C31" s="8">
        <f t="shared" si="1"/>
        <v>11</v>
      </c>
      <c r="D31" s="8">
        <f>162+54</f>
        <v>216</v>
      </c>
    </row>
    <row r="32" spans="1:6">
      <c r="A32" s="6">
        <f t="shared" si="0"/>
        <v>42943</v>
      </c>
      <c r="B32" s="7">
        <v>42943</v>
      </c>
      <c r="C32" s="8">
        <f t="shared" si="1"/>
        <v>9</v>
      </c>
      <c r="D32" s="8">
        <f>169+56</f>
        <v>225</v>
      </c>
    </row>
    <row r="33" spans="1:4">
      <c r="A33" s="6">
        <f t="shared" si="0"/>
        <v>42944</v>
      </c>
      <c r="B33" s="7">
        <v>42944</v>
      </c>
      <c r="C33" s="8">
        <f t="shared" si="1"/>
        <v>6</v>
      </c>
      <c r="D33" s="8">
        <f>173+57+1</f>
        <v>231</v>
      </c>
    </row>
    <row r="34" spans="1:4">
      <c r="A34" s="6">
        <f t="shared" si="0"/>
        <v>42945</v>
      </c>
      <c r="B34" s="7">
        <v>42945</v>
      </c>
      <c r="C34" s="8">
        <f t="shared" si="1"/>
        <v>15</v>
      </c>
      <c r="D34" s="8">
        <f>185+61</f>
        <v>246</v>
      </c>
    </row>
    <row r="35" spans="1:4">
      <c r="A35" s="6">
        <f t="shared" si="0"/>
        <v>42946</v>
      </c>
      <c r="B35" s="7">
        <v>42946</v>
      </c>
      <c r="C35" s="8">
        <f t="shared" si="1"/>
        <v>6</v>
      </c>
      <c r="D35" s="8">
        <f>189+63</f>
        <v>252</v>
      </c>
    </row>
    <row r="36" spans="1:4">
      <c r="A36" s="6">
        <f t="shared" si="0"/>
        <v>42947</v>
      </c>
      <c r="B36" s="7">
        <v>42947</v>
      </c>
      <c r="C36" s="9">
        <f t="shared" si="1"/>
        <v>15</v>
      </c>
      <c r="D36" s="9">
        <f>199+68</f>
        <v>267</v>
      </c>
    </row>
    <row r="37" spans="1:4">
      <c r="B37" s="10" t="s">
        <v>6</v>
      </c>
      <c r="C37" s="11">
        <f>SUM(C6:C36)</f>
        <v>267</v>
      </c>
      <c r="D37" s="12"/>
    </row>
    <row r="38" spans="1:4">
      <c r="C38" s="13"/>
    </row>
    <row r="39" spans="1:4">
      <c r="B39" s="14" t="s">
        <v>7</v>
      </c>
      <c r="C39" s="9">
        <v>80</v>
      </c>
    </row>
    <row r="40" spans="1:4">
      <c r="B40" s="14" t="s">
        <v>8</v>
      </c>
      <c r="C40" s="9">
        <f>C37</f>
        <v>267</v>
      </c>
    </row>
    <row r="41" spans="1:4">
      <c r="B41" s="14" t="s">
        <v>9</v>
      </c>
      <c r="C41" s="9">
        <f>C39-C40</f>
        <v>-187</v>
      </c>
    </row>
    <row r="42" spans="1:4">
      <c r="B42" s="14" t="s">
        <v>10</v>
      </c>
      <c r="C42" s="15">
        <f>C40/C39</f>
        <v>3.3374999999999999</v>
      </c>
    </row>
    <row r="43" spans="1:4">
      <c r="B43" s="14" t="s">
        <v>11</v>
      </c>
      <c r="C43" s="9">
        <f>IF(C40&lt;C39,0,C40-C39)</f>
        <v>187</v>
      </c>
    </row>
    <row r="44" spans="1:4">
      <c r="B44" s="14" t="s">
        <v>12</v>
      </c>
      <c r="C44" s="9">
        <f ca="1">(C39-C37)/C48</f>
        <v>-6.2333333333333334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7"/>
  <sheetViews>
    <sheetView showGridLines="0" topLeftCell="A3" workbookViewId="0">
      <selection activeCell="E36" sqref="E36"/>
    </sheetView>
  </sheetViews>
  <sheetFormatPr baseColWidth="10" defaultColWidth="8.83203125" defaultRowHeight="14" x14ac:dyDescent="0"/>
  <cols>
    <col min="1" max="1" width="13.33203125" customWidth="1"/>
    <col min="2" max="2" width="20.83203125" customWidth="1"/>
    <col min="3" max="3" width="14.6640625" bestFit="1" customWidth="1"/>
    <col min="4" max="4" width="14.83203125" customWidth="1"/>
    <col min="5" max="5" width="11.5" bestFit="1" customWidth="1"/>
    <col min="6" max="6" width="7.83203125" bestFit="1" customWidth="1"/>
  </cols>
  <sheetData>
    <row r="2" spans="1:5">
      <c r="B2" s="1" t="s">
        <v>68</v>
      </c>
    </row>
    <row r="4" spans="1:5">
      <c r="B4" s="2" t="s">
        <v>1</v>
      </c>
      <c r="C4" s="2"/>
    </row>
    <row r="5" spans="1:5">
      <c r="A5" s="3" t="s">
        <v>2</v>
      </c>
      <c r="B5" s="4" t="s">
        <v>3</v>
      </c>
      <c r="C5" s="5" t="s">
        <v>5</v>
      </c>
    </row>
    <row r="6" spans="1:5">
      <c r="A6" s="6">
        <f t="shared" ref="A6:A36" si="0">B6</f>
        <v>42917</v>
      </c>
      <c r="B6" s="7">
        <v>42917</v>
      </c>
      <c r="C6" s="8">
        <v>16</v>
      </c>
      <c r="D6" s="44"/>
      <c r="E6" s="9" t="e">
        <f>AVERAGE(#REF!)</f>
        <v>#REF!</v>
      </c>
    </row>
    <row r="7" spans="1:5">
      <c r="A7" s="6">
        <f t="shared" si="0"/>
        <v>42918</v>
      </c>
      <c r="B7" s="7">
        <v>42918</v>
      </c>
      <c r="C7" s="8">
        <v>24</v>
      </c>
      <c r="D7" s="36"/>
    </row>
    <row r="8" spans="1:5">
      <c r="A8" s="6">
        <f t="shared" si="0"/>
        <v>42919</v>
      </c>
      <c r="B8" s="7">
        <v>42919</v>
      </c>
      <c r="C8" s="8">
        <v>40</v>
      </c>
      <c r="D8" s="36"/>
    </row>
    <row r="9" spans="1:5">
      <c r="A9" s="6">
        <f t="shared" si="0"/>
        <v>42920</v>
      </c>
      <c r="B9" s="7">
        <v>42920</v>
      </c>
      <c r="C9" s="8">
        <v>21</v>
      </c>
      <c r="D9" s="36"/>
    </row>
    <row r="10" spans="1:5">
      <c r="A10" s="6">
        <f t="shared" si="0"/>
        <v>42921</v>
      </c>
      <c r="B10" s="7">
        <v>42921</v>
      </c>
      <c r="C10" s="8">
        <v>36</v>
      </c>
      <c r="D10" s="36"/>
    </row>
    <row r="11" spans="1:5">
      <c r="A11" s="6">
        <f t="shared" si="0"/>
        <v>42922</v>
      </c>
      <c r="B11" s="7">
        <v>42922</v>
      </c>
      <c r="C11" s="8">
        <v>39</v>
      </c>
      <c r="D11" s="36"/>
    </row>
    <row r="12" spans="1:5">
      <c r="A12" s="6">
        <f t="shared" si="0"/>
        <v>42923</v>
      </c>
      <c r="B12" s="7">
        <v>42923</v>
      </c>
      <c r="C12" s="8">
        <v>33</v>
      </c>
      <c r="D12" s="36"/>
    </row>
    <row r="13" spans="1:5">
      <c r="A13" s="6">
        <f t="shared" si="0"/>
        <v>42924</v>
      </c>
      <c r="B13" s="7">
        <v>42924</v>
      </c>
      <c r="C13" s="8">
        <v>24</v>
      </c>
      <c r="D13" s="44"/>
      <c r="E13" s="9" t="e">
        <f>AVERAGE(#REF!)</f>
        <v>#REF!</v>
      </c>
    </row>
    <row r="14" spans="1:5">
      <c r="A14" s="6">
        <f t="shared" si="0"/>
        <v>42925</v>
      </c>
      <c r="B14" s="7">
        <v>42925</v>
      </c>
      <c r="C14" s="8">
        <v>20</v>
      </c>
      <c r="D14" s="36"/>
    </row>
    <row r="15" spans="1:5">
      <c r="A15" s="6">
        <f t="shared" si="0"/>
        <v>42926</v>
      </c>
      <c r="B15" s="7">
        <v>42926</v>
      </c>
      <c r="C15" s="8">
        <v>75</v>
      </c>
      <c r="D15" s="36"/>
    </row>
    <row r="16" spans="1:5">
      <c r="A16" s="6">
        <f t="shared" si="0"/>
        <v>42927</v>
      </c>
      <c r="B16" s="7">
        <v>42927</v>
      </c>
      <c r="C16" s="8">
        <v>87</v>
      </c>
      <c r="D16" s="36"/>
    </row>
    <row r="17" spans="1:5">
      <c r="A17" s="6">
        <f t="shared" si="0"/>
        <v>42928</v>
      </c>
      <c r="B17" s="7">
        <v>42928</v>
      </c>
      <c r="C17" s="8">
        <v>75</v>
      </c>
      <c r="D17" s="36"/>
    </row>
    <row r="18" spans="1:5">
      <c r="A18" s="6">
        <f t="shared" si="0"/>
        <v>42929</v>
      </c>
      <c r="B18" s="7">
        <v>42929</v>
      </c>
      <c r="C18" s="8">
        <v>61</v>
      </c>
      <c r="D18" s="36"/>
    </row>
    <row r="19" spans="1:5">
      <c r="A19" s="6">
        <f t="shared" si="0"/>
        <v>42930</v>
      </c>
      <c r="B19" s="7">
        <v>42930</v>
      </c>
      <c r="C19" s="8">
        <v>57</v>
      </c>
      <c r="D19" s="36"/>
    </row>
    <row r="20" spans="1:5">
      <c r="A20" s="6">
        <f t="shared" si="0"/>
        <v>42931</v>
      </c>
      <c r="B20" s="7">
        <v>42931</v>
      </c>
      <c r="C20" s="8">
        <v>32</v>
      </c>
      <c r="D20" s="44"/>
      <c r="E20" s="9" t="e">
        <f>AVERAGE(#REF!)</f>
        <v>#REF!</v>
      </c>
    </row>
    <row r="21" spans="1:5">
      <c r="A21" s="6">
        <f t="shared" si="0"/>
        <v>42932</v>
      </c>
      <c r="B21" s="7">
        <v>42932</v>
      </c>
      <c r="C21" s="8">
        <v>37</v>
      </c>
      <c r="D21" s="36"/>
    </row>
    <row r="22" spans="1:5">
      <c r="A22" s="6">
        <f t="shared" si="0"/>
        <v>42933</v>
      </c>
      <c r="B22" s="7">
        <v>42933</v>
      </c>
      <c r="C22" s="8">
        <v>63</v>
      </c>
      <c r="D22" s="36"/>
    </row>
    <row r="23" spans="1:5">
      <c r="A23" s="6">
        <f t="shared" si="0"/>
        <v>42934</v>
      </c>
      <c r="B23" s="7">
        <v>42934</v>
      </c>
      <c r="C23" s="8">
        <v>66</v>
      </c>
      <c r="D23" s="36"/>
    </row>
    <row r="24" spans="1:5">
      <c r="A24" s="6">
        <f t="shared" si="0"/>
        <v>42935</v>
      </c>
      <c r="B24" s="7">
        <v>42935</v>
      </c>
      <c r="C24" s="8">
        <v>44</v>
      </c>
      <c r="D24" s="36"/>
    </row>
    <row r="25" spans="1:5">
      <c r="A25" s="6">
        <f t="shared" si="0"/>
        <v>42936</v>
      </c>
      <c r="B25" s="7">
        <v>42936</v>
      </c>
      <c r="C25" s="8">
        <v>53</v>
      </c>
      <c r="D25" s="36"/>
    </row>
    <row r="26" spans="1:5">
      <c r="A26" s="6">
        <f t="shared" si="0"/>
        <v>42937</v>
      </c>
      <c r="B26" s="7">
        <v>42937</v>
      </c>
      <c r="C26" s="8">
        <v>40</v>
      </c>
      <c r="D26" s="36"/>
    </row>
    <row r="27" spans="1:5">
      <c r="A27" s="6">
        <f t="shared" si="0"/>
        <v>42938</v>
      </c>
      <c r="B27" s="7">
        <v>42938</v>
      </c>
      <c r="C27" s="37">
        <v>14</v>
      </c>
      <c r="D27" s="44"/>
      <c r="E27" s="9" t="e">
        <f>AVERAGE(#REF!)</f>
        <v>#REF!</v>
      </c>
    </row>
    <row r="28" spans="1:5">
      <c r="A28" s="6">
        <f t="shared" si="0"/>
        <v>42939</v>
      </c>
      <c r="B28" s="7">
        <v>42939</v>
      </c>
      <c r="C28" s="8">
        <v>31</v>
      </c>
      <c r="D28" s="36"/>
    </row>
    <row r="29" spans="1:5">
      <c r="A29" s="6">
        <f t="shared" si="0"/>
        <v>42940</v>
      </c>
      <c r="B29" s="7">
        <v>42940</v>
      </c>
      <c r="C29" s="8">
        <v>49</v>
      </c>
      <c r="D29" s="36"/>
    </row>
    <row r="30" spans="1:5">
      <c r="A30" s="6">
        <f t="shared" si="0"/>
        <v>42941</v>
      </c>
      <c r="B30" s="7">
        <v>42941</v>
      </c>
      <c r="C30" s="8">
        <v>73</v>
      </c>
      <c r="D30" s="36"/>
    </row>
    <row r="31" spans="1:5">
      <c r="A31" s="6">
        <f t="shared" si="0"/>
        <v>42942</v>
      </c>
      <c r="B31" s="7">
        <v>42942</v>
      </c>
      <c r="C31" s="8">
        <v>61</v>
      </c>
      <c r="D31" s="36"/>
    </row>
    <row r="32" spans="1:5">
      <c r="A32" s="6">
        <f t="shared" si="0"/>
        <v>42943</v>
      </c>
      <c r="B32" s="7">
        <v>42943</v>
      </c>
      <c r="C32" s="8">
        <v>46</v>
      </c>
      <c r="D32" s="36"/>
    </row>
    <row r="33" spans="1:4">
      <c r="A33" s="6">
        <f t="shared" si="0"/>
        <v>42944</v>
      </c>
      <c r="B33" s="7">
        <v>42944</v>
      </c>
      <c r="C33" s="8">
        <v>50</v>
      </c>
      <c r="D33" s="36"/>
    </row>
    <row r="34" spans="1:4">
      <c r="A34" s="6">
        <f t="shared" si="0"/>
        <v>42945</v>
      </c>
      <c r="B34" s="7">
        <v>42945</v>
      </c>
      <c r="C34" s="8">
        <v>31</v>
      </c>
      <c r="D34" s="36"/>
    </row>
    <row r="35" spans="1:4">
      <c r="A35" s="6">
        <f t="shared" si="0"/>
        <v>42946</v>
      </c>
      <c r="B35" s="7">
        <v>42946</v>
      </c>
      <c r="C35" s="8">
        <v>33</v>
      </c>
      <c r="D35" s="36"/>
    </row>
    <row r="36" spans="1:4">
      <c r="A36" s="6">
        <f t="shared" si="0"/>
        <v>42947</v>
      </c>
      <c r="B36" s="7">
        <v>42947</v>
      </c>
      <c r="C36" s="9">
        <v>35</v>
      </c>
    </row>
    <row r="37" spans="1:4">
      <c r="B37" s="10" t="s">
        <v>6</v>
      </c>
      <c r="C37" s="11">
        <f>SUM(C6:C36)</f>
        <v>1366</v>
      </c>
      <c r="D37" s="12"/>
    </row>
    <row r="38" spans="1:4">
      <c r="C38" s="13"/>
    </row>
    <row r="39" spans="1:4">
      <c r="B39" s="14" t="s">
        <v>7</v>
      </c>
      <c r="C39" s="9">
        <v>1200</v>
      </c>
    </row>
    <row r="40" spans="1:4">
      <c r="B40" s="14" t="s">
        <v>8</v>
      </c>
      <c r="C40" s="9">
        <f>C37</f>
        <v>1366</v>
      </c>
    </row>
    <row r="41" spans="1:4">
      <c r="B41" s="14" t="s">
        <v>9</v>
      </c>
      <c r="C41" s="9">
        <f>C39-C40</f>
        <v>-166</v>
      </c>
    </row>
    <row r="42" spans="1:4">
      <c r="B42" s="14" t="s">
        <v>10</v>
      </c>
      <c r="C42" s="15">
        <f>C40/C39</f>
        <v>1.1383333333333334</v>
      </c>
    </row>
    <row r="43" spans="1:4">
      <c r="B43" s="14" t="s">
        <v>11</v>
      </c>
      <c r="C43" s="9">
        <f>IF(C40&lt;C39,0,C40-C39)</f>
        <v>166</v>
      </c>
    </row>
    <row r="44" spans="1:4">
      <c r="B44" s="14" t="s">
        <v>12</v>
      </c>
      <c r="C44" s="9">
        <f ca="1">(C39-C37)/C48</f>
        <v>-5.5333333333333332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7"/>
  <sheetViews>
    <sheetView showGridLines="0" workbookViewId="0">
      <selection activeCell="G29" sqref="G29"/>
    </sheetView>
  </sheetViews>
  <sheetFormatPr baseColWidth="10" defaultColWidth="8.83203125" defaultRowHeight="14" x14ac:dyDescent="0"/>
  <cols>
    <col min="1" max="1" width="13.33203125" customWidth="1"/>
    <col min="2" max="2" width="20.83203125" customWidth="1"/>
    <col min="3" max="3" width="14.6640625" bestFit="1" customWidth="1"/>
    <col min="4" max="4" width="14.83203125" customWidth="1"/>
    <col min="5" max="5" width="11.5" bestFit="1" customWidth="1"/>
    <col min="6" max="6" width="7.83203125" bestFit="1" customWidth="1"/>
  </cols>
  <sheetData>
    <row r="2" spans="1:5">
      <c r="B2" s="1" t="s">
        <v>63</v>
      </c>
    </row>
    <row r="4" spans="1:5">
      <c r="B4" s="2" t="s">
        <v>1</v>
      </c>
      <c r="C4" s="2"/>
    </row>
    <row r="5" spans="1:5">
      <c r="A5" s="3" t="s">
        <v>2</v>
      </c>
      <c r="B5" s="4" t="s">
        <v>3</v>
      </c>
      <c r="C5" s="5" t="s">
        <v>5</v>
      </c>
    </row>
    <row r="6" spans="1:5">
      <c r="A6" s="6">
        <f t="shared" ref="A6:A36" si="0">B6</f>
        <v>42917</v>
      </c>
      <c r="B6" s="7">
        <v>42917</v>
      </c>
      <c r="C6" s="8">
        <v>13</v>
      </c>
      <c r="D6" s="44"/>
      <c r="E6" s="9" t="e">
        <f>AVERAGE(#REF!)</f>
        <v>#REF!</v>
      </c>
    </row>
    <row r="7" spans="1:5">
      <c r="A7" s="6">
        <f t="shared" si="0"/>
        <v>42918</v>
      </c>
      <c r="B7" s="7">
        <v>42918</v>
      </c>
      <c r="C7" s="8">
        <v>8</v>
      </c>
      <c r="D7" s="36"/>
    </row>
    <row r="8" spans="1:5">
      <c r="A8" s="6">
        <f t="shared" si="0"/>
        <v>42919</v>
      </c>
      <c r="B8" s="7">
        <v>42919</v>
      </c>
      <c r="C8" s="8">
        <v>5</v>
      </c>
      <c r="D8" s="36"/>
    </row>
    <row r="9" spans="1:5">
      <c r="A9" s="6">
        <f t="shared" si="0"/>
        <v>42920</v>
      </c>
      <c r="B9" s="7">
        <v>42920</v>
      </c>
      <c r="C9" s="8">
        <v>13</v>
      </c>
      <c r="D9" s="36"/>
    </row>
    <row r="10" spans="1:5">
      <c r="A10" s="6">
        <f t="shared" si="0"/>
        <v>42921</v>
      </c>
      <c r="B10" s="7">
        <v>42921</v>
      </c>
      <c r="C10" s="8">
        <v>28</v>
      </c>
      <c r="D10" s="36"/>
    </row>
    <row r="11" spans="1:5">
      <c r="A11" s="6">
        <f t="shared" si="0"/>
        <v>42922</v>
      </c>
      <c r="B11" s="7">
        <v>42922</v>
      </c>
      <c r="C11" s="8">
        <v>32</v>
      </c>
      <c r="D11" s="36"/>
    </row>
    <row r="12" spans="1:5">
      <c r="A12" s="6">
        <f t="shared" si="0"/>
        <v>42923</v>
      </c>
      <c r="B12" s="7">
        <v>42923</v>
      </c>
      <c r="C12" s="8">
        <v>13</v>
      </c>
      <c r="D12" s="36"/>
    </row>
    <row r="13" spans="1:5">
      <c r="A13" s="6">
        <f t="shared" si="0"/>
        <v>42924</v>
      </c>
      <c r="B13" s="7">
        <v>42924</v>
      </c>
      <c r="C13" s="8">
        <v>17</v>
      </c>
      <c r="D13" s="44"/>
      <c r="E13" s="9" t="e">
        <f>AVERAGE(#REF!)</f>
        <v>#REF!</v>
      </c>
    </row>
    <row r="14" spans="1:5">
      <c r="A14" s="6">
        <f t="shared" si="0"/>
        <v>42925</v>
      </c>
      <c r="B14" s="7">
        <v>42925</v>
      </c>
      <c r="C14" s="8">
        <v>9</v>
      </c>
      <c r="D14" s="36"/>
    </row>
    <row r="15" spans="1:5">
      <c r="A15" s="6">
        <f t="shared" si="0"/>
        <v>42926</v>
      </c>
      <c r="B15" s="7">
        <v>42926</v>
      </c>
      <c r="C15" s="8">
        <v>29</v>
      </c>
      <c r="D15" s="36"/>
    </row>
    <row r="16" spans="1:5">
      <c r="A16" s="6">
        <f t="shared" si="0"/>
        <v>42927</v>
      </c>
      <c r="B16" s="7">
        <v>42927</v>
      </c>
      <c r="C16" s="8">
        <v>30</v>
      </c>
      <c r="D16" s="36"/>
    </row>
    <row r="17" spans="1:5">
      <c r="A17" s="6">
        <f t="shared" si="0"/>
        <v>42928</v>
      </c>
      <c r="B17" s="7">
        <v>42928</v>
      </c>
      <c r="C17" s="37">
        <v>34</v>
      </c>
      <c r="D17" s="36"/>
    </row>
    <row r="18" spans="1:5">
      <c r="A18" s="6">
        <f t="shared" si="0"/>
        <v>42929</v>
      </c>
      <c r="B18" s="7">
        <v>42929</v>
      </c>
      <c r="C18" s="8">
        <v>23</v>
      </c>
      <c r="D18" s="36"/>
    </row>
    <row r="19" spans="1:5">
      <c r="A19" s="6">
        <f t="shared" si="0"/>
        <v>42930</v>
      </c>
      <c r="B19" s="7">
        <v>42930</v>
      </c>
      <c r="C19" s="8">
        <v>24</v>
      </c>
      <c r="D19" s="36"/>
    </row>
    <row r="20" spans="1:5">
      <c r="A20" s="6">
        <f t="shared" si="0"/>
        <v>42931</v>
      </c>
      <c r="B20" s="7">
        <v>42931</v>
      </c>
      <c r="C20" s="8">
        <v>6</v>
      </c>
      <c r="D20" s="44"/>
      <c r="E20" s="9" t="e">
        <f>AVERAGE(#REF!)</f>
        <v>#REF!</v>
      </c>
    </row>
    <row r="21" spans="1:5">
      <c r="A21" s="6">
        <f t="shared" si="0"/>
        <v>42932</v>
      </c>
      <c r="B21" s="7">
        <v>42932</v>
      </c>
      <c r="C21" s="8">
        <v>13</v>
      </c>
      <c r="D21" s="36"/>
    </row>
    <row r="22" spans="1:5">
      <c r="A22" s="6">
        <f t="shared" si="0"/>
        <v>42933</v>
      </c>
      <c r="B22" s="7">
        <v>42933</v>
      </c>
      <c r="C22" s="8">
        <v>36</v>
      </c>
      <c r="D22" s="36"/>
    </row>
    <row r="23" spans="1:5">
      <c r="A23" s="6">
        <f t="shared" si="0"/>
        <v>42934</v>
      </c>
      <c r="B23" s="7">
        <v>42934</v>
      </c>
      <c r="C23" s="8">
        <v>24</v>
      </c>
      <c r="D23" s="36"/>
    </row>
    <row r="24" spans="1:5">
      <c r="A24" s="6">
        <f t="shared" si="0"/>
        <v>42935</v>
      </c>
      <c r="B24" s="7">
        <v>42935</v>
      </c>
      <c r="C24" s="8">
        <v>21</v>
      </c>
      <c r="D24" s="36"/>
    </row>
    <row r="25" spans="1:5">
      <c r="A25" s="6">
        <f t="shared" si="0"/>
        <v>42936</v>
      </c>
      <c r="B25" s="7">
        <v>42936</v>
      </c>
      <c r="C25" s="8">
        <v>18</v>
      </c>
      <c r="D25" s="36"/>
    </row>
    <row r="26" spans="1:5">
      <c r="A26" s="6">
        <f t="shared" si="0"/>
        <v>42937</v>
      </c>
      <c r="B26" s="7">
        <v>42937</v>
      </c>
      <c r="C26" s="8">
        <v>20</v>
      </c>
      <c r="D26" s="36"/>
    </row>
    <row r="27" spans="1:5">
      <c r="A27" s="6">
        <f t="shared" si="0"/>
        <v>42938</v>
      </c>
      <c r="B27" s="7">
        <v>42938</v>
      </c>
      <c r="C27" s="8">
        <v>12</v>
      </c>
      <c r="D27" s="44"/>
      <c r="E27" s="9" t="e">
        <f>AVERAGE(#REF!)</f>
        <v>#REF!</v>
      </c>
    </row>
    <row r="28" spans="1:5">
      <c r="A28" s="6">
        <f t="shared" si="0"/>
        <v>42939</v>
      </c>
      <c r="B28" s="7">
        <v>42939</v>
      </c>
      <c r="C28" s="8">
        <v>14</v>
      </c>
      <c r="D28" s="36"/>
    </row>
    <row r="29" spans="1:5">
      <c r="A29" s="6">
        <f t="shared" si="0"/>
        <v>42940</v>
      </c>
      <c r="B29" s="7">
        <v>42940</v>
      </c>
      <c r="C29" s="8">
        <v>21</v>
      </c>
      <c r="D29" s="36"/>
    </row>
    <row r="30" spans="1:5">
      <c r="A30" s="6">
        <f t="shared" si="0"/>
        <v>42941</v>
      </c>
      <c r="B30" s="7">
        <v>42941</v>
      </c>
      <c r="C30" s="8">
        <v>30</v>
      </c>
      <c r="D30" s="36"/>
    </row>
    <row r="31" spans="1:5">
      <c r="A31" s="6">
        <f t="shared" si="0"/>
        <v>42942</v>
      </c>
      <c r="B31" s="7">
        <v>42942</v>
      </c>
      <c r="C31" s="8">
        <v>17</v>
      </c>
      <c r="D31" s="36"/>
    </row>
    <row r="32" spans="1:5">
      <c r="A32" s="6">
        <f t="shared" si="0"/>
        <v>42943</v>
      </c>
      <c r="B32" s="7">
        <v>42943</v>
      </c>
      <c r="C32" s="8">
        <v>28</v>
      </c>
      <c r="D32" s="36"/>
    </row>
    <row r="33" spans="1:4">
      <c r="A33" s="6">
        <f t="shared" si="0"/>
        <v>42944</v>
      </c>
      <c r="B33" s="7">
        <v>42944</v>
      </c>
      <c r="C33" s="8">
        <v>36</v>
      </c>
      <c r="D33" s="36"/>
    </row>
    <row r="34" spans="1:4">
      <c r="A34" s="6">
        <f t="shared" si="0"/>
        <v>42945</v>
      </c>
      <c r="B34" s="7">
        <v>42945</v>
      </c>
      <c r="C34" s="8">
        <v>13</v>
      </c>
      <c r="D34" s="36"/>
    </row>
    <row r="35" spans="1:4">
      <c r="A35" s="6">
        <f t="shared" si="0"/>
        <v>42946</v>
      </c>
      <c r="B35" s="7">
        <v>42946</v>
      </c>
      <c r="C35" s="8">
        <v>10</v>
      </c>
      <c r="D35" s="36"/>
    </row>
    <row r="36" spans="1:4">
      <c r="A36" s="6">
        <f t="shared" si="0"/>
        <v>42947</v>
      </c>
      <c r="B36" s="7">
        <v>42947</v>
      </c>
      <c r="C36" s="9">
        <v>34</v>
      </c>
    </row>
    <row r="37" spans="1:4">
      <c r="B37" s="10" t="s">
        <v>6</v>
      </c>
      <c r="C37" s="11">
        <f>SUM(C6:C36)</f>
        <v>631</v>
      </c>
      <c r="D37" s="12"/>
    </row>
    <row r="38" spans="1:4">
      <c r="C38" s="13"/>
    </row>
    <row r="39" spans="1:4">
      <c r="B39" s="14" t="s">
        <v>7</v>
      </c>
      <c r="C39" s="9">
        <v>445</v>
      </c>
    </row>
    <row r="40" spans="1:4">
      <c r="B40" s="14" t="s">
        <v>8</v>
      </c>
      <c r="C40" s="9">
        <f>C37</f>
        <v>631</v>
      </c>
    </row>
    <row r="41" spans="1:4">
      <c r="B41" s="14" t="s">
        <v>9</v>
      </c>
      <c r="C41" s="9">
        <f>C39-C40</f>
        <v>-186</v>
      </c>
    </row>
    <row r="42" spans="1:4">
      <c r="B42" s="14" t="s">
        <v>10</v>
      </c>
      <c r="C42" s="15">
        <f>C40/C39</f>
        <v>1.4179775280898876</v>
      </c>
    </row>
    <row r="43" spans="1:4">
      <c r="B43" s="14" t="s">
        <v>11</v>
      </c>
      <c r="C43" s="9">
        <f>IF(C40&lt;C39,0,C40-C39)</f>
        <v>186</v>
      </c>
    </row>
    <row r="44" spans="1:4">
      <c r="B44" s="14" t="s">
        <v>12</v>
      </c>
      <c r="C44" s="9">
        <f ca="1">(C39-C37)/C48</f>
        <v>-6.2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workbookViewId="0">
      <selection activeCell="D37" sqref="D37"/>
    </sheetView>
  </sheetViews>
  <sheetFormatPr baseColWidth="10" defaultColWidth="8.83203125" defaultRowHeight="14" x14ac:dyDescent="0"/>
  <cols>
    <col min="1" max="1" width="13.33203125" customWidth="1"/>
    <col min="2" max="2" width="20.83203125" customWidth="1"/>
    <col min="3" max="3" width="14.6640625" bestFit="1" customWidth="1"/>
    <col min="4" max="4" width="14.83203125" customWidth="1"/>
    <col min="5" max="5" width="11.5" bestFit="1" customWidth="1"/>
    <col min="6" max="6" width="7.83203125" bestFit="1" customWidth="1"/>
  </cols>
  <sheetData>
    <row r="2" spans="1:6">
      <c r="B2" s="1" t="s">
        <v>69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4</v>
      </c>
      <c r="D5" s="5" t="s">
        <v>5</v>
      </c>
    </row>
    <row r="6" spans="1:6">
      <c r="A6" s="6">
        <f t="shared" ref="A6:A36" si="0">B6</f>
        <v>42917</v>
      </c>
      <c r="B6" s="7">
        <v>42917</v>
      </c>
      <c r="C6" s="39">
        <f>D6</f>
        <v>0</v>
      </c>
      <c r="D6" s="8">
        <v>0</v>
      </c>
      <c r="E6" s="14" t="s">
        <v>37</v>
      </c>
      <c r="F6" s="9">
        <f>AVERAGE(C6:C12)</f>
        <v>0</v>
      </c>
    </row>
    <row r="7" spans="1:6">
      <c r="A7" s="6">
        <f t="shared" si="0"/>
        <v>42918</v>
      </c>
      <c r="B7" s="7">
        <v>42918</v>
      </c>
      <c r="C7" s="44">
        <f t="shared" ref="C7:C36" si="1">IF(D7-D6&lt;0,0,D7-D6)</f>
        <v>0</v>
      </c>
      <c r="D7" s="8">
        <v>0</v>
      </c>
    </row>
    <row r="8" spans="1:6">
      <c r="A8" s="6">
        <f t="shared" si="0"/>
        <v>42919</v>
      </c>
      <c r="B8" s="7">
        <v>42919</v>
      </c>
      <c r="C8" s="44">
        <f t="shared" si="1"/>
        <v>0</v>
      </c>
      <c r="D8" s="8">
        <v>0</v>
      </c>
    </row>
    <row r="9" spans="1:6">
      <c r="A9" s="6">
        <f t="shared" si="0"/>
        <v>42920</v>
      </c>
      <c r="B9" s="7">
        <v>42920</v>
      </c>
      <c r="C9" s="44">
        <f t="shared" si="1"/>
        <v>0</v>
      </c>
      <c r="D9" s="8">
        <v>0</v>
      </c>
    </row>
    <row r="10" spans="1:6">
      <c r="A10" s="6">
        <f t="shared" si="0"/>
        <v>42921</v>
      </c>
      <c r="B10" s="7">
        <v>42921</v>
      </c>
      <c r="C10" s="44">
        <f t="shared" si="1"/>
        <v>0</v>
      </c>
      <c r="D10" s="8">
        <v>0</v>
      </c>
    </row>
    <row r="11" spans="1:6">
      <c r="A11" s="6">
        <f t="shared" si="0"/>
        <v>42922</v>
      </c>
      <c r="B11" s="7">
        <v>42922</v>
      </c>
      <c r="C11" s="44">
        <f t="shared" si="1"/>
        <v>0</v>
      </c>
      <c r="D11" s="8">
        <v>0</v>
      </c>
    </row>
    <row r="12" spans="1:6">
      <c r="A12" s="6">
        <f t="shared" si="0"/>
        <v>42923</v>
      </c>
      <c r="B12" s="7">
        <v>42923</v>
      </c>
      <c r="C12" s="44">
        <f t="shared" si="1"/>
        <v>0</v>
      </c>
      <c r="D12" s="8">
        <v>0</v>
      </c>
    </row>
    <row r="13" spans="1:6">
      <c r="A13" s="6">
        <f t="shared" si="0"/>
        <v>42924</v>
      </c>
      <c r="B13" s="7">
        <v>42924</v>
      </c>
      <c r="C13" s="44">
        <f t="shared" si="1"/>
        <v>0</v>
      </c>
      <c r="D13" s="8">
        <v>0</v>
      </c>
      <c r="E13" s="14" t="s">
        <v>38</v>
      </c>
      <c r="F13" s="9">
        <f>AVERAGE(C13:C19)</f>
        <v>0</v>
      </c>
    </row>
    <row r="14" spans="1:6">
      <c r="A14" s="6">
        <f t="shared" si="0"/>
        <v>42925</v>
      </c>
      <c r="B14" s="7">
        <v>42925</v>
      </c>
      <c r="C14" s="44">
        <f t="shared" si="1"/>
        <v>0</v>
      </c>
      <c r="D14" s="8">
        <v>0</v>
      </c>
    </row>
    <row r="15" spans="1:6">
      <c r="A15" s="6">
        <f t="shared" si="0"/>
        <v>42926</v>
      </c>
      <c r="B15" s="7">
        <v>42926</v>
      </c>
      <c r="C15" s="44">
        <f t="shared" si="1"/>
        <v>0</v>
      </c>
      <c r="D15" s="8">
        <v>0</v>
      </c>
    </row>
    <row r="16" spans="1:6">
      <c r="A16" s="6">
        <f t="shared" si="0"/>
        <v>42927</v>
      </c>
      <c r="B16" s="7">
        <v>42927</v>
      </c>
      <c r="C16" s="44">
        <f t="shared" si="1"/>
        <v>0</v>
      </c>
      <c r="D16" s="8">
        <v>0</v>
      </c>
    </row>
    <row r="17" spans="1:6">
      <c r="A17" s="6">
        <f t="shared" si="0"/>
        <v>42928</v>
      </c>
      <c r="B17" s="7">
        <v>42928</v>
      </c>
      <c r="C17" s="44">
        <f t="shared" si="1"/>
        <v>0</v>
      </c>
      <c r="D17" s="37">
        <v>0</v>
      </c>
    </row>
    <row r="18" spans="1:6">
      <c r="A18" s="6">
        <f t="shared" si="0"/>
        <v>42929</v>
      </c>
      <c r="B18" s="7">
        <v>42929</v>
      </c>
      <c r="C18" s="44">
        <f t="shared" si="1"/>
        <v>0</v>
      </c>
      <c r="D18" s="8">
        <v>0</v>
      </c>
    </row>
    <row r="19" spans="1:6">
      <c r="A19" s="6">
        <f t="shared" si="0"/>
        <v>42930</v>
      </c>
      <c r="B19" s="7">
        <v>42930</v>
      </c>
      <c r="C19" s="44">
        <f t="shared" si="1"/>
        <v>0</v>
      </c>
      <c r="D19" s="8">
        <v>0</v>
      </c>
    </row>
    <row r="20" spans="1:6">
      <c r="A20" s="6">
        <f t="shared" si="0"/>
        <v>42931</v>
      </c>
      <c r="B20" s="7">
        <v>42931</v>
      </c>
      <c r="C20" s="44">
        <f t="shared" si="1"/>
        <v>0</v>
      </c>
      <c r="D20" s="8">
        <v>0</v>
      </c>
      <c r="E20" s="14" t="s">
        <v>39</v>
      </c>
      <c r="F20" s="9">
        <f>AVERAGE(C20:C26)</f>
        <v>0</v>
      </c>
    </row>
    <row r="21" spans="1:6">
      <c r="A21" s="6">
        <f t="shared" si="0"/>
        <v>42932</v>
      </c>
      <c r="B21" s="7">
        <v>42932</v>
      </c>
      <c r="C21" s="44">
        <f t="shared" si="1"/>
        <v>0</v>
      </c>
      <c r="D21" s="8">
        <v>0</v>
      </c>
    </row>
    <row r="22" spans="1:6">
      <c r="A22" s="6">
        <f t="shared" si="0"/>
        <v>42933</v>
      </c>
      <c r="B22" s="7">
        <v>42933</v>
      </c>
      <c r="C22" s="44">
        <f t="shared" si="1"/>
        <v>0</v>
      </c>
      <c r="D22" s="8">
        <v>0</v>
      </c>
    </row>
    <row r="23" spans="1:6">
      <c r="A23" s="6">
        <f t="shared" si="0"/>
        <v>42934</v>
      </c>
      <c r="B23" s="7">
        <v>42934</v>
      </c>
      <c r="C23" s="44">
        <f t="shared" si="1"/>
        <v>0</v>
      </c>
      <c r="D23" s="8">
        <v>0</v>
      </c>
    </row>
    <row r="24" spans="1:6">
      <c r="A24" s="6">
        <f t="shared" si="0"/>
        <v>42935</v>
      </c>
      <c r="B24" s="7">
        <v>42935</v>
      </c>
      <c r="C24" s="44">
        <f t="shared" si="1"/>
        <v>0</v>
      </c>
      <c r="D24" s="8">
        <v>0</v>
      </c>
    </row>
    <row r="25" spans="1:6">
      <c r="A25" s="6">
        <f t="shared" si="0"/>
        <v>42936</v>
      </c>
      <c r="B25" s="7">
        <v>42936</v>
      </c>
      <c r="C25" s="44">
        <f t="shared" si="1"/>
        <v>0</v>
      </c>
      <c r="D25" s="8">
        <v>0</v>
      </c>
    </row>
    <row r="26" spans="1:6">
      <c r="A26" s="6">
        <f t="shared" si="0"/>
        <v>42937</v>
      </c>
      <c r="B26" s="7">
        <v>42937</v>
      </c>
      <c r="C26" s="44">
        <f t="shared" si="1"/>
        <v>0</v>
      </c>
      <c r="D26" s="8">
        <v>0</v>
      </c>
    </row>
    <row r="27" spans="1:6">
      <c r="A27" s="6">
        <f t="shared" si="0"/>
        <v>42938</v>
      </c>
      <c r="B27" s="7">
        <v>42938</v>
      </c>
      <c r="C27" s="44">
        <f t="shared" si="1"/>
        <v>0</v>
      </c>
      <c r="D27" s="8">
        <v>0</v>
      </c>
      <c r="E27" s="14" t="s">
        <v>40</v>
      </c>
      <c r="F27" s="9">
        <f>AVERAGE(C27:C33)</f>
        <v>0</v>
      </c>
    </row>
    <row r="28" spans="1:6">
      <c r="A28" s="6">
        <f t="shared" si="0"/>
        <v>42939</v>
      </c>
      <c r="B28" s="7">
        <v>42939</v>
      </c>
      <c r="C28" s="44">
        <f t="shared" si="1"/>
        <v>0</v>
      </c>
      <c r="D28" s="8">
        <v>0</v>
      </c>
    </row>
    <row r="29" spans="1:6">
      <c r="A29" s="6">
        <f t="shared" si="0"/>
        <v>42940</v>
      </c>
      <c r="B29" s="7">
        <v>42940</v>
      </c>
      <c r="C29" s="44">
        <f t="shared" si="1"/>
        <v>0</v>
      </c>
      <c r="D29" s="8">
        <v>0</v>
      </c>
    </row>
    <row r="30" spans="1:6">
      <c r="A30" s="6">
        <f t="shared" si="0"/>
        <v>42941</v>
      </c>
      <c r="B30" s="7">
        <v>42941</v>
      </c>
      <c r="C30" s="44">
        <f t="shared" si="1"/>
        <v>0</v>
      </c>
      <c r="D30" s="8">
        <v>0</v>
      </c>
    </row>
    <row r="31" spans="1:6">
      <c r="A31" s="6">
        <f t="shared" si="0"/>
        <v>42942</v>
      </c>
      <c r="B31" s="7">
        <v>42942</v>
      </c>
      <c r="C31" s="44">
        <f t="shared" si="1"/>
        <v>0</v>
      </c>
      <c r="D31" s="8">
        <v>0</v>
      </c>
    </row>
    <row r="32" spans="1:6">
      <c r="A32" s="6">
        <f t="shared" si="0"/>
        <v>42943</v>
      </c>
      <c r="B32" s="7">
        <v>42943</v>
      </c>
      <c r="C32" s="44">
        <f t="shared" si="1"/>
        <v>0</v>
      </c>
      <c r="D32" s="8">
        <v>0</v>
      </c>
    </row>
    <row r="33" spans="1:4">
      <c r="A33" s="6">
        <f t="shared" si="0"/>
        <v>42944</v>
      </c>
      <c r="B33" s="7">
        <v>42944</v>
      </c>
      <c r="C33" s="44">
        <f t="shared" si="1"/>
        <v>0</v>
      </c>
      <c r="D33" s="8">
        <v>0</v>
      </c>
    </row>
    <row r="34" spans="1:4">
      <c r="A34" s="6">
        <f t="shared" si="0"/>
        <v>42945</v>
      </c>
      <c r="B34" s="7">
        <v>42945</v>
      </c>
      <c r="C34" s="44">
        <f t="shared" si="1"/>
        <v>0</v>
      </c>
      <c r="D34" s="8">
        <v>0</v>
      </c>
    </row>
    <row r="35" spans="1:4">
      <c r="A35" s="6">
        <f t="shared" si="0"/>
        <v>42946</v>
      </c>
      <c r="B35" s="7">
        <v>42946</v>
      </c>
      <c r="C35" s="44">
        <f t="shared" si="1"/>
        <v>0</v>
      </c>
      <c r="D35" s="8">
        <v>0</v>
      </c>
    </row>
    <row r="36" spans="1:4">
      <c r="A36" s="6">
        <f t="shared" si="0"/>
        <v>42947</v>
      </c>
      <c r="B36" s="7">
        <v>42947</v>
      </c>
      <c r="C36" s="14">
        <f t="shared" si="1"/>
        <v>0</v>
      </c>
      <c r="D36" s="9">
        <v>0</v>
      </c>
    </row>
    <row r="37" spans="1:4">
      <c r="B37" s="10" t="s">
        <v>6</v>
      </c>
      <c r="C37" s="11">
        <f>SUM(C6:C36)</f>
        <v>0</v>
      </c>
      <c r="D37" s="12"/>
    </row>
    <row r="38" spans="1:4">
      <c r="C38" s="13"/>
    </row>
    <row r="39" spans="1:4">
      <c r="B39" s="14" t="s">
        <v>7</v>
      </c>
      <c r="C39" s="9">
        <v>5</v>
      </c>
    </row>
    <row r="40" spans="1:4">
      <c r="B40" s="14" t="s">
        <v>8</v>
      </c>
      <c r="C40" s="9">
        <f>C37</f>
        <v>0</v>
      </c>
    </row>
    <row r="41" spans="1:4">
      <c r="B41" s="14" t="s">
        <v>9</v>
      </c>
      <c r="C41" s="9">
        <f>C39-C40</f>
        <v>5</v>
      </c>
    </row>
    <row r="42" spans="1:4">
      <c r="B42" s="14" t="s">
        <v>10</v>
      </c>
      <c r="C42" s="15">
        <f>C40/C39</f>
        <v>0</v>
      </c>
    </row>
    <row r="43" spans="1:4">
      <c r="B43" s="14" t="s">
        <v>11</v>
      </c>
      <c r="C43" s="9">
        <f>IF(C40&lt;C39,0,C40-C39)</f>
        <v>0</v>
      </c>
    </row>
    <row r="44" spans="1:4">
      <c r="B44" s="14" t="s">
        <v>12</v>
      </c>
      <c r="C44" s="9">
        <f ca="1">(C39-C37)/C48</f>
        <v>0.16666666666666666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workbookViewId="0">
      <selection activeCell="F34" sqref="F34"/>
    </sheetView>
  </sheetViews>
  <sheetFormatPr baseColWidth="10" defaultColWidth="8.83203125" defaultRowHeight="14" x14ac:dyDescent="0"/>
  <cols>
    <col min="1" max="1" width="13.33203125" customWidth="1"/>
    <col min="2" max="2" width="20.83203125" customWidth="1"/>
    <col min="3" max="3" width="14.6640625" bestFit="1" customWidth="1"/>
    <col min="4" max="4" width="14.83203125" customWidth="1"/>
    <col min="5" max="5" width="11.5" bestFit="1" customWidth="1"/>
    <col min="6" max="6" width="7.83203125" bestFit="1" customWidth="1"/>
  </cols>
  <sheetData>
    <row r="2" spans="1:6">
      <c r="B2" s="1" t="s">
        <v>70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4</v>
      </c>
      <c r="D5" s="5" t="s">
        <v>5</v>
      </c>
    </row>
    <row r="6" spans="1:6">
      <c r="A6" s="6">
        <f t="shared" ref="A6:A36" si="0">B6</f>
        <v>42917</v>
      </c>
      <c r="B6" s="7">
        <v>42917</v>
      </c>
      <c r="C6" s="39">
        <f>D6</f>
        <v>0</v>
      </c>
      <c r="D6" s="8">
        <v>0</v>
      </c>
      <c r="E6" s="14" t="s">
        <v>37</v>
      </c>
      <c r="F6" s="9">
        <f>AVERAGE(C6:C12)</f>
        <v>0</v>
      </c>
    </row>
    <row r="7" spans="1:6">
      <c r="A7" s="6">
        <f t="shared" si="0"/>
        <v>42918</v>
      </c>
      <c r="B7" s="7">
        <v>42918</v>
      </c>
      <c r="C7" s="44">
        <f t="shared" ref="C7:C36" si="1">IF(D7-D6&lt;0,0,D7-D6)</f>
        <v>0</v>
      </c>
      <c r="D7" s="8">
        <v>0</v>
      </c>
    </row>
    <row r="8" spans="1:6">
      <c r="A8" s="6">
        <f t="shared" si="0"/>
        <v>42919</v>
      </c>
      <c r="B8" s="7">
        <v>42919</v>
      </c>
      <c r="C8" s="44">
        <f t="shared" si="1"/>
        <v>0</v>
      </c>
      <c r="D8" s="8">
        <v>0</v>
      </c>
    </row>
    <row r="9" spans="1:6">
      <c r="A9" s="6">
        <f t="shared" si="0"/>
        <v>42920</v>
      </c>
      <c r="B9" s="7">
        <v>42920</v>
      </c>
      <c r="C9" s="44">
        <f t="shared" si="1"/>
        <v>0</v>
      </c>
      <c r="D9" s="8">
        <v>0</v>
      </c>
    </row>
    <row r="10" spans="1:6">
      <c r="A10" s="6">
        <f t="shared" si="0"/>
        <v>42921</v>
      </c>
      <c r="B10" s="7">
        <v>42921</v>
      </c>
      <c r="C10" s="44">
        <f t="shared" si="1"/>
        <v>0</v>
      </c>
      <c r="D10" s="8">
        <v>0</v>
      </c>
    </row>
    <row r="11" spans="1:6">
      <c r="A11" s="6">
        <f t="shared" si="0"/>
        <v>42922</v>
      </c>
      <c r="B11" s="7">
        <v>42922</v>
      </c>
      <c r="C11" s="44">
        <f t="shared" si="1"/>
        <v>0</v>
      </c>
      <c r="D11" s="8">
        <v>0</v>
      </c>
    </row>
    <row r="12" spans="1:6">
      <c r="A12" s="6">
        <f t="shared" si="0"/>
        <v>42923</v>
      </c>
      <c r="B12" s="7">
        <v>42923</v>
      </c>
      <c r="C12" s="44">
        <f t="shared" si="1"/>
        <v>0</v>
      </c>
      <c r="D12" s="8">
        <v>0</v>
      </c>
    </row>
    <row r="13" spans="1:6">
      <c r="A13" s="6">
        <f t="shared" si="0"/>
        <v>42924</v>
      </c>
      <c r="B13" s="7">
        <v>42924</v>
      </c>
      <c r="C13" s="44">
        <f t="shared" si="1"/>
        <v>1</v>
      </c>
      <c r="D13" s="8">
        <v>1</v>
      </c>
      <c r="E13" s="14" t="s">
        <v>38</v>
      </c>
      <c r="F13" s="9">
        <f>AVERAGE(C13:C19)</f>
        <v>0.14285714285714285</v>
      </c>
    </row>
    <row r="14" spans="1:6">
      <c r="A14" s="6">
        <f t="shared" si="0"/>
        <v>42925</v>
      </c>
      <c r="B14" s="7">
        <v>42925</v>
      </c>
      <c r="C14" s="44">
        <f t="shared" si="1"/>
        <v>0</v>
      </c>
      <c r="D14" s="8">
        <v>1</v>
      </c>
    </row>
    <row r="15" spans="1:6">
      <c r="A15" s="6">
        <f t="shared" si="0"/>
        <v>42926</v>
      </c>
      <c r="B15" s="7">
        <v>42926</v>
      </c>
      <c r="C15" s="44">
        <f t="shared" si="1"/>
        <v>0</v>
      </c>
      <c r="D15" s="8">
        <v>1</v>
      </c>
    </row>
    <row r="16" spans="1:6">
      <c r="A16" s="6">
        <f t="shared" si="0"/>
        <v>42927</v>
      </c>
      <c r="B16" s="7">
        <v>42927</v>
      </c>
      <c r="C16" s="44">
        <f t="shared" si="1"/>
        <v>0</v>
      </c>
      <c r="D16" s="8">
        <v>1</v>
      </c>
    </row>
    <row r="17" spans="1:6">
      <c r="A17" s="6">
        <f t="shared" si="0"/>
        <v>42928</v>
      </c>
      <c r="B17" s="7">
        <v>42928</v>
      </c>
      <c r="C17" s="44">
        <f t="shared" si="1"/>
        <v>0</v>
      </c>
      <c r="D17" s="8">
        <v>1</v>
      </c>
    </row>
    <row r="18" spans="1:6">
      <c r="A18" s="6">
        <f t="shared" si="0"/>
        <v>42929</v>
      </c>
      <c r="B18" s="7">
        <v>42929</v>
      </c>
      <c r="C18" s="44">
        <f t="shared" si="1"/>
        <v>0</v>
      </c>
      <c r="D18" s="8">
        <v>1</v>
      </c>
    </row>
    <row r="19" spans="1:6">
      <c r="A19" s="6">
        <f t="shared" si="0"/>
        <v>42930</v>
      </c>
      <c r="B19" s="7">
        <v>42930</v>
      </c>
      <c r="C19" s="44">
        <f t="shared" si="1"/>
        <v>0</v>
      </c>
      <c r="D19" s="8">
        <v>1</v>
      </c>
    </row>
    <row r="20" spans="1:6">
      <c r="A20" s="6">
        <f t="shared" si="0"/>
        <v>42931</v>
      </c>
      <c r="B20" s="7">
        <v>42931</v>
      </c>
      <c r="C20" s="44">
        <f t="shared" si="1"/>
        <v>0</v>
      </c>
      <c r="D20" s="8">
        <v>1</v>
      </c>
      <c r="E20" s="14" t="s">
        <v>39</v>
      </c>
      <c r="F20" s="9">
        <f>AVERAGE(C20:C26)</f>
        <v>0.14285714285714285</v>
      </c>
    </row>
    <row r="21" spans="1:6">
      <c r="A21" s="6">
        <f t="shared" si="0"/>
        <v>42932</v>
      </c>
      <c r="B21" s="7">
        <v>42932</v>
      </c>
      <c r="C21" s="44">
        <f t="shared" si="1"/>
        <v>0</v>
      </c>
      <c r="D21" s="8">
        <v>1</v>
      </c>
    </row>
    <row r="22" spans="1:6">
      <c r="A22" s="6">
        <f t="shared" si="0"/>
        <v>42933</v>
      </c>
      <c r="B22" s="7">
        <v>42933</v>
      </c>
      <c r="C22" s="44">
        <f t="shared" si="1"/>
        <v>0</v>
      </c>
      <c r="D22" s="8">
        <v>1</v>
      </c>
    </row>
    <row r="23" spans="1:6">
      <c r="A23" s="6">
        <f t="shared" si="0"/>
        <v>42934</v>
      </c>
      <c r="B23" s="7">
        <v>42934</v>
      </c>
      <c r="C23" s="44">
        <f t="shared" si="1"/>
        <v>0</v>
      </c>
      <c r="D23" s="8">
        <v>1</v>
      </c>
    </row>
    <row r="24" spans="1:6">
      <c r="A24" s="6">
        <f t="shared" si="0"/>
        <v>42935</v>
      </c>
      <c r="B24" s="7">
        <v>42935</v>
      </c>
      <c r="C24" s="44">
        <f t="shared" si="1"/>
        <v>0</v>
      </c>
      <c r="D24" s="8">
        <v>1</v>
      </c>
    </row>
    <row r="25" spans="1:6">
      <c r="A25" s="6">
        <f t="shared" si="0"/>
        <v>42936</v>
      </c>
      <c r="B25" s="7">
        <v>42936</v>
      </c>
      <c r="C25" s="44">
        <f t="shared" si="1"/>
        <v>0</v>
      </c>
      <c r="D25" s="8">
        <v>1</v>
      </c>
    </row>
    <row r="26" spans="1:6">
      <c r="A26" s="6">
        <f t="shared" si="0"/>
        <v>42937</v>
      </c>
      <c r="B26" s="7">
        <v>42937</v>
      </c>
      <c r="C26" s="44">
        <f t="shared" si="1"/>
        <v>1</v>
      </c>
      <c r="D26" s="8">
        <v>2</v>
      </c>
    </row>
    <row r="27" spans="1:6">
      <c r="A27" s="6">
        <f t="shared" si="0"/>
        <v>42938</v>
      </c>
      <c r="B27" s="7">
        <v>42938</v>
      </c>
      <c r="C27" s="44">
        <f t="shared" si="1"/>
        <v>1</v>
      </c>
      <c r="D27" s="8">
        <v>3</v>
      </c>
      <c r="E27" s="14" t="s">
        <v>40</v>
      </c>
      <c r="F27" s="9">
        <f>AVERAGE(C27:C33)</f>
        <v>0.14285714285714285</v>
      </c>
    </row>
    <row r="28" spans="1:6">
      <c r="A28" s="6">
        <f t="shared" si="0"/>
        <v>42939</v>
      </c>
      <c r="B28" s="7">
        <v>42939</v>
      </c>
      <c r="C28" s="44">
        <f t="shared" si="1"/>
        <v>0</v>
      </c>
      <c r="D28" s="8">
        <v>3</v>
      </c>
    </row>
    <row r="29" spans="1:6">
      <c r="A29" s="6">
        <f t="shared" si="0"/>
        <v>42940</v>
      </c>
      <c r="B29" s="7">
        <v>42940</v>
      </c>
      <c r="C29" s="44">
        <f t="shared" si="1"/>
        <v>0</v>
      </c>
      <c r="D29" s="8">
        <v>3</v>
      </c>
    </row>
    <row r="30" spans="1:6">
      <c r="A30" s="6">
        <f t="shared" si="0"/>
        <v>42941</v>
      </c>
      <c r="B30" s="7">
        <v>42941</v>
      </c>
      <c r="C30" s="44">
        <f t="shared" si="1"/>
        <v>0</v>
      </c>
      <c r="D30" s="8">
        <v>3</v>
      </c>
    </row>
    <row r="31" spans="1:6">
      <c r="A31" s="6">
        <f t="shared" si="0"/>
        <v>42942</v>
      </c>
      <c r="B31" s="7">
        <v>42942</v>
      </c>
      <c r="C31" s="44">
        <f t="shared" si="1"/>
        <v>0</v>
      </c>
      <c r="D31" s="8">
        <v>3</v>
      </c>
    </row>
    <row r="32" spans="1:6">
      <c r="A32" s="6">
        <f t="shared" si="0"/>
        <v>42943</v>
      </c>
      <c r="B32" s="7">
        <v>42943</v>
      </c>
      <c r="C32" s="44">
        <f t="shared" si="1"/>
        <v>0</v>
      </c>
      <c r="D32" s="8">
        <v>3</v>
      </c>
    </row>
    <row r="33" spans="1:4">
      <c r="A33" s="6">
        <f t="shared" si="0"/>
        <v>42944</v>
      </c>
      <c r="B33" s="7">
        <v>42944</v>
      </c>
      <c r="C33" s="44">
        <f t="shared" si="1"/>
        <v>0</v>
      </c>
      <c r="D33" s="8">
        <v>3</v>
      </c>
    </row>
    <row r="34" spans="1:4">
      <c r="A34" s="6">
        <f t="shared" si="0"/>
        <v>42945</v>
      </c>
      <c r="B34" s="7">
        <v>42945</v>
      </c>
      <c r="C34" s="44">
        <f t="shared" si="1"/>
        <v>0</v>
      </c>
      <c r="D34" s="8">
        <v>3</v>
      </c>
    </row>
    <row r="35" spans="1:4">
      <c r="A35" s="6">
        <f t="shared" si="0"/>
        <v>42946</v>
      </c>
      <c r="B35" s="7">
        <v>42946</v>
      </c>
      <c r="C35" s="44">
        <f t="shared" si="1"/>
        <v>0</v>
      </c>
      <c r="D35" s="8">
        <v>3</v>
      </c>
    </row>
    <row r="36" spans="1:4">
      <c r="A36" s="6">
        <f t="shared" si="0"/>
        <v>42947</v>
      </c>
      <c r="B36" s="7">
        <v>42947</v>
      </c>
      <c r="C36" s="14">
        <f t="shared" si="1"/>
        <v>0</v>
      </c>
      <c r="D36" s="9">
        <v>3</v>
      </c>
    </row>
    <row r="37" spans="1:4">
      <c r="B37" s="10" t="s">
        <v>6</v>
      </c>
      <c r="C37" s="11">
        <f>SUM(C6:C36)</f>
        <v>3</v>
      </c>
      <c r="D37" s="12"/>
    </row>
    <row r="38" spans="1:4">
      <c r="C38" s="13"/>
    </row>
    <row r="39" spans="1:4">
      <c r="B39" s="14" t="s">
        <v>7</v>
      </c>
      <c r="C39" s="9">
        <v>10</v>
      </c>
    </row>
    <row r="40" spans="1:4">
      <c r="B40" s="14" t="s">
        <v>8</v>
      </c>
      <c r="C40" s="9">
        <f>C37</f>
        <v>3</v>
      </c>
    </row>
    <row r="41" spans="1:4">
      <c r="B41" s="14" t="s">
        <v>9</v>
      </c>
      <c r="C41" s="9">
        <f>C39-C40</f>
        <v>7</v>
      </c>
    </row>
    <row r="42" spans="1:4">
      <c r="B42" s="14" t="s">
        <v>10</v>
      </c>
      <c r="C42" s="15">
        <f>C40/C39</f>
        <v>0.3</v>
      </c>
    </row>
    <row r="43" spans="1:4">
      <c r="B43" s="14" t="s">
        <v>11</v>
      </c>
      <c r="C43" s="9">
        <f>IF(C40&lt;C39,0,C40-C39)</f>
        <v>0</v>
      </c>
    </row>
    <row r="44" spans="1:4">
      <c r="B44" s="14" t="s">
        <v>12</v>
      </c>
      <c r="C44" s="9">
        <f ca="1">(C39-C37)/C48</f>
        <v>0.23333333333333334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2" workbookViewId="0">
      <selection activeCell="D37" sqref="D37"/>
    </sheetView>
  </sheetViews>
  <sheetFormatPr baseColWidth="10" defaultColWidth="8.83203125" defaultRowHeight="14" x14ac:dyDescent="0"/>
  <cols>
    <col min="1" max="1" width="13.33203125" customWidth="1"/>
    <col min="2" max="2" width="20.83203125" customWidth="1"/>
    <col min="3" max="3" width="14.6640625" bestFit="1" customWidth="1"/>
    <col min="4" max="4" width="14.83203125" customWidth="1"/>
    <col min="5" max="5" width="11.5" bestFit="1" customWidth="1"/>
    <col min="6" max="6" width="7.83203125" bestFit="1" customWidth="1"/>
  </cols>
  <sheetData>
    <row r="2" spans="1:6">
      <c r="B2" s="1" t="s">
        <v>70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4</v>
      </c>
      <c r="D5" s="5" t="s">
        <v>5</v>
      </c>
    </row>
    <row r="6" spans="1:6">
      <c r="A6" s="6">
        <f t="shared" ref="A6:A36" si="0">B6</f>
        <v>42917</v>
      </c>
      <c r="B6" s="7">
        <v>42917</v>
      </c>
      <c r="C6" s="39">
        <f>D6</f>
        <v>2</v>
      </c>
      <c r="D6" s="8">
        <v>2</v>
      </c>
      <c r="E6" s="14" t="s">
        <v>37</v>
      </c>
      <c r="F6" s="9">
        <f>AVERAGE(C6:C12)</f>
        <v>2.8571428571428572</v>
      </c>
    </row>
    <row r="7" spans="1:6">
      <c r="A7" s="6">
        <f t="shared" si="0"/>
        <v>42918</v>
      </c>
      <c r="B7" s="7">
        <v>42918</v>
      </c>
      <c r="C7" s="44">
        <f t="shared" ref="C7:C36" si="1">IF(D7-D6&lt;0,0,D7-D6)</f>
        <v>2</v>
      </c>
      <c r="D7" s="8">
        <v>4</v>
      </c>
    </row>
    <row r="8" spans="1:6">
      <c r="A8" s="6">
        <f t="shared" si="0"/>
        <v>42919</v>
      </c>
      <c r="B8" s="7">
        <v>42919</v>
      </c>
      <c r="C8" s="44">
        <f t="shared" si="1"/>
        <v>3</v>
      </c>
      <c r="D8" s="8">
        <v>7</v>
      </c>
    </row>
    <row r="9" spans="1:6">
      <c r="A9" s="6">
        <f t="shared" si="0"/>
        <v>42920</v>
      </c>
      <c r="B9" s="7">
        <v>42920</v>
      </c>
      <c r="C9" s="44">
        <f t="shared" si="1"/>
        <v>5</v>
      </c>
      <c r="D9" s="8">
        <v>12</v>
      </c>
    </row>
    <row r="10" spans="1:6">
      <c r="A10" s="6">
        <f t="shared" si="0"/>
        <v>42921</v>
      </c>
      <c r="B10" s="7">
        <v>42921</v>
      </c>
      <c r="C10" s="44">
        <f t="shared" si="1"/>
        <v>3</v>
      </c>
      <c r="D10" s="8">
        <v>15</v>
      </c>
    </row>
    <row r="11" spans="1:6">
      <c r="A11" s="6">
        <f t="shared" si="0"/>
        <v>42922</v>
      </c>
      <c r="B11" s="7">
        <v>42922</v>
      </c>
      <c r="C11" s="44">
        <f t="shared" si="1"/>
        <v>2</v>
      </c>
      <c r="D11" s="8">
        <v>17</v>
      </c>
    </row>
    <row r="12" spans="1:6">
      <c r="A12" s="6">
        <f t="shared" si="0"/>
        <v>42923</v>
      </c>
      <c r="B12" s="7">
        <v>42923</v>
      </c>
      <c r="C12" s="44">
        <f t="shared" si="1"/>
        <v>3</v>
      </c>
      <c r="D12" s="8">
        <v>20</v>
      </c>
    </row>
    <row r="13" spans="1:6">
      <c r="A13" s="6">
        <f t="shared" si="0"/>
        <v>42924</v>
      </c>
      <c r="B13" s="7">
        <v>42924</v>
      </c>
      <c r="C13" s="44">
        <f t="shared" si="1"/>
        <v>3</v>
      </c>
      <c r="D13" s="8">
        <v>23</v>
      </c>
      <c r="E13" s="14" t="s">
        <v>38</v>
      </c>
      <c r="F13" s="9">
        <f>AVERAGE(C13:C19)</f>
        <v>2.7142857142857144</v>
      </c>
    </row>
    <row r="14" spans="1:6">
      <c r="A14" s="6">
        <f t="shared" si="0"/>
        <v>42925</v>
      </c>
      <c r="B14" s="7">
        <v>42925</v>
      </c>
      <c r="C14" s="44">
        <f t="shared" si="1"/>
        <v>3</v>
      </c>
      <c r="D14" s="8">
        <f>18+8</f>
        <v>26</v>
      </c>
    </row>
    <row r="15" spans="1:6">
      <c r="A15" s="6">
        <f t="shared" si="0"/>
        <v>42926</v>
      </c>
      <c r="B15" s="7">
        <v>42926</v>
      </c>
      <c r="C15" s="44">
        <f t="shared" si="1"/>
        <v>2</v>
      </c>
      <c r="D15" s="8">
        <v>28</v>
      </c>
    </row>
    <row r="16" spans="1:6">
      <c r="A16" s="6">
        <f t="shared" si="0"/>
        <v>42927</v>
      </c>
      <c r="B16" s="7">
        <v>42927</v>
      </c>
      <c r="C16" s="44">
        <f t="shared" si="1"/>
        <v>1</v>
      </c>
      <c r="D16" s="8">
        <v>29</v>
      </c>
    </row>
    <row r="17" spans="1:6">
      <c r="A17" s="6">
        <f t="shared" si="0"/>
        <v>42928</v>
      </c>
      <c r="B17" s="7">
        <v>42928</v>
      </c>
      <c r="C17" s="44">
        <f t="shared" si="1"/>
        <v>5</v>
      </c>
      <c r="D17" s="8">
        <v>34</v>
      </c>
    </row>
    <row r="18" spans="1:6">
      <c r="A18" s="6">
        <f t="shared" si="0"/>
        <v>42929</v>
      </c>
      <c r="B18" s="7">
        <v>42929</v>
      </c>
      <c r="C18" s="44">
        <f t="shared" si="1"/>
        <v>1</v>
      </c>
      <c r="D18" s="8">
        <v>35</v>
      </c>
    </row>
    <row r="19" spans="1:6">
      <c r="A19" s="6">
        <f t="shared" si="0"/>
        <v>42930</v>
      </c>
      <c r="B19" s="7">
        <v>42930</v>
      </c>
      <c r="C19" s="44">
        <f t="shared" si="1"/>
        <v>4</v>
      </c>
      <c r="D19" s="8">
        <f>22+17</f>
        <v>39</v>
      </c>
    </row>
    <row r="20" spans="1:6">
      <c r="A20" s="6">
        <f t="shared" si="0"/>
        <v>42931</v>
      </c>
      <c r="B20" s="7">
        <v>42931</v>
      </c>
      <c r="C20" s="44">
        <f t="shared" si="1"/>
        <v>1</v>
      </c>
      <c r="D20" s="8">
        <f>23+17</f>
        <v>40</v>
      </c>
      <c r="E20" s="14" t="s">
        <v>39</v>
      </c>
      <c r="F20" s="9">
        <f>AVERAGE(C20:C26)</f>
        <v>2.8571428571428572</v>
      </c>
    </row>
    <row r="21" spans="1:6">
      <c r="A21" s="6">
        <f t="shared" si="0"/>
        <v>42932</v>
      </c>
      <c r="B21" s="7">
        <v>42932</v>
      </c>
      <c r="C21" s="44">
        <f t="shared" si="1"/>
        <v>4</v>
      </c>
      <c r="D21" s="8">
        <f>26+18</f>
        <v>44</v>
      </c>
    </row>
    <row r="22" spans="1:6">
      <c r="A22" s="6">
        <f t="shared" si="0"/>
        <v>42933</v>
      </c>
      <c r="B22" s="7">
        <v>42933</v>
      </c>
      <c r="C22" s="44">
        <f t="shared" si="1"/>
        <v>3</v>
      </c>
      <c r="D22" s="8">
        <v>47</v>
      </c>
    </row>
    <row r="23" spans="1:6">
      <c r="A23" s="6">
        <f t="shared" si="0"/>
        <v>42934</v>
      </c>
      <c r="B23" s="7">
        <v>42934</v>
      </c>
      <c r="C23" s="44">
        <f t="shared" si="1"/>
        <v>2</v>
      </c>
      <c r="D23" s="8">
        <v>49</v>
      </c>
    </row>
    <row r="24" spans="1:6">
      <c r="A24" s="6">
        <f t="shared" si="0"/>
        <v>42935</v>
      </c>
      <c r="B24" s="7">
        <v>42935</v>
      </c>
      <c r="C24" s="44">
        <f t="shared" si="1"/>
        <v>2</v>
      </c>
      <c r="D24" s="8">
        <v>51</v>
      </c>
    </row>
    <row r="25" spans="1:6">
      <c r="A25" s="6">
        <f t="shared" si="0"/>
        <v>42936</v>
      </c>
      <c r="B25" s="7">
        <v>42936</v>
      </c>
      <c r="C25" s="44">
        <f t="shared" si="1"/>
        <v>3</v>
      </c>
      <c r="D25" s="8">
        <v>54</v>
      </c>
    </row>
    <row r="26" spans="1:6">
      <c r="A26" s="6">
        <f t="shared" si="0"/>
        <v>42937</v>
      </c>
      <c r="B26" s="7">
        <v>42937</v>
      </c>
      <c r="C26" s="44">
        <f t="shared" si="1"/>
        <v>5</v>
      </c>
      <c r="D26" s="8">
        <f>34+25</f>
        <v>59</v>
      </c>
    </row>
    <row r="27" spans="1:6">
      <c r="A27" s="6">
        <f t="shared" si="0"/>
        <v>42938</v>
      </c>
      <c r="B27" s="7">
        <v>42938</v>
      </c>
      <c r="C27" s="44">
        <f t="shared" si="1"/>
        <v>2</v>
      </c>
      <c r="D27" s="8">
        <f>35+26</f>
        <v>61</v>
      </c>
      <c r="E27" s="14" t="s">
        <v>40</v>
      </c>
      <c r="F27" s="9">
        <f>AVERAGE(C27:C33)</f>
        <v>2.4285714285714284</v>
      </c>
    </row>
    <row r="28" spans="1:6">
      <c r="A28" s="6">
        <f t="shared" si="0"/>
        <v>42939</v>
      </c>
      <c r="B28" s="7">
        <v>42939</v>
      </c>
      <c r="C28" s="44">
        <f t="shared" si="1"/>
        <v>3</v>
      </c>
      <c r="D28" s="8">
        <f>37+27</f>
        <v>64</v>
      </c>
    </row>
    <row r="29" spans="1:6">
      <c r="A29" s="6">
        <f t="shared" si="0"/>
        <v>42940</v>
      </c>
      <c r="B29" s="7">
        <v>42940</v>
      </c>
      <c r="C29" s="44">
        <f t="shared" si="1"/>
        <v>2</v>
      </c>
      <c r="D29" s="8">
        <v>66</v>
      </c>
    </row>
    <row r="30" spans="1:6">
      <c r="A30" s="6">
        <f t="shared" si="0"/>
        <v>42941</v>
      </c>
      <c r="B30" s="7">
        <v>42941</v>
      </c>
      <c r="C30" s="44">
        <f t="shared" si="1"/>
        <v>1</v>
      </c>
      <c r="D30" s="8">
        <v>67</v>
      </c>
    </row>
    <row r="31" spans="1:6">
      <c r="A31" s="6">
        <f t="shared" si="0"/>
        <v>42942</v>
      </c>
      <c r="B31" s="7">
        <v>42942</v>
      </c>
      <c r="C31" s="44">
        <f t="shared" si="1"/>
        <v>3</v>
      </c>
      <c r="D31" s="8">
        <v>70</v>
      </c>
    </row>
    <row r="32" spans="1:6">
      <c r="A32" s="6">
        <f t="shared" si="0"/>
        <v>42943</v>
      </c>
      <c r="B32" s="7">
        <v>42943</v>
      </c>
      <c r="C32" s="44">
        <f t="shared" si="1"/>
        <v>2</v>
      </c>
      <c r="D32" s="8">
        <v>72</v>
      </c>
    </row>
    <row r="33" spans="1:4">
      <c r="A33" s="6">
        <f t="shared" si="0"/>
        <v>42944</v>
      </c>
      <c r="B33" s="7">
        <v>42944</v>
      </c>
      <c r="C33" s="44">
        <f t="shared" si="1"/>
        <v>4</v>
      </c>
      <c r="D33" s="8">
        <f>43+33</f>
        <v>76</v>
      </c>
    </row>
    <row r="34" spans="1:4">
      <c r="A34" s="6">
        <f t="shared" si="0"/>
        <v>42945</v>
      </c>
      <c r="B34" s="7">
        <v>42945</v>
      </c>
      <c r="C34" s="44">
        <f t="shared" si="1"/>
        <v>2</v>
      </c>
      <c r="D34" s="8">
        <f>44+34</f>
        <v>78</v>
      </c>
    </row>
    <row r="35" spans="1:4">
      <c r="A35" s="6">
        <f t="shared" si="0"/>
        <v>42946</v>
      </c>
      <c r="B35" s="7">
        <v>42946</v>
      </c>
      <c r="C35" s="44">
        <f t="shared" si="1"/>
        <v>2</v>
      </c>
      <c r="D35" s="8">
        <v>80</v>
      </c>
    </row>
    <row r="36" spans="1:4">
      <c r="A36" s="6">
        <f t="shared" si="0"/>
        <v>42947</v>
      </c>
      <c r="B36" s="7">
        <v>42947</v>
      </c>
      <c r="C36" s="14">
        <f t="shared" si="1"/>
        <v>2</v>
      </c>
      <c r="D36" s="9">
        <v>82</v>
      </c>
    </row>
    <row r="37" spans="1:4">
      <c r="B37" s="10" t="s">
        <v>6</v>
      </c>
      <c r="C37" s="11">
        <f>SUM(C6:C36)</f>
        <v>82</v>
      </c>
      <c r="D37" s="12"/>
    </row>
    <row r="38" spans="1:4">
      <c r="C38" s="13"/>
    </row>
    <row r="39" spans="1:4">
      <c r="B39" s="14" t="s">
        <v>7</v>
      </c>
      <c r="C39" s="9">
        <v>60</v>
      </c>
    </row>
    <row r="40" spans="1:4">
      <c r="B40" s="14" t="s">
        <v>8</v>
      </c>
      <c r="C40" s="9">
        <f>C37</f>
        <v>82</v>
      </c>
    </row>
    <row r="41" spans="1:4">
      <c r="B41" s="14" t="s">
        <v>9</v>
      </c>
      <c r="C41" s="9">
        <f>C39-C40</f>
        <v>-22</v>
      </c>
    </row>
    <row r="42" spans="1:4">
      <c r="B42" s="14" t="s">
        <v>10</v>
      </c>
      <c r="C42" s="15">
        <f>C40/C39</f>
        <v>1.3666666666666667</v>
      </c>
    </row>
    <row r="43" spans="1:4">
      <c r="B43" s="14" t="s">
        <v>11</v>
      </c>
      <c r="C43" s="9">
        <f>IF(C40&lt;C39,0,C40-C39)</f>
        <v>22</v>
      </c>
    </row>
    <row r="44" spans="1:4">
      <c r="B44" s="14" t="s">
        <v>12</v>
      </c>
      <c r="C44" s="9">
        <f ca="1">(C39-C37)/C48</f>
        <v>-0.73333333333333328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9" workbookViewId="0">
      <selection activeCell="E36" sqref="E36"/>
    </sheetView>
  </sheetViews>
  <sheetFormatPr baseColWidth="10" defaultColWidth="8.83203125" defaultRowHeight="14" x14ac:dyDescent="0"/>
  <cols>
    <col min="1" max="1" width="13.33203125" customWidth="1"/>
    <col min="2" max="2" width="20.83203125" customWidth="1"/>
    <col min="3" max="3" width="14.6640625" bestFit="1" customWidth="1"/>
    <col min="4" max="4" width="14.83203125" customWidth="1"/>
    <col min="5" max="5" width="11.5" bestFit="1" customWidth="1"/>
    <col min="6" max="6" width="7.83203125" bestFit="1" customWidth="1"/>
  </cols>
  <sheetData>
    <row r="2" spans="1:6">
      <c r="B2" s="1" t="s">
        <v>77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4</v>
      </c>
      <c r="D5" s="5" t="s">
        <v>5</v>
      </c>
    </row>
    <row r="6" spans="1:6">
      <c r="A6" s="6">
        <f t="shared" ref="A6:A36" si="0">B6</f>
        <v>42917</v>
      </c>
      <c r="B6" s="7">
        <v>42917</v>
      </c>
      <c r="C6" s="39">
        <f>D6</f>
        <v>0</v>
      </c>
      <c r="D6" s="8">
        <v>0</v>
      </c>
      <c r="E6" s="14" t="s">
        <v>37</v>
      </c>
      <c r="F6" s="9">
        <f>AVERAGE(C6:C12)</f>
        <v>0</v>
      </c>
    </row>
    <row r="7" spans="1:6">
      <c r="A7" s="6">
        <f t="shared" si="0"/>
        <v>42918</v>
      </c>
      <c r="B7" s="7">
        <v>42918</v>
      </c>
      <c r="C7" s="44">
        <f t="shared" ref="C7:C36" si="1">IF(D7-D6&lt;0,0,D7-D6)</f>
        <v>0</v>
      </c>
      <c r="D7" s="8">
        <v>0</v>
      </c>
    </row>
    <row r="8" spans="1:6">
      <c r="A8" s="6">
        <f t="shared" si="0"/>
        <v>42919</v>
      </c>
      <c r="B8" s="7">
        <v>42919</v>
      </c>
      <c r="C8" s="44">
        <f t="shared" si="1"/>
        <v>0</v>
      </c>
      <c r="D8" s="8">
        <v>0</v>
      </c>
    </row>
    <row r="9" spans="1:6">
      <c r="A9" s="6">
        <f t="shared" si="0"/>
        <v>42920</v>
      </c>
      <c r="B9" s="7">
        <v>42920</v>
      </c>
      <c r="C9" s="44">
        <f t="shared" si="1"/>
        <v>0</v>
      </c>
      <c r="D9" s="8">
        <v>0</v>
      </c>
    </row>
    <row r="10" spans="1:6">
      <c r="A10" s="6">
        <f t="shared" si="0"/>
        <v>42921</v>
      </c>
      <c r="B10" s="7">
        <v>42921</v>
      </c>
      <c r="C10" s="44">
        <f t="shared" si="1"/>
        <v>0</v>
      </c>
      <c r="D10" s="8">
        <v>0</v>
      </c>
    </row>
    <row r="11" spans="1:6">
      <c r="A11" s="6">
        <f t="shared" si="0"/>
        <v>42922</v>
      </c>
      <c r="B11" s="7">
        <v>42922</v>
      </c>
      <c r="C11" s="44">
        <f t="shared" si="1"/>
        <v>0</v>
      </c>
      <c r="D11" s="8">
        <v>0</v>
      </c>
    </row>
    <row r="12" spans="1:6">
      <c r="A12" s="6">
        <f t="shared" si="0"/>
        <v>42923</v>
      </c>
      <c r="B12" s="7">
        <v>42923</v>
      </c>
      <c r="C12" s="44">
        <f t="shared" si="1"/>
        <v>0</v>
      </c>
      <c r="D12" s="8">
        <v>0</v>
      </c>
    </row>
    <row r="13" spans="1:6">
      <c r="A13" s="6">
        <f t="shared" si="0"/>
        <v>42924</v>
      </c>
      <c r="B13" s="7">
        <v>42924</v>
      </c>
      <c r="C13" s="44">
        <f t="shared" si="1"/>
        <v>0</v>
      </c>
      <c r="D13" s="8">
        <v>0</v>
      </c>
      <c r="E13" s="14" t="s">
        <v>38</v>
      </c>
      <c r="F13" s="9">
        <f>AVERAGE(C13:C19)</f>
        <v>0</v>
      </c>
    </row>
    <row r="14" spans="1:6">
      <c r="A14" s="6">
        <f t="shared" si="0"/>
        <v>42925</v>
      </c>
      <c r="B14" s="7">
        <v>42925</v>
      </c>
      <c r="C14" s="44">
        <f t="shared" si="1"/>
        <v>0</v>
      </c>
      <c r="D14" s="8">
        <v>0</v>
      </c>
    </row>
    <row r="15" spans="1:6">
      <c r="A15" s="6">
        <f t="shared" si="0"/>
        <v>42926</v>
      </c>
      <c r="B15" s="7">
        <v>42926</v>
      </c>
      <c r="C15" s="44">
        <f t="shared" si="1"/>
        <v>0</v>
      </c>
      <c r="D15" s="8">
        <v>0</v>
      </c>
    </row>
    <row r="16" spans="1:6">
      <c r="A16" s="6">
        <f t="shared" si="0"/>
        <v>42927</v>
      </c>
      <c r="B16" s="7">
        <v>42927</v>
      </c>
      <c r="C16" s="44">
        <f t="shared" si="1"/>
        <v>0</v>
      </c>
      <c r="D16" s="8">
        <v>0</v>
      </c>
    </row>
    <row r="17" spans="1:6">
      <c r="A17" s="6">
        <f t="shared" si="0"/>
        <v>42928</v>
      </c>
      <c r="B17" s="7">
        <v>42928</v>
      </c>
      <c r="C17" s="44">
        <f t="shared" si="1"/>
        <v>0</v>
      </c>
      <c r="D17" s="8">
        <v>0</v>
      </c>
    </row>
    <row r="18" spans="1:6">
      <c r="A18" s="6">
        <f t="shared" si="0"/>
        <v>42929</v>
      </c>
      <c r="B18" s="7">
        <v>42929</v>
      </c>
      <c r="C18" s="44">
        <f t="shared" si="1"/>
        <v>0</v>
      </c>
      <c r="D18" s="8">
        <v>0</v>
      </c>
    </row>
    <row r="19" spans="1:6">
      <c r="A19" s="6">
        <f t="shared" si="0"/>
        <v>42930</v>
      </c>
      <c r="B19" s="7">
        <v>42930</v>
      </c>
      <c r="C19" s="44">
        <f t="shared" si="1"/>
        <v>0</v>
      </c>
      <c r="D19" s="8">
        <v>0</v>
      </c>
    </row>
    <row r="20" spans="1:6">
      <c r="A20" s="6">
        <f t="shared" si="0"/>
        <v>42931</v>
      </c>
      <c r="B20" s="7">
        <v>42931</v>
      </c>
      <c r="C20" s="44">
        <f t="shared" si="1"/>
        <v>0</v>
      </c>
      <c r="D20" s="8">
        <v>0</v>
      </c>
      <c r="E20" s="14" t="s">
        <v>39</v>
      </c>
      <c r="F20" s="9">
        <f>AVERAGE(C20:C26)</f>
        <v>0.14285714285714285</v>
      </c>
    </row>
    <row r="21" spans="1:6">
      <c r="A21" s="6">
        <f t="shared" si="0"/>
        <v>42932</v>
      </c>
      <c r="B21" s="7">
        <v>42932</v>
      </c>
      <c r="C21" s="44">
        <f t="shared" si="1"/>
        <v>0</v>
      </c>
      <c r="D21" s="8">
        <v>0</v>
      </c>
    </row>
    <row r="22" spans="1:6">
      <c r="A22" s="6">
        <f t="shared" si="0"/>
        <v>42933</v>
      </c>
      <c r="B22" s="7">
        <v>42933</v>
      </c>
      <c r="C22" s="44">
        <f t="shared" si="1"/>
        <v>0</v>
      </c>
      <c r="D22" s="8">
        <v>0</v>
      </c>
    </row>
    <row r="23" spans="1:6">
      <c r="A23" s="6">
        <f t="shared" si="0"/>
        <v>42934</v>
      </c>
      <c r="B23" s="7">
        <v>42934</v>
      </c>
      <c r="C23" s="44">
        <f t="shared" si="1"/>
        <v>0</v>
      </c>
      <c r="D23" s="8">
        <v>0</v>
      </c>
    </row>
    <row r="24" spans="1:6">
      <c r="A24" s="6">
        <f t="shared" si="0"/>
        <v>42935</v>
      </c>
      <c r="B24" s="7">
        <v>42935</v>
      </c>
      <c r="C24" s="44">
        <f t="shared" si="1"/>
        <v>1</v>
      </c>
      <c r="D24" s="8">
        <v>1</v>
      </c>
    </row>
    <row r="25" spans="1:6">
      <c r="A25" s="6">
        <f t="shared" si="0"/>
        <v>42936</v>
      </c>
      <c r="B25" s="7">
        <v>42936</v>
      </c>
      <c r="C25" s="44">
        <f t="shared" si="1"/>
        <v>0</v>
      </c>
      <c r="D25" s="8">
        <v>1</v>
      </c>
    </row>
    <row r="26" spans="1:6">
      <c r="A26" s="6">
        <f t="shared" si="0"/>
        <v>42937</v>
      </c>
      <c r="B26" s="7">
        <v>42937</v>
      </c>
      <c r="C26" s="44">
        <f t="shared" si="1"/>
        <v>0</v>
      </c>
      <c r="D26" s="8">
        <v>1</v>
      </c>
    </row>
    <row r="27" spans="1:6">
      <c r="A27" s="6">
        <f t="shared" si="0"/>
        <v>42938</v>
      </c>
      <c r="B27" s="7">
        <v>42938</v>
      </c>
      <c r="C27" s="44">
        <f t="shared" si="1"/>
        <v>0</v>
      </c>
      <c r="D27" s="8">
        <v>1</v>
      </c>
      <c r="E27" s="14" t="s">
        <v>40</v>
      </c>
      <c r="F27" s="9">
        <f>AVERAGE(C27:C33)</f>
        <v>0</v>
      </c>
    </row>
    <row r="28" spans="1:6">
      <c r="A28" s="6">
        <f t="shared" si="0"/>
        <v>42939</v>
      </c>
      <c r="B28" s="7">
        <v>42939</v>
      </c>
      <c r="C28" s="44">
        <f t="shared" si="1"/>
        <v>0</v>
      </c>
      <c r="D28" s="8">
        <v>1</v>
      </c>
    </row>
    <row r="29" spans="1:6">
      <c r="A29" s="6">
        <f t="shared" si="0"/>
        <v>42940</v>
      </c>
      <c r="B29" s="7">
        <v>42940</v>
      </c>
      <c r="C29" s="44">
        <f t="shared" si="1"/>
        <v>0</v>
      </c>
      <c r="D29" s="8">
        <v>1</v>
      </c>
    </row>
    <row r="30" spans="1:6">
      <c r="A30" s="6">
        <f t="shared" si="0"/>
        <v>42941</v>
      </c>
      <c r="B30" s="7">
        <v>42941</v>
      </c>
      <c r="C30" s="44">
        <f t="shared" si="1"/>
        <v>0</v>
      </c>
      <c r="D30" s="8">
        <v>1</v>
      </c>
    </row>
    <row r="31" spans="1:6">
      <c r="A31" s="6">
        <f t="shared" si="0"/>
        <v>42942</v>
      </c>
      <c r="B31" s="7">
        <v>42942</v>
      </c>
      <c r="C31" s="44">
        <f t="shared" si="1"/>
        <v>0</v>
      </c>
      <c r="D31" s="8">
        <v>1</v>
      </c>
    </row>
    <row r="32" spans="1:6">
      <c r="A32" s="6">
        <f t="shared" si="0"/>
        <v>42943</v>
      </c>
      <c r="B32" s="7">
        <v>42943</v>
      </c>
      <c r="C32" s="44">
        <f t="shared" si="1"/>
        <v>0</v>
      </c>
      <c r="D32" s="8">
        <v>1</v>
      </c>
    </row>
    <row r="33" spans="1:4">
      <c r="A33" s="6">
        <f t="shared" si="0"/>
        <v>42944</v>
      </c>
      <c r="B33" s="7">
        <v>42944</v>
      </c>
      <c r="C33" s="44">
        <f t="shared" si="1"/>
        <v>0</v>
      </c>
      <c r="D33" s="8">
        <v>1</v>
      </c>
    </row>
    <row r="34" spans="1:4">
      <c r="A34" s="6">
        <f t="shared" si="0"/>
        <v>42945</v>
      </c>
      <c r="B34" s="7">
        <v>42945</v>
      </c>
      <c r="C34" s="44">
        <f t="shared" si="1"/>
        <v>0</v>
      </c>
      <c r="D34" s="8">
        <v>1</v>
      </c>
    </row>
    <row r="35" spans="1:4">
      <c r="A35" s="6">
        <f t="shared" si="0"/>
        <v>42946</v>
      </c>
      <c r="B35" s="7">
        <v>42946</v>
      </c>
      <c r="C35" s="44">
        <f t="shared" si="1"/>
        <v>0</v>
      </c>
      <c r="D35" s="8">
        <v>1</v>
      </c>
    </row>
    <row r="36" spans="1:4">
      <c r="A36" s="6">
        <f t="shared" si="0"/>
        <v>42947</v>
      </c>
      <c r="B36" s="7">
        <v>42947</v>
      </c>
      <c r="C36" s="14">
        <f t="shared" si="1"/>
        <v>0</v>
      </c>
      <c r="D36" s="9">
        <v>1</v>
      </c>
    </row>
    <row r="37" spans="1:4">
      <c r="B37" s="10" t="s">
        <v>6</v>
      </c>
      <c r="C37" s="11">
        <f>SUM(C6:C36)</f>
        <v>1</v>
      </c>
      <c r="D37" s="12"/>
    </row>
    <row r="38" spans="1:4">
      <c r="C38" s="13"/>
    </row>
    <row r="39" spans="1:4">
      <c r="B39" s="14" t="s">
        <v>7</v>
      </c>
      <c r="C39" s="9">
        <v>0</v>
      </c>
    </row>
    <row r="40" spans="1:4">
      <c r="B40" s="14" t="s">
        <v>8</v>
      </c>
      <c r="C40" s="9">
        <f>C37</f>
        <v>1</v>
      </c>
    </row>
    <row r="41" spans="1:4">
      <c r="B41" s="14" t="s">
        <v>9</v>
      </c>
      <c r="C41" s="9">
        <f>C39-C40</f>
        <v>-1</v>
      </c>
    </row>
    <row r="42" spans="1:4">
      <c r="B42" s="14" t="s">
        <v>10</v>
      </c>
      <c r="C42" s="15" t="e">
        <f>C40/C39</f>
        <v>#DIV/0!</v>
      </c>
    </row>
    <row r="43" spans="1:4">
      <c r="B43" s="14" t="s">
        <v>11</v>
      </c>
      <c r="C43" s="9">
        <f>IF(C40&lt;C39,0,C40-C39)</f>
        <v>1</v>
      </c>
    </row>
    <row r="44" spans="1:4">
      <c r="B44" s="14" t="s">
        <v>12</v>
      </c>
      <c r="C44" s="9">
        <f ca="1">(C39-C37)/C48</f>
        <v>-3.3333333333333333E-2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4"/>
  <sheetViews>
    <sheetView showGridLines="0" workbookViewId="0">
      <selection activeCell="C38" sqref="C38"/>
    </sheetView>
  </sheetViews>
  <sheetFormatPr baseColWidth="10" defaultColWidth="8.83203125" defaultRowHeight="14" x14ac:dyDescent="0"/>
  <cols>
    <col min="1" max="1" width="11.6640625" customWidth="1"/>
    <col min="2" max="2" width="18.33203125" customWidth="1"/>
    <col min="3" max="3" width="15.83203125" bestFit="1" customWidth="1"/>
    <col min="4" max="4" width="14.83203125" customWidth="1"/>
  </cols>
  <sheetData>
    <row r="2" spans="1:4">
      <c r="B2" s="1" t="s">
        <v>72</v>
      </c>
    </row>
    <row r="4" spans="1:4">
      <c r="B4" s="2" t="s">
        <v>1</v>
      </c>
      <c r="C4" s="2"/>
    </row>
    <row r="5" spans="1:4">
      <c r="A5" s="3" t="s">
        <v>2</v>
      </c>
      <c r="B5" s="4" t="s">
        <v>3</v>
      </c>
      <c r="C5" s="5" t="s">
        <v>5</v>
      </c>
    </row>
    <row r="6" spans="1:4" ht="15">
      <c r="A6" s="6">
        <f t="shared" ref="A6:A36" si="0">B6</f>
        <v>42917</v>
      </c>
      <c r="B6" s="7">
        <v>42917</v>
      </c>
      <c r="C6" s="62">
        <v>494</v>
      </c>
      <c r="D6" s="36"/>
    </row>
    <row r="7" spans="1:4" ht="15">
      <c r="A7" s="6">
        <f t="shared" si="0"/>
        <v>42918</v>
      </c>
      <c r="B7" s="7">
        <v>42918</v>
      </c>
      <c r="C7" s="62">
        <v>366</v>
      </c>
      <c r="D7" s="36"/>
    </row>
    <row r="8" spans="1:4" ht="15">
      <c r="A8" s="6">
        <f t="shared" si="0"/>
        <v>42919</v>
      </c>
      <c r="B8" s="7">
        <v>42919</v>
      </c>
      <c r="C8" s="62">
        <v>0</v>
      </c>
      <c r="D8" s="36"/>
    </row>
    <row r="9" spans="1:4" ht="15">
      <c r="A9" s="6">
        <f t="shared" si="0"/>
        <v>42920</v>
      </c>
      <c r="B9" s="7">
        <v>42920</v>
      </c>
      <c r="C9" s="62">
        <v>0</v>
      </c>
      <c r="D9" s="36"/>
    </row>
    <row r="10" spans="1:4" ht="15">
      <c r="A10" s="6">
        <f t="shared" si="0"/>
        <v>42921</v>
      </c>
      <c r="B10" s="7">
        <v>42921</v>
      </c>
      <c r="C10" s="62">
        <v>414</v>
      </c>
      <c r="D10" s="36"/>
    </row>
    <row r="11" spans="1:4" ht="15">
      <c r="A11" s="6">
        <f t="shared" si="0"/>
        <v>42922</v>
      </c>
      <c r="B11" s="7">
        <v>42922</v>
      </c>
      <c r="C11" s="62">
        <v>606</v>
      </c>
      <c r="D11" s="36"/>
    </row>
    <row r="12" spans="1:4" ht="15">
      <c r="A12" s="6">
        <f t="shared" si="0"/>
        <v>42923</v>
      </c>
      <c r="B12" s="7">
        <v>42923</v>
      </c>
      <c r="C12" s="62">
        <v>548</v>
      </c>
      <c r="D12" s="36"/>
    </row>
    <row r="13" spans="1:4">
      <c r="A13" s="6">
        <f t="shared" si="0"/>
        <v>42924</v>
      </c>
      <c r="B13" s="7">
        <v>42924</v>
      </c>
      <c r="C13" s="8">
        <v>351</v>
      </c>
      <c r="D13" s="36"/>
    </row>
    <row r="14" spans="1:4">
      <c r="A14" s="6">
        <f t="shared" si="0"/>
        <v>42925</v>
      </c>
      <c r="B14" s="7">
        <v>42925</v>
      </c>
      <c r="C14" s="8">
        <v>372</v>
      </c>
      <c r="D14" s="36"/>
    </row>
    <row r="15" spans="1:4">
      <c r="A15" s="6">
        <f t="shared" si="0"/>
        <v>42926</v>
      </c>
      <c r="B15" s="7">
        <v>42926</v>
      </c>
      <c r="C15" s="8">
        <v>649</v>
      </c>
      <c r="D15" s="36"/>
    </row>
    <row r="16" spans="1:4">
      <c r="A16" s="6">
        <f t="shared" si="0"/>
        <v>42927</v>
      </c>
      <c r="B16" s="7">
        <v>42927</v>
      </c>
      <c r="C16" s="8">
        <v>854</v>
      </c>
      <c r="D16" s="36"/>
    </row>
    <row r="17" spans="1:4">
      <c r="A17" s="6">
        <f t="shared" si="0"/>
        <v>42928</v>
      </c>
      <c r="B17" s="7">
        <v>42928</v>
      </c>
      <c r="C17" s="8">
        <v>888</v>
      </c>
      <c r="D17" s="36"/>
    </row>
    <row r="18" spans="1:4">
      <c r="A18" s="6">
        <f t="shared" si="0"/>
        <v>42929</v>
      </c>
      <c r="B18" s="7">
        <v>42929</v>
      </c>
      <c r="C18" s="8">
        <v>869</v>
      </c>
      <c r="D18" s="36"/>
    </row>
    <row r="19" spans="1:4">
      <c r="A19" s="6">
        <f t="shared" si="0"/>
        <v>42930</v>
      </c>
      <c r="B19" s="7">
        <v>42930</v>
      </c>
      <c r="C19" s="8">
        <v>615</v>
      </c>
      <c r="D19" s="36"/>
    </row>
    <row r="20" spans="1:4">
      <c r="A20" s="6">
        <f t="shared" si="0"/>
        <v>42931</v>
      </c>
      <c r="B20" s="7">
        <v>42931</v>
      </c>
      <c r="C20" s="8">
        <v>479</v>
      </c>
      <c r="D20" s="36"/>
    </row>
    <row r="21" spans="1:4">
      <c r="A21" s="6">
        <f t="shared" si="0"/>
        <v>42932</v>
      </c>
      <c r="B21" s="7">
        <v>42932</v>
      </c>
      <c r="C21" s="8">
        <v>475</v>
      </c>
      <c r="D21" s="36"/>
    </row>
    <row r="22" spans="1:4">
      <c r="A22" s="6">
        <f t="shared" si="0"/>
        <v>42933</v>
      </c>
      <c r="B22" s="7">
        <v>42933</v>
      </c>
      <c r="C22" s="8">
        <v>900</v>
      </c>
      <c r="D22" s="36"/>
    </row>
    <row r="23" spans="1:4">
      <c r="A23" s="6">
        <f t="shared" si="0"/>
        <v>42934</v>
      </c>
      <c r="B23" s="7">
        <v>42934</v>
      </c>
      <c r="C23" s="8">
        <v>910</v>
      </c>
      <c r="D23" s="36"/>
    </row>
    <row r="24" spans="1:4">
      <c r="A24" s="6">
        <f t="shared" si="0"/>
        <v>42935</v>
      </c>
      <c r="B24" s="7">
        <v>42935</v>
      </c>
      <c r="C24" s="8">
        <v>867</v>
      </c>
      <c r="D24" s="36"/>
    </row>
    <row r="25" spans="1:4">
      <c r="A25" s="6">
        <f t="shared" si="0"/>
        <v>42936</v>
      </c>
      <c r="B25" s="7">
        <v>42936</v>
      </c>
      <c r="C25" s="8">
        <v>781</v>
      </c>
      <c r="D25" s="36"/>
    </row>
    <row r="26" spans="1:4">
      <c r="A26" s="6">
        <f t="shared" si="0"/>
        <v>42937</v>
      </c>
      <c r="B26" s="7">
        <v>42937</v>
      </c>
      <c r="C26" s="8">
        <v>699</v>
      </c>
      <c r="D26" s="36"/>
    </row>
    <row r="27" spans="1:4">
      <c r="A27" s="6">
        <f t="shared" si="0"/>
        <v>42938</v>
      </c>
      <c r="B27" s="7">
        <v>42938</v>
      </c>
      <c r="C27" s="8">
        <v>459</v>
      </c>
      <c r="D27" s="36"/>
    </row>
    <row r="28" spans="1:4">
      <c r="A28" s="6">
        <f t="shared" si="0"/>
        <v>42939</v>
      </c>
      <c r="B28" s="7">
        <v>42939</v>
      </c>
      <c r="C28" s="8">
        <v>522</v>
      </c>
      <c r="D28" s="36"/>
    </row>
    <row r="29" spans="1:4">
      <c r="A29" s="6">
        <f t="shared" si="0"/>
        <v>42940</v>
      </c>
      <c r="B29" s="7">
        <v>42940</v>
      </c>
      <c r="C29" s="8">
        <v>856</v>
      </c>
      <c r="D29" s="36"/>
    </row>
    <row r="30" spans="1:4">
      <c r="A30" s="6">
        <f t="shared" si="0"/>
        <v>42941</v>
      </c>
      <c r="B30" s="7">
        <v>42941</v>
      </c>
      <c r="C30" s="8">
        <v>852</v>
      </c>
      <c r="D30" s="36"/>
    </row>
    <row r="31" spans="1:4">
      <c r="A31" s="6">
        <f t="shared" si="0"/>
        <v>42942</v>
      </c>
      <c r="B31" s="7">
        <v>42942</v>
      </c>
      <c r="C31" s="52">
        <v>846</v>
      </c>
      <c r="D31" s="36"/>
    </row>
    <row r="32" spans="1:4">
      <c r="A32" s="6">
        <f t="shared" si="0"/>
        <v>42943</v>
      </c>
      <c r="B32" s="7">
        <v>42943</v>
      </c>
      <c r="C32" s="8">
        <v>787</v>
      </c>
      <c r="D32" s="36"/>
    </row>
    <row r="33" spans="1:4">
      <c r="A33" s="6">
        <f t="shared" si="0"/>
        <v>42944</v>
      </c>
      <c r="B33" s="7">
        <v>42944</v>
      </c>
      <c r="C33" s="52">
        <v>650</v>
      </c>
      <c r="D33" s="36"/>
    </row>
    <row r="34" spans="1:4" ht="16.5" customHeight="1">
      <c r="A34" s="6">
        <f t="shared" si="0"/>
        <v>42945</v>
      </c>
      <c r="B34" s="7">
        <v>42945</v>
      </c>
      <c r="C34" s="8">
        <v>391</v>
      </c>
      <c r="D34" s="36"/>
    </row>
    <row r="35" spans="1:4">
      <c r="A35" s="6">
        <f t="shared" si="0"/>
        <v>42946</v>
      </c>
      <c r="B35" s="7">
        <v>42946</v>
      </c>
      <c r="C35" s="8">
        <v>447</v>
      </c>
      <c r="D35" s="36"/>
    </row>
    <row r="36" spans="1:4">
      <c r="A36" s="6">
        <f t="shared" si="0"/>
        <v>42947</v>
      </c>
      <c r="B36" s="7">
        <v>42947</v>
      </c>
      <c r="C36" s="9">
        <v>739</v>
      </c>
    </row>
    <row r="37" spans="1:4">
      <c r="B37" s="10" t="s">
        <v>6</v>
      </c>
      <c r="C37" s="11">
        <f>SUM(C6:C36)</f>
        <v>18686</v>
      </c>
      <c r="D37" s="12"/>
    </row>
    <row r="38" spans="1:4">
      <c r="C38" s="13"/>
    </row>
    <row r="39" spans="1:4">
      <c r="B39" s="14" t="s">
        <v>7</v>
      </c>
      <c r="C39" s="9">
        <v>52849</v>
      </c>
    </row>
    <row r="40" spans="1:4">
      <c r="B40" s="14" t="s">
        <v>8</v>
      </c>
      <c r="C40" s="9">
        <f>C37</f>
        <v>18686</v>
      </c>
    </row>
    <row r="41" spans="1:4">
      <c r="B41" s="14" t="s">
        <v>9</v>
      </c>
      <c r="C41" s="9">
        <f>C39-C40</f>
        <v>34163</v>
      </c>
    </row>
    <row r="42" spans="1:4">
      <c r="B42" s="14" t="s">
        <v>10</v>
      </c>
      <c r="C42" s="15">
        <f>C40/C39</f>
        <v>0.35357338833279722</v>
      </c>
    </row>
    <row r="43" spans="1:4">
      <c r="B43" s="14" t="s">
        <v>11</v>
      </c>
      <c r="C43" s="9">
        <f>IF(C40&lt;C39,0,C40-C39)</f>
        <v>0</v>
      </c>
    </row>
    <row r="44" spans="1:4">
      <c r="B44" s="14" t="s">
        <v>12</v>
      </c>
      <c r="C44" s="9">
        <f ca="1">(C39-C37)/C48</f>
        <v>1138.7666666666667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51" t="s">
        <v>20</v>
      </c>
    </row>
    <row r="58" spans="2:4">
      <c r="B58" s="53"/>
    </row>
    <row r="59" spans="2:4">
      <c r="B59" s="53"/>
    </row>
    <row r="60" spans="2:4">
      <c r="B60" s="53"/>
    </row>
    <row r="61" spans="2:4">
      <c r="B61" s="53"/>
    </row>
    <row r="62" spans="2:4">
      <c r="B62" s="53"/>
    </row>
    <row r="63" spans="2:4">
      <c r="B63" s="53"/>
    </row>
    <row r="64" spans="2:4">
      <c r="B64" s="53"/>
    </row>
    <row r="65" spans="2:2">
      <c r="B65" s="53"/>
    </row>
    <row r="66" spans="2:2">
      <c r="B66" s="53"/>
    </row>
    <row r="67" spans="2:2">
      <c r="B67" s="53"/>
    </row>
    <row r="68" spans="2:2">
      <c r="B68" s="53"/>
    </row>
    <row r="69" spans="2:2">
      <c r="B69" s="53"/>
    </row>
    <row r="70" spans="2:2">
      <c r="B70" s="53"/>
    </row>
    <row r="71" spans="2:2">
      <c r="B71" s="53"/>
    </row>
    <row r="72" spans="2:2">
      <c r="B72" s="53"/>
    </row>
    <row r="73" spans="2:2">
      <c r="B73" s="53"/>
    </row>
    <row r="74" spans="2:2">
      <c r="B74" s="5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workbookViewId="0">
      <selection activeCell="D37" sqref="D37"/>
    </sheetView>
  </sheetViews>
  <sheetFormatPr baseColWidth="10" defaultColWidth="8.83203125" defaultRowHeight="14" x14ac:dyDescent="0"/>
  <cols>
    <col min="1" max="1" width="13.33203125" customWidth="1"/>
    <col min="2" max="2" width="20.83203125" customWidth="1"/>
    <col min="3" max="3" width="14.6640625" bestFit="1" customWidth="1"/>
    <col min="4" max="4" width="14.83203125" customWidth="1"/>
    <col min="5" max="5" width="11.5" bestFit="1" customWidth="1"/>
    <col min="6" max="6" width="7.83203125" bestFit="1" customWidth="1"/>
  </cols>
  <sheetData>
    <row r="2" spans="1:6">
      <c r="B2" s="1" t="s">
        <v>71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4</v>
      </c>
      <c r="D5" s="5" t="s">
        <v>5</v>
      </c>
    </row>
    <row r="6" spans="1:6">
      <c r="A6" s="6">
        <f t="shared" ref="A6:A36" si="0">B6</f>
        <v>42917</v>
      </c>
      <c r="B6" s="7">
        <v>42917</v>
      </c>
      <c r="C6" s="39">
        <f>D6</f>
        <v>2</v>
      </c>
      <c r="D6" s="8">
        <v>2</v>
      </c>
      <c r="E6" s="14" t="s">
        <v>37</v>
      </c>
      <c r="F6" s="9">
        <f>AVERAGE(C6:C12)</f>
        <v>2.7142857142857144</v>
      </c>
    </row>
    <row r="7" spans="1:6">
      <c r="A7" s="6">
        <f t="shared" si="0"/>
        <v>42918</v>
      </c>
      <c r="B7" s="7">
        <v>42918</v>
      </c>
      <c r="C7" s="44">
        <f t="shared" ref="C7:C36" si="1">IF(D7-D6&lt;0,0,D7-D6)</f>
        <v>3</v>
      </c>
      <c r="D7" s="8">
        <v>5</v>
      </c>
    </row>
    <row r="8" spans="1:6">
      <c r="A8" s="6">
        <f t="shared" si="0"/>
        <v>42919</v>
      </c>
      <c r="B8" s="7">
        <v>42919</v>
      </c>
      <c r="C8" s="44">
        <f t="shared" si="1"/>
        <v>1</v>
      </c>
      <c r="D8" s="8">
        <v>6</v>
      </c>
    </row>
    <row r="9" spans="1:6">
      <c r="A9" s="6">
        <f t="shared" si="0"/>
        <v>42920</v>
      </c>
      <c r="B9" s="7">
        <v>42920</v>
      </c>
      <c r="C9" s="44">
        <f t="shared" si="1"/>
        <v>1</v>
      </c>
      <c r="D9" s="8">
        <v>7</v>
      </c>
    </row>
    <row r="10" spans="1:6">
      <c r="A10" s="6">
        <f t="shared" si="0"/>
        <v>42921</v>
      </c>
      <c r="B10" s="7">
        <v>42921</v>
      </c>
      <c r="C10" s="44">
        <f t="shared" si="1"/>
        <v>5</v>
      </c>
      <c r="D10" s="8">
        <v>12</v>
      </c>
    </row>
    <row r="11" spans="1:6">
      <c r="A11" s="6">
        <f t="shared" si="0"/>
        <v>42922</v>
      </c>
      <c r="B11" s="7">
        <v>42922</v>
      </c>
      <c r="C11" s="44">
        <f t="shared" si="1"/>
        <v>3</v>
      </c>
      <c r="D11" s="8">
        <v>15</v>
      </c>
    </row>
    <row r="12" spans="1:6">
      <c r="A12" s="6">
        <f t="shared" si="0"/>
        <v>42923</v>
      </c>
      <c r="B12" s="7">
        <v>42923</v>
      </c>
      <c r="C12" s="44">
        <f t="shared" si="1"/>
        <v>4</v>
      </c>
      <c r="D12" s="8">
        <v>19</v>
      </c>
    </row>
    <row r="13" spans="1:6">
      <c r="A13" s="6">
        <f t="shared" si="0"/>
        <v>42924</v>
      </c>
      <c r="B13" s="7">
        <v>42924</v>
      </c>
      <c r="C13" s="44">
        <f t="shared" si="1"/>
        <v>1</v>
      </c>
      <c r="D13" s="8">
        <f>11+9</f>
        <v>20</v>
      </c>
      <c r="E13" s="14" t="s">
        <v>38</v>
      </c>
      <c r="F13" s="9">
        <f>AVERAGE(C13:C19)</f>
        <v>3</v>
      </c>
    </row>
    <row r="14" spans="1:6">
      <c r="A14" s="6">
        <f t="shared" si="0"/>
        <v>42925</v>
      </c>
      <c r="B14" s="7">
        <v>42925</v>
      </c>
      <c r="C14" s="44">
        <f t="shared" si="1"/>
        <v>0</v>
      </c>
      <c r="D14" s="8">
        <f>11+9</f>
        <v>20</v>
      </c>
    </row>
    <row r="15" spans="1:6">
      <c r="A15" s="6">
        <f t="shared" si="0"/>
        <v>42926</v>
      </c>
      <c r="B15" s="7">
        <v>42926</v>
      </c>
      <c r="C15" s="44">
        <f t="shared" si="1"/>
        <v>5</v>
      </c>
      <c r="D15" s="8">
        <v>25</v>
      </c>
    </row>
    <row r="16" spans="1:6">
      <c r="A16" s="6">
        <f t="shared" si="0"/>
        <v>42927</v>
      </c>
      <c r="B16" s="7">
        <v>42927</v>
      </c>
      <c r="C16" s="44">
        <f t="shared" si="1"/>
        <v>6</v>
      </c>
      <c r="D16" s="8">
        <v>31</v>
      </c>
    </row>
    <row r="17" spans="1:6">
      <c r="A17" s="6">
        <f t="shared" si="0"/>
        <v>42928</v>
      </c>
      <c r="B17" s="7">
        <v>42928</v>
      </c>
      <c r="C17" s="44">
        <f t="shared" si="1"/>
        <v>3</v>
      </c>
      <c r="D17" s="8">
        <v>34</v>
      </c>
    </row>
    <row r="18" spans="1:6">
      <c r="A18" s="6">
        <f t="shared" si="0"/>
        <v>42929</v>
      </c>
      <c r="B18" s="7">
        <v>42929</v>
      </c>
      <c r="C18" s="44">
        <f t="shared" si="1"/>
        <v>4</v>
      </c>
      <c r="D18" s="8">
        <v>38</v>
      </c>
    </row>
    <row r="19" spans="1:6">
      <c r="A19" s="6">
        <f t="shared" si="0"/>
        <v>42930</v>
      </c>
      <c r="B19" s="7">
        <v>42930</v>
      </c>
      <c r="C19" s="44">
        <f t="shared" si="1"/>
        <v>2</v>
      </c>
      <c r="D19" s="8">
        <f>23+17</f>
        <v>40</v>
      </c>
    </row>
    <row r="20" spans="1:6">
      <c r="A20" s="6">
        <f t="shared" si="0"/>
        <v>42931</v>
      </c>
      <c r="B20" s="7">
        <v>42931</v>
      </c>
      <c r="C20" s="44">
        <f t="shared" si="1"/>
        <v>5</v>
      </c>
      <c r="D20" s="8">
        <f>27+18</f>
        <v>45</v>
      </c>
      <c r="E20" s="14" t="s">
        <v>39</v>
      </c>
      <c r="F20" s="9">
        <f>AVERAGE(C20:C26)</f>
        <v>3.4285714285714284</v>
      </c>
    </row>
    <row r="21" spans="1:6">
      <c r="A21" s="6">
        <f t="shared" si="0"/>
        <v>42932</v>
      </c>
      <c r="B21" s="7">
        <v>42932</v>
      </c>
      <c r="C21" s="44">
        <f t="shared" si="1"/>
        <v>5</v>
      </c>
      <c r="D21" s="8">
        <f>28+22</f>
        <v>50</v>
      </c>
    </row>
    <row r="22" spans="1:6">
      <c r="A22" s="6">
        <f t="shared" si="0"/>
        <v>42933</v>
      </c>
      <c r="B22" s="7">
        <v>42933</v>
      </c>
      <c r="C22" s="44">
        <f t="shared" si="1"/>
        <v>4</v>
      </c>
      <c r="D22" s="8">
        <v>54</v>
      </c>
    </row>
    <row r="23" spans="1:6">
      <c r="A23" s="6">
        <f t="shared" si="0"/>
        <v>42934</v>
      </c>
      <c r="B23" s="7">
        <v>42934</v>
      </c>
      <c r="C23" s="44">
        <f t="shared" si="1"/>
        <v>1</v>
      </c>
      <c r="D23" s="8">
        <v>55</v>
      </c>
    </row>
    <row r="24" spans="1:6">
      <c r="A24" s="6">
        <f t="shared" si="0"/>
        <v>42935</v>
      </c>
      <c r="B24" s="7">
        <v>42935</v>
      </c>
      <c r="C24" s="44">
        <f t="shared" si="1"/>
        <v>3</v>
      </c>
      <c r="D24" s="8">
        <v>58</v>
      </c>
    </row>
    <row r="25" spans="1:6">
      <c r="A25" s="6">
        <f t="shared" si="0"/>
        <v>42936</v>
      </c>
      <c r="B25" s="7">
        <v>42936</v>
      </c>
      <c r="C25" s="44">
        <f t="shared" si="1"/>
        <v>4</v>
      </c>
      <c r="D25" s="8">
        <v>62</v>
      </c>
    </row>
    <row r="26" spans="1:6">
      <c r="A26" s="6">
        <f t="shared" si="0"/>
        <v>42937</v>
      </c>
      <c r="B26" s="7">
        <v>42937</v>
      </c>
      <c r="C26" s="44">
        <f t="shared" si="1"/>
        <v>2</v>
      </c>
      <c r="D26" s="8">
        <f>39+25</f>
        <v>64</v>
      </c>
    </row>
    <row r="27" spans="1:6">
      <c r="A27" s="6">
        <f t="shared" si="0"/>
        <v>42938</v>
      </c>
      <c r="B27" s="7">
        <v>42938</v>
      </c>
      <c r="C27" s="44">
        <f t="shared" si="1"/>
        <v>0</v>
      </c>
      <c r="D27" s="8">
        <f>39+25</f>
        <v>64</v>
      </c>
      <c r="E27" s="14" t="s">
        <v>40</v>
      </c>
      <c r="F27" s="9">
        <f>AVERAGE(C27:C33)</f>
        <v>2</v>
      </c>
    </row>
    <row r="28" spans="1:6">
      <c r="A28" s="6">
        <f t="shared" si="0"/>
        <v>42939</v>
      </c>
      <c r="B28" s="7">
        <v>42939</v>
      </c>
      <c r="C28" s="44">
        <f t="shared" si="1"/>
        <v>3</v>
      </c>
      <c r="D28" s="8">
        <f>42+25</f>
        <v>67</v>
      </c>
    </row>
    <row r="29" spans="1:6">
      <c r="A29" s="6">
        <f t="shared" si="0"/>
        <v>42940</v>
      </c>
      <c r="B29" s="7">
        <v>42940</v>
      </c>
      <c r="C29" s="44">
        <f t="shared" si="1"/>
        <v>1</v>
      </c>
      <c r="D29" s="8">
        <v>68</v>
      </c>
    </row>
    <row r="30" spans="1:6">
      <c r="A30" s="6">
        <f t="shared" si="0"/>
        <v>42941</v>
      </c>
      <c r="B30" s="7">
        <v>42941</v>
      </c>
      <c r="C30" s="44">
        <f t="shared" si="1"/>
        <v>2</v>
      </c>
      <c r="D30" s="8">
        <v>70</v>
      </c>
    </row>
    <row r="31" spans="1:6">
      <c r="A31" s="6">
        <f t="shared" si="0"/>
        <v>42942</v>
      </c>
      <c r="B31" s="7">
        <v>42942</v>
      </c>
      <c r="C31" s="44">
        <f t="shared" si="1"/>
        <v>3</v>
      </c>
      <c r="D31" s="8">
        <v>73</v>
      </c>
    </row>
    <row r="32" spans="1:6">
      <c r="A32" s="6">
        <f t="shared" si="0"/>
        <v>42943</v>
      </c>
      <c r="B32" s="7">
        <v>42943</v>
      </c>
      <c r="C32" s="44">
        <f t="shared" si="1"/>
        <v>3</v>
      </c>
      <c r="D32" s="8">
        <v>76</v>
      </c>
    </row>
    <row r="33" spans="1:4">
      <c r="A33" s="6">
        <f t="shared" si="0"/>
        <v>42944</v>
      </c>
      <c r="B33" s="7">
        <v>42944</v>
      </c>
      <c r="C33" s="44">
        <f t="shared" si="1"/>
        <v>2</v>
      </c>
      <c r="D33" s="8">
        <f>48+30</f>
        <v>78</v>
      </c>
    </row>
    <row r="34" spans="1:4">
      <c r="A34" s="6">
        <f t="shared" si="0"/>
        <v>42945</v>
      </c>
      <c r="B34" s="7">
        <v>42945</v>
      </c>
      <c r="C34" s="44">
        <f t="shared" si="1"/>
        <v>3</v>
      </c>
      <c r="D34" s="8">
        <v>81</v>
      </c>
    </row>
    <row r="35" spans="1:4">
      <c r="A35" s="6">
        <f t="shared" si="0"/>
        <v>42946</v>
      </c>
      <c r="B35" s="7">
        <v>42946</v>
      </c>
      <c r="C35" s="44">
        <f t="shared" si="1"/>
        <v>1</v>
      </c>
      <c r="D35" s="8">
        <v>82</v>
      </c>
    </row>
    <row r="36" spans="1:4">
      <c r="A36" s="6">
        <f t="shared" si="0"/>
        <v>42947</v>
      </c>
      <c r="B36" s="7">
        <v>42947</v>
      </c>
      <c r="C36" s="14">
        <f t="shared" si="1"/>
        <v>6</v>
      </c>
      <c r="D36" s="56">
        <v>88</v>
      </c>
    </row>
    <row r="37" spans="1:4">
      <c r="B37" s="10" t="s">
        <v>6</v>
      </c>
      <c r="C37" s="11">
        <f>SUM(C6:C36)</f>
        <v>88</v>
      </c>
      <c r="D37" s="12"/>
    </row>
    <row r="38" spans="1:4">
      <c r="C38" s="13"/>
    </row>
    <row r="39" spans="1:4">
      <c r="B39" s="14" t="s">
        <v>7</v>
      </c>
      <c r="C39" s="9">
        <v>90</v>
      </c>
    </row>
    <row r="40" spans="1:4">
      <c r="B40" s="14" t="s">
        <v>8</v>
      </c>
      <c r="C40" s="9">
        <f>C37</f>
        <v>88</v>
      </c>
    </row>
    <row r="41" spans="1:4">
      <c r="B41" s="14" t="s">
        <v>9</v>
      </c>
      <c r="C41" s="9">
        <f>C39-C40</f>
        <v>2</v>
      </c>
    </row>
    <row r="42" spans="1:4">
      <c r="B42" s="14" t="s">
        <v>10</v>
      </c>
      <c r="C42" s="15">
        <f>C40/C39</f>
        <v>0.97777777777777775</v>
      </c>
    </row>
    <row r="43" spans="1:4">
      <c r="B43" s="14" t="s">
        <v>11</v>
      </c>
      <c r="C43" s="9">
        <f>IF(C40&lt;C39,0,C40-C39)</f>
        <v>0</v>
      </c>
    </row>
    <row r="44" spans="1:4">
      <c r="B44" s="14" t="s">
        <v>12</v>
      </c>
      <c r="C44" s="9">
        <f ca="1">(C39-C37)/C48</f>
        <v>6.6666666666666666E-2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4"/>
  <sheetViews>
    <sheetView showGridLines="0" workbookViewId="0">
      <selection activeCell="C38" sqref="C38"/>
    </sheetView>
  </sheetViews>
  <sheetFormatPr baseColWidth="10" defaultColWidth="8.83203125" defaultRowHeight="14" x14ac:dyDescent="0"/>
  <cols>
    <col min="1" max="1" width="11.6640625" customWidth="1"/>
    <col min="2" max="2" width="18.33203125" customWidth="1"/>
    <col min="3" max="3" width="15.83203125" bestFit="1" customWidth="1"/>
    <col min="4" max="4" width="14.83203125" customWidth="1"/>
  </cols>
  <sheetData>
    <row r="2" spans="1:4">
      <c r="B2" s="1" t="s">
        <v>83</v>
      </c>
    </row>
    <row r="4" spans="1:4">
      <c r="B4" s="2" t="s">
        <v>1</v>
      </c>
      <c r="C4" s="2"/>
    </row>
    <row r="5" spans="1:4">
      <c r="A5" s="3" t="s">
        <v>2</v>
      </c>
      <c r="B5" s="4" t="s">
        <v>3</v>
      </c>
      <c r="C5" s="5" t="s">
        <v>5</v>
      </c>
    </row>
    <row r="6" spans="1:4">
      <c r="A6" s="6">
        <f t="shared" ref="A6:A36" si="0">B6</f>
        <v>42917</v>
      </c>
      <c r="B6" s="7">
        <v>42917</v>
      </c>
      <c r="C6" s="8">
        <v>0</v>
      </c>
      <c r="D6" s="36"/>
    </row>
    <row r="7" spans="1:4">
      <c r="A7" s="6">
        <f t="shared" si="0"/>
        <v>42918</v>
      </c>
      <c r="B7" s="7">
        <v>42918</v>
      </c>
      <c r="C7" s="8">
        <v>1720</v>
      </c>
      <c r="D7" s="36"/>
    </row>
    <row r="8" spans="1:4">
      <c r="A8" s="6">
        <f t="shared" si="0"/>
        <v>42919</v>
      </c>
      <c r="B8" s="7">
        <v>42919</v>
      </c>
      <c r="C8" s="8">
        <v>11179</v>
      </c>
      <c r="D8" s="36"/>
    </row>
    <row r="9" spans="1:4">
      <c r="A9" s="6">
        <f t="shared" si="0"/>
        <v>42920</v>
      </c>
      <c r="B9" s="7">
        <v>42920</v>
      </c>
      <c r="C9" s="8">
        <v>5445</v>
      </c>
      <c r="D9" s="36"/>
    </row>
    <row r="10" spans="1:4">
      <c r="A10" s="6">
        <f t="shared" si="0"/>
        <v>42921</v>
      </c>
      <c r="B10" s="7">
        <v>42921</v>
      </c>
      <c r="C10" s="8"/>
      <c r="D10" s="36"/>
    </row>
    <row r="11" spans="1:4">
      <c r="A11" s="6">
        <f t="shared" si="0"/>
        <v>42922</v>
      </c>
      <c r="B11" s="7">
        <v>42922</v>
      </c>
      <c r="C11" s="8"/>
      <c r="D11" s="36"/>
    </row>
    <row r="12" spans="1:4">
      <c r="A12" s="6">
        <f t="shared" si="0"/>
        <v>42923</v>
      </c>
      <c r="B12" s="7">
        <v>42923</v>
      </c>
      <c r="C12" s="8"/>
      <c r="D12" s="36"/>
    </row>
    <row r="13" spans="1:4">
      <c r="A13" s="6">
        <f t="shared" si="0"/>
        <v>42924</v>
      </c>
      <c r="B13" s="7">
        <v>42924</v>
      </c>
      <c r="C13" s="8"/>
      <c r="D13" s="36"/>
    </row>
    <row r="14" spans="1:4">
      <c r="A14" s="6">
        <f t="shared" si="0"/>
        <v>42925</v>
      </c>
      <c r="B14" s="7">
        <v>42925</v>
      </c>
      <c r="C14" s="8"/>
      <c r="D14" s="36"/>
    </row>
    <row r="15" spans="1:4">
      <c r="A15" s="6">
        <f t="shared" si="0"/>
        <v>42926</v>
      </c>
      <c r="B15" s="7">
        <v>42926</v>
      </c>
      <c r="C15" s="8"/>
      <c r="D15" s="36"/>
    </row>
    <row r="16" spans="1:4">
      <c r="A16" s="6">
        <f t="shared" si="0"/>
        <v>42927</v>
      </c>
      <c r="B16" s="7">
        <v>42927</v>
      </c>
      <c r="C16" s="8"/>
      <c r="D16" s="36"/>
    </row>
    <row r="17" spans="1:4">
      <c r="A17" s="6">
        <f t="shared" si="0"/>
        <v>42928</v>
      </c>
      <c r="B17" s="7">
        <v>42928</v>
      </c>
      <c r="C17" s="8"/>
      <c r="D17" s="36"/>
    </row>
    <row r="18" spans="1:4">
      <c r="A18" s="6">
        <f t="shared" si="0"/>
        <v>42929</v>
      </c>
      <c r="B18" s="7">
        <v>42929</v>
      </c>
      <c r="C18" s="8"/>
      <c r="D18" s="36"/>
    </row>
    <row r="19" spans="1:4">
      <c r="A19" s="6">
        <f t="shared" si="0"/>
        <v>42930</v>
      </c>
      <c r="B19" s="7">
        <v>42930</v>
      </c>
      <c r="C19" s="8"/>
      <c r="D19" s="36"/>
    </row>
    <row r="20" spans="1:4">
      <c r="A20" s="6">
        <f t="shared" si="0"/>
        <v>42931</v>
      </c>
      <c r="B20" s="7">
        <v>42931</v>
      </c>
      <c r="C20" s="8"/>
      <c r="D20" s="36"/>
    </row>
    <row r="21" spans="1:4">
      <c r="A21" s="6">
        <f t="shared" si="0"/>
        <v>42932</v>
      </c>
      <c r="B21" s="7">
        <v>42932</v>
      </c>
      <c r="C21" s="8"/>
      <c r="D21" s="36"/>
    </row>
    <row r="22" spans="1:4">
      <c r="A22" s="6">
        <f t="shared" si="0"/>
        <v>42933</v>
      </c>
      <c r="B22" s="7">
        <v>42933</v>
      </c>
      <c r="C22" s="8"/>
      <c r="D22" s="36"/>
    </row>
    <row r="23" spans="1:4">
      <c r="A23" s="6">
        <f t="shared" si="0"/>
        <v>42934</v>
      </c>
      <c r="B23" s="7">
        <v>42934</v>
      </c>
      <c r="C23" s="8"/>
      <c r="D23" s="36"/>
    </row>
    <row r="24" spans="1:4">
      <c r="A24" s="6">
        <f t="shared" si="0"/>
        <v>42935</v>
      </c>
      <c r="B24" s="7">
        <v>42935</v>
      </c>
      <c r="C24" s="8"/>
      <c r="D24" s="36"/>
    </row>
    <row r="25" spans="1:4">
      <c r="A25" s="6">
        <f t="shared" si="0"/>
        <v>42936</v>
      </c>
      <c r="B25" s="7">
        <v>42936</v>
      </c>
      <c r="C25" s="8"/>
      <c r="D25" s="36"/>
    </row>
    <row r="26" spans="1:4">
      <c r="A26" s="6">
        <f t="shared" si="0"/>
        <v>42937</v>
      </c>
      <c r="B26" s="7">
        <v>42937</v>
      </c>
      <c r="C26" s="8"/>
      <c r="D26" s="36"/>
    </row>
    <row r="27" spans="1:4">
      <c r="A27" s="6">
        <f t="shared" si="0"/>
        <v>42938</v>
      </c>
      <c r="B27" s="7">
        <v>42938</v>
      </c>
      <c r="C27" s="8"/>
      <c r="D27" s="36"/>
    </row>
    <row r="28" spans="1:4">
      <c r="A28" s="6">
        <f t="shared" si="0"/>
        <v>42939</v>
      </c>
      <c r="B28" s="7">
        <v>42939</v>
      </c>
      <c r="C28" s="8"/>
      <c r="D28" s="36"/>
    </row>
    <row r="29" spans="1:4">
      <c r="A29" s="6">
        <f t="shared" si="0"/>
        <v>42940</v>
      </c>
      <c r="B29" s="7">
        <v>42940</v>
      </c>
      <c r="C29" s="8"/>
      <c r="D29" s="36"/>
    </row>
    <row r="30" spans="1:4">
      <c r="A30" s="6">
        <f t="shared" si="0"/>
        <v>42941</v>
      </c>
      <c r="B30" s="7">
        <v>42941</v>
      </c>
      <c r="C30" s="8"/>
      <c r="D30" s="36"/>
    </row>
    <row r="31" spans="1:4">
      <c r="A31" s="6">
        <f t="shared" si="0"/>
        <v>42942</v>
      </c>
      <c r="B31" s="7">
        <v>42942</v>
      </c>
      <c r="C31" s="52"/>
      <c r="D31" s="36"/>
    </row>
    <row r="32" spans="1:4">
      <c r="A32" s="6">
        <f t="shared" si="0"/>
        <v>42943</v>
      </c>
      <c r="B32" s="7">
        <v>42943</v>
      </c>
      <c r="C32" s="8"/>
      <c r="D32" s="36"/>
    </row>
    <row r="33" spans="1:4">
      <c r="A33" s="6">
        <f t="shared" si="0"/>
        <v>42944</v>
      </c>
      <c r="B33" s="7">
        <v>42944</v>
      </c>
      <c r="C33" s="52"/>
      <c r="D33" s="36"/>
    </row>
    <row r="34" spans="1:4" ht="16.5" customHeight="1">
      <c r="A34" s="6">
        <f t="shared" si="0"/>
        <v>42945</v>
      </c>
      <c r="B34" s="7">
        <v>42945</v>
      </c>
      <c r="C34" s="8"/>
      <c r="D34" s="36"/>
    </row>
    <row r="35" spans="1:4">
      <c r="A35" s="6">
        <f t="shared" si="0"/>
        <v>42946</v>
      </c>
      <c r="B35" s="7">
        <v>42946</v>
      </c>
      <c r="C35" s="8"/>
      <c r="D35" s="36"/>
    </row>
    <row r="36" spans="1:4">
      <c r="A36" s="6">
        <f t="shared" si="0"/>
        <v>42947</v>
      </c>
      <c r="B36" s="7">
        <v>42947</v>
      </c>
      <c r="C36" s="9"/>
    </row>
    <row r="37" spans="1:4">
      <c r="B37" s="10" t="s">
        <v>6</v>
      </c>
      <c r="C37" s="11">
        <f>SUM(C6:C36)</f>
        <v>18344</v>
      </c>
      <c r="D37" s="12"/>
    </row>
    <row r="38" spans="1:4">
      <c r="C38" s="13"/>
    </row>
    <row r="39" spans="1:4">
      <c r="B39" s="14" t="s">
        <v>7</v>
      </c>
      <c r="C39" s="9">
        <v>5250</v>
      </c>
    </row>
    <row r="40" spans="1:4">
      <c r="B40" s="14" t="s">
        <v>8</v>
      </c>
      <c r="C40" s="9">
        <f>C37</f>
        <v>18344</v>
      </c>
    </row>
    <row r="41" spans="1:4">
      <c r="B41" s="14" t="s">
        <v>9</v>
      </c>
      <c r="C41" s="9">
        <f>C39-C40</f>
        <v>-13094</v>
      </c>
    </row>
    <row r="42" spans="1:4">
      <c r="B42" s="14" t="s">
        <v>10</v>
      </c>
      <c r="C42" s="15">
        <f>C40/C39</f>
        <v>3.4940952380952379</v>
      </c>
    </row>
    <row r="43" spans="1:4">
      <c r="B43" s="14" t="s">
        <v>11</v>
      </c>
      <c r="C43" s="9">
        <f>IF(C40&lt;C39,0,C40-C39)</f>
        <v>13094</v>
      </c>
    </row>
    <row r="44" spans="1:4">
      <c r="B44" s="14" t="s">
        <v>12</v>
      </c>
      <c r="C44" s="9">
        <f ca="1">(C39-C37)/C48</f>
        <v>-436.46666666666664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51" t="s">
        <v>20</v>
      </c>
    </row>
    <row r="58" spans="2:4">
      <c r="B58" s="53"/>
    </row>
    <row r="59" spans="2:4">
      <c r="B59" s="53"/>
    </row>
    <row r="60" spans="2:4">
      <c r="B60" s="53"/>
    </row>
    <row r="61" spans="2:4">
      <c r="B61" s="53"/>
    </row>
    <row r="62" spans="2:4">
      <c r="B62" s="53"/>
    </row>
    <row r="63" spans="2:4">
      <c r="B63" s="53"/>
    </row>
    <row r="64" spans="2:4">
      <c r="B64" s="53"/>
    </row>
    <row r="65" spans="2:2">
      <c r="B65" s="53"/>
    </row>
    <row r="66" spans="2:2">
      <c r="B66" s="53"/>
    </row>
    <row r="67" spans="2:2">
      <c r="B67" s="53"/>
    </row>
    <row r="68" spans="2:2">
      <c r="B68" s="53"/>
    </row>
    <row r="69" spans="2:2">
      <c r="B69" s="53"/>
    </row>
    <row r="70" spans="2:2">
      <c r="B70" s="53"/>
    </row>
    <row r="71" spans="2:2">
      <c r="B71" s="53"/>
    </row>
    <row r="72" spans="2:2">
      <c r="B72" s="53"/>
    </row>
    <row r="73" spans="2:2">
      <c r="B73" s="53"/>
    </row>
    <row r="74" spans="2:2">
      <c r="B74" s="5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7"/>
  <sheetViews>
    <sheetView showGridLines="0" workbookViewId="0">
      <selection activeCell="C6" sqref="C6:C36"/>
    </sheetView>
  </sheetViews>
  <sheetFormatPr baseColWidth="10" defaultColWidth="8.83203125" defaultRowHeight="14" x14ac:dyDescent="0"/>
  <cols>
    <col min="1" max="1" width="12.1640625" customWidth="1"/>
    <col min="2" max="2" width="22.5" bestFit="1" customWidth="1"/>
    <col min="3" max="3" width="15.5" bestFit="1" customWidth="1"/>
    <col min="4" max="4" width="14.83203125" customWidth="1"/>
  </cols>
  <sheetData>
    <row r="2" spans="1:4">
      <c r="B2" s="1" t="s">
        <v>24</v>
      </c>
    </row>
    <row r="4" spans="1:4">
      <c r="B4" s="2" t="s">
        <v>1</v>
      </c>
      <c r="C4" s="2"/>
    </row>
    <row r="5" spans="1:4">
      <c r="A5" s="3" t="s">
        <v>2</v>
      </c>
      <c r="B5" s="4" t="s">
        <v>3</v>
      </c>
      <c r="C5" s="4" t="s">
        <v>4</v>
      </c>
    </row>
    <row r="6" spans="1:4">
      <c r="A6" s="6">
        <f t="shared" ref="A6:A36" si="0">B6</f>
        <v>42917</v>
      </c>
      <c r="B6" s="7">
        <v>42917</v>
      </c>
      <c r="C6" s="8">
        <v>78</v>
      </c>
      <c r="D6" s="36"/>
    </row>
    <row r="7" spans="1:4">
      <c r="A7" s="6">
        <f t="shared" si="0"/>
        <v>42918</v>
      </c>
      <c r="B7" s="7">
        <v>42918</v>
      </c>
      <c r="C7" s="8">
        <v>53</v>
      </c>
      <c r="D7" s="36"/>
    </row>
    <row r="8" spans="1:4">
      <c r="A8" s="6">
        <f t="shared" si="0"/>
        <v>42919</v>
      </c>
      <c r="B8" s="7">
        <v>42919</v>
      </c>
      <c r="C8" s="8">
        <v>245</v>
      </c>
      <c r="D8" s="36"/>
    </row>
    <row r="9" spans="1:4">
      <c r="A9" s="6">
        <f t="shared" si="0"/>
        <v>42920</v>
      </c>
      <c r="B9" s="7">
        <v>42920</v>
      </c>
      <c r="C9" s="8">
        <v>154</v>
      </c>
      <c r="D9" s="36"/>
    </row>
    <row r="10" spans="1:4">
      <c r="A10" s="6">
        <f t="shared" si="0"/>
        <v>42921</v>
      </c>
      <c r="B10" s="7">
        <v>42921</v>
      </c>
      <c r="C10" s="8">
        <v>268</v>
      </c>
      <c r="D10" s="36"/>
    </row>
    <row r="11" spans="1:4">
      <c r="A11" s="6">
        <f t="shared" si="0"/>
        <v>42922</v>
      </c>
      <c r="B11" s="7">
        <v>42922</v>
      </c>
      <c r="C11" s="8">
        <v>140</v>
      </c>
      <c r="D11" s="36"/>
    </row>
    <row r="12" spans="1:4">
      <c r="A12" s="6">
        <f t="shared" si="0"/>
        <v>42923</v>
      </c>
      <c r="B12" s="7">
        <v>42923</v>
      </c>
      <c r="C12" s="8">
        <v>155</v>
      </c>
      <c r="D12" s="36"/>
    </row>
    <row r="13" spans="1:4">
      <c r="A13" s="6">
        <f t="shared" si="0"/>
        <v>42924</v>
      </c>
      <c r="B13" s="7">
        <v>42924</v>
      </c>
      <c r="C13" s="8">
        <v>75</v>
      </c>
      <c r="D13" s="36"/>
    </row>
    <row r="14" spans="1:4">
      <c r="A14" s="6">
        <f t="shared" si="0"/>
        <v>42925</v>
      </c>
      <c r="B14" s="7">
        <v>42925</v>
      </c>
      <c r="C14" s="8">
        <v>67</v>
      </c>
      <c r="D14" s="36"/>
    </row>
    <row r="15" spans="1:4">
      <c r="A15" s="6">
        <f t="shared" si="0"/>
        <v>42926</v>
      </c>
      <c r="B15" s="7">
        <v>42926</v>
      </c>
      <c r="C15" s="8">
        <v>148</v>
      </c>
      <c r="D15" s="36"/>
    </row>
    <row r="16" spans="1:4">
      <c r="A16" s="6">
        <f t="shared" si="0"/>
        <v>42927</v>
      </c>
      <c r="B16" s="7">
        <v>42927</v>
      </c>
      <c r="C16" s="8">
        <v>151</v>
      </c>
      <c r="D16" s="36"/>
    </row>
    <row r="17" spans="1:4">
      <c r="A17" s="6">
        <f t="shared" si="0"/>
        <v>42928</v>
      </c>
      <c r="B17" s="7">
        <v>42928</v>
      </c>
      <c r="C17" s="8">
        <v>145</v>
      </c>
      <c r="D17" s="36"/>
    </row>
    <row r="18" spans="1:4">
      <c r="A18" s="6">
        <f t="shared" si="0"/>
        <v>42929</v>
      </c>
      <c r="B18" s="7">
        <v>42929</v>
      </c>
      <c r="C18" s="8">
        <v>137</v>
      </c>
      <c r="D18" s="36"/>
    </row>
    <row r="19" spans="1:4">
      <c r="A19" s="6">
        <f t="shared" si="0"/>
        <v>42930</v>
      </c>
      <c r="B19" s="7">
        <v>42930</v>
      </c>
      <c r="C19" s="8">
        <v>119</v>
      </c>
      <c r="D19" s="36"/>
    </row>
    <row r="20" spans="1:4">
      <c r="A20" s="6">
        <f t="shared" si="0"/>
        <v>42931</v>
      </c>
      <c r="B20" s="7">
        <v>42931</v>
      </c>
      <c r="C20" s="8">
        <v>58</v>
      </c>
      <c r="D20" s="36"/>
    </row>
    <row r="21" spans="1:4">
      <c r="A21" s="6">
        <f t="shared" si="0"/>
        <v>42932</v>
      </c>
      <c r="B21" s="7">
        <v>42932</v>
      </c>
      <c r="C21" s="8">
        <v>48</v>
      </c>
      <c r="D21" s="36"/>
    </row>
    <row r="22" spans="1:4">
      <c r="A22" s="6">
        <f t="shared" si="0"/>
        <v>42933</v>
      </c>
      <c r="B22" s="7">
        <v>42933</v>
      </c>
      <c r="C22" s="8">
        <v>123</v>
      </c>
      <c r="D22" s="36"/>
    </row>
    <row r="23" spans="1:4">
      <c r="A23" s="6">
        <f t="shared" si="0"/>
        <v>42934</v>
      </c>
      <c r="B23" s="7">
        <v>42934</v>
      </c>
      <c r="C23" s="8">
        <v>144</v>
      </c>
      <c r="D23" s="36"/>
    </row>
    <row r="24" spans="1:4">
      <c r="A24" s="6">
        <f t="shared" si="0"/>
        <v>42935</v>
      </c>
      <c r="B24" s="7">
        <v>42935</v>
      </c>
      <c r="C24" s="8">
        <v>142</v>
      </c>
      <c r="D24" s="36"/>
    </row>
    <row r="25" spans="1:4">
      <c r="A25" s="6">
        <f t="shared" si="0"/>
        <v>42936</v>
      </c>
      <c r="B25" s="7">
        <v>42936</v>
      </c>
      <c r="C25" s="8">
        <v>130</v>
      </c>
      <c r="D25" s="36"/>
    </row>
    <row r="26" spans="1:4">
      <c r="A26" s="6">
        <f t="shared" si="0"/>
        <v>42937</v>
      </c>
      <c r="B26" s="7">
        <v>42937</v>
      </c>
      <c r="C26" s="8">
        <v>106</v>
      </c>
      <c r="D26" s="36"/>
    </row>
    <row r="27" spans="1:4">
      <c r="A27" s="6">
        <f t="shared" si="0"/>
        <v>42938</v>
      </c>
      <c r="B27" s="7">
        <v>42938</v>
      </c>
      <c r="C27" s="8">
        <v>47</v>
      </c>
      <c r="D27" s="36"/>
    </row>
    <row r="28" spans="1:4">
      <c r="A28" s="6">
        <f t="shared" si="0"/>
        <v>42939</v>
      </c>
      <c r="B28" s="7">
        <v>42939</v>
      </c>
      <c r="C28" s="8">
        <v>73</v>
      </c>
      <c r="D28" s="36"/>
    </row>
    <row r="29" spans="1:4">
      <c r="A29" s="6">
        <f t="shared" si="0"/>
        <v>42940</v>
      </c>
      <c r="B29" s="7">
        <v>42940</v>
      </c>
      <c r="C29" s="8">
        <v>144</v>
      </c>
      <c r="D29" s="36"/>
    </row>
    <row r="30" spans="1:4">
      <c r="A30" s="6">
        <f t="shared" si="0"/>
        <v>42941</v>
      </c>
      <c r="B30" s="7">
        <v>42941</v>
      </c>
      <c r="C30" s="8">
        <v>148</v>
      </c>
      <c r="D30" s="36"/>
    </row>
    <row r="31" spans="1:4" ht="16.5" customHeight="1">
      <c r="A31" s="6">
        <f t="shared" si="0"/>
        <v>42942</v>
      </c>
      <c r="B31" s="7">
        <v>42942</v>
      </c>
      <c r="C31" s="8">
        <v>163</v>
      </c>
      <c r="D31" s="36"/>
    </row>
    <row r="32" spans="1:4" ht="15" customHeight="1">
      <c r="A32" s="6">
        <f t="shared" si="0"/>
        <v>42943</v>
      </c>
      <c r="B32" s="7">
        <v>42943</v>
      </c>
      <c r="C32" s="8">
        <v>137</v>
      </c>
      <c r="D32" s="36"/>
    </row>
    <row r="33" spans="1:4">
      <c r="A33" s="6">
        <f t="shared" si="0"/>
        <v>42944</v>
      </c>
      <c r="B33" s="7">
        <v>42944</v>
      </c>
      <c r="C33" s="8">
        <v>132</v>
      </c>
      <c r="D33" s="36"/>
    </row>
    <row r="34" spans="1:4">
      <c r="A34" s="6">
        <f t="shared" si="0"/>
        <v>42945</v>
      </c>
      <c r="B34" s="7">
        <v>42945</v>
      </c>
      <c r="C34" s="8">
        <v>72</v>
      </c>
      <c r="D34" s="36"/>
    </row>
    <row r="35" spans="1:4">
      <c r="A35" s="6">
        <f t="shared" si="0"/>
        <v>42946</v>
      </c>
      <c r="B35" s="7">
        <v>42946</v>
      </c>
      <c r="C35" s="8">
        <v>59</v>
      </c>
      <c r="D35" s="36"/>
    </row>
    <row r="36" spans="1:4">
      <c r="A36" s="6">
        <f t="shared" si="0"/>
        <v>42947</v>
      </c>
      <c r="B36" s="7">
        <v>42947</v>
      </c>
      <c r="C36" s="9">
        <v>269</v>
      </c>
    </row>
    <row r="37" spans="1:4" ht="18" customHeight="1">
      <c r="B37" s="10" t="s">
        <v>6</v>
      </c>
      <c r="C37" s="11">
        <f>SUM(C6:C36)</f>
        <v>3930</v>
      </c>
    </row>
    <row r="38" spans="1:4">
      <c r="C38" s="13"/>
    </row>
    <row r="39" spans="1:4">
      <c r="B39" s="14" t="s">
        <v>7</v>
      </c>
      <c r="C39" s="9">
        <v>3775</v>
      </c>
    </row>
    <row r="40" spans="1:4">
      <c r="B40" s="14" t="s">
        <v>8</v>
      </c>
      <c r="C40" s="9">
        <f>C37</f>
        <v>3930</v>
      </c>
    </row>
    <row r="41" spans="1:4">
      <c r="B41" s="14" t="s">
        <v>9</v>
      </c>
      <c r="C41" s="9">
        <f>C39-C40</f>
        <v>-155</v>
      </c>
    </row>
    <row r="42" spans="1:4">
      <c r="B42" s="14" t="s">
        <v>10</v>
      </c>
      <c r="C42" s="15">
        <f>C40/C39</f>
        <v>1.0410596026490067</v>
      </c>
    </row>
    <row r="43" spans="1:4">
      <c r="B43" s="14" t="s">
        <v>11</v>
      </c>
      <c r="C43" s="9">
        <f>IF(C40&lt;C39,0,C40-C39)</f>
        <v>155</v>
      </c>
    </row>
    <row r="44" spans="1:4">
      <c r="B44" s="14" t="s">
        <v>12</v>
      </c>
      <c r="C44" s="9">
        <f ca="1">(C39-C37)/C48</f>
        <v>-5.166666666666667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33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4"/>
  <sheetViews>
    <sheetView showGridLines="0" topLeftCell="A3" workbookViewId="0">
      <selection activeCell="C6" sqref="C6:E36"/>
    </sheetView>
  </sheetViews>
  <sheetFormatPr baseColWidth="10" defaultColWidth="8.83203125" defaultRowHeight="14" x14ac:dyDescent="0"/>
  <cols>
    <col min="1" max="1" width="11.6640625" customWidth="1"/>
    <col min="2" max="2" width="18.33203125" customWidth="1"/>
    <col min="3" max="3" width="15.83203125" bestFit="1" customWidth="1"/>
    <col min="4" max="4" width="14.83203125" customWidth="1"/>
    <col min="5" max="5" width="16.5" customWidth="1"/>
  </cols>
  <sheetData>
    <row r="2" spans="1:5">
      <c r="B2" s="1" t="s">
        <v>72</v>
      </c>
    </row>
    <row r="4" spans="1:5">
      <c r="B4" s="2" t="s">
        <v>1</v>
      </c>
      <c r="C4" s="2"/>
    </row>
    <row r="5" spans="1:5">
      <c r="A5" s="3" t="s">
        <v>2</v>
      </c>
      <c r="B5" s="4" t="s">
        <v>3</v>
      </c>
      <c r="C5" s="5" t="s">
        <v>73</v>
      </c>
      <c r="D5" s="5" t="s">
        <v>74</v>
      </c>
      <c r="E5" s="5" t="s">
        <v>75</v>
      </c>
    </row>
    <row r="6" spans="1:5">
      <c r="A6" s="6">
        <f t="shared" ref="A6:A36" si="0">B6</f>
        <v>42917</v>
      </c>
      <c r="B6" s="7">
        <v>42917</v>
      </c>
      <c r="C6" s="8">
        <v>150</v>
      </c>
      <c r="D6" s="8">
        <v>0</v>
      </c>
      <c r="E6" s="9">
        <v>39</v>
      </c>
    </row>
    <row r="7" spans="1:5">
      <c r="A7" s="6">
        <f t="shared" si="0"/>
        <v>42918</v>
      </c>
      <c r="B7" s="7">
        <v>42918</v>
      </c>
      <c r="C7" s="8">
        <v>138</v>
      </c>
      <c r="D7" s="8">
        <v>1444</v>
      </c>
      <c r="E7" s="9">
        <v>45</v>
      </c>
    </row>
    <row r="8" spans="1:5">
      <c r="A8" s="6">
        <f t="shared" si="0"/>
        <v>42919</v>
      </c>
      <c r="B8" s="7">
        <v>42919</v>
      </c>
      <c r="C8" s="8">
        <v>200</v>
      </c>
      <c r="D8" s="8">
        <v>7470</v>
      </c>
      <c r="E8" s="9">
        <v>67</v>
      </c>
    </row>
    <row r="9" spans="1:5">
      <c r="A9" s="6">
        <f t="shared" si="0"/>
        <v>42920</v>
      </c>
      <c r="B9" s="7">
        <v>42920</v>
      </c>
      <c r="C9" s="8">
        <v>123</v>
      </c>
      <c r="D9" s="8">
        <v>4232</v>
      </c>
      <c r="E9" s="9">
        <v>42</v>
      </c>
    </row>
    <row r="10" spans="1:5">
      <c r="A10" s="6">
        <f t="shared" si="0"/>
        <v>42921</v>
      </c>
      <c r="B10" s="7">
        <v>42921</v>
      </c>
      <c r="C10" s="8">
        <v>244</v>
      </c>
      <c r="D10" s="8">
        <v>0</v>
      </c>
      <c r="E10" s="9">
        <v>80</v>
      </c>
    </row>
    <row r="11" spans="1:5">
      <c r="A11" s="6">
        <f t="shared" si="0"/>
        <v>42922</v>
      </c>
      <c r="B11" s="7">
        <v>42922</v>
      </c>
      <c r="C11" s="8">
        <v>235</v>
      </c>
      <c r="D11" s="8">
        <v>0</v>
      </c>
      <c r="E11" s="9">
        <v>93</v>
      </c>
    </row>
    <row r="12" spans="1:5">
      <c r="A12" s="6">
        <f t="shared" si="0"/>
        <v>42923</v>
      </c>
      <c r="B12" s="7">
        <v>42923</v>
      </c>
      <c r="C12" s="8">
        <v>239</v>
      </c>
      <c r="D12" s="8">
        <v>0</v>
      </c>
      <c r="E12" s="9">
        <v>60</v>
      </c>
    </row>
    <row r="13" spans="1:5">
      <c r="A13" s="6">
        <f t="shared" si="0"/>
        <v>42924</v>
      </c>
      <c r="B13" s="7">
        <v>42924</v>
      </c>
      <c r="C13" s="8">
        <v>125</v>
      </c>
      <c r="D13" s="8">
        <v>0</v>
      </c>
      <c r="E13" s="9">
        <v>33</v>
      </c>
    </row>
    <row r="14" spans="1:5">
      <c r="A14" s="6">
        <f t="shared" si="0"/>
        <v>42925</v>
      </c>
      <c r="B14" s="7">
        <v>42925</v>
      </c>
      <c r="C14" s="8">
        <v>129</v>
      </c>
      <c r="D14" s="8">
        <v>0</v>
      </c>
      <c r="E14" s="9">
        <v>31</v>
      </c>
    </row>
    <row r="15" spans="1:5">
      <c r="A15" s="6">
        <f t="shared" si="0"/>
        <v>42926</v>
      </c>
      <c r="B15" s="7">
        <v>42926</v>
      </c>
      <c r="C15" s="8">
        <v>224</v>
      </c>
      <c r="D15" s="8">
        <v>0</v>
      </c>
      <c r="E15" s="9">
        <v>70</v>
      </c>
    </row>
    <row r="16" spans="1:5">
      <c r="A16" s="6">
        <f t="shared" si="0"/>
        <v>42927</v>
      </c>
      <c r="B16" s="7">
        <v>42927</v>
      </c>
      <c r="C16" s="8">
        <v>253</v>
      </c>
      <c r="D16" s="8">
        <v>0</v>
      </c>
      <c r="E16" s="9">
        <v>61</v>
      </c>
    </row>
    <row r="17" spans="1:5">
      <c r="A17" s="6">
        <f t="shared" si="0"/>
        <v>42928</v>
      </c>
      <c r="B17" s="7">
        <v>42928</v>
      </c>
      <c r="C17" s="8">
        <v>263</v>
      </c>
      <c r="D17" s="8">
        <v>0</v>
      </c>
      <c r="E17" s="9">
        <v>83</v>
      </c>
    </row>
    <row r="18" spans="1:5">
      <c r="A18" s="6">
        <f t="shared" si="0"/>
        <v>42929</v>
      </c>
      <c r="B18" s="7">
        <v>42929</v>
      </c>
      <c r="C18" s="8">
        <v>236</v>
      </c>
      <c r="D18" s="8">
        <v>0</v>
      </c>
      <c r="E18" s="9">
        <v>87</v>
      </c>
    </row>
    <row r="19" spans="1:5">
      <c r="A19" s="6">
        <f t="shared" si="0"/>
        <v>42930</v>
      </c>
      <c r="B19" s="7">
        <v>42930</v>
      </c>
      <c r="C19" s="8">
        <v>211</v>
      </c>
      <c r="D19" s="8">
        <v>0</v>
      </c>
      <c r="E19" s="9">
        <v>90</v>
      </c>
    </row>
    <row r="20" spans="1:5">
      <c r="A20" s="6">
        <f t="shared" si="0"/>
        <v>42931</v>
      </c>
      <c r="B20" s="7">
        <v>42931</v>
      </c>
      <c r="C20" s="8">
        <v>136</v>
      </c>
      <c r="D20" s="8">
        <v>0</v>
      </c>
      <c r="E20" s="9">
        <v>33</v>
      </c>
    </row>
    <row r="21" spans="1:5">
      <c r="A21" s="6">
        <f t="shared" si="0"/>
        <v>42932</v>
      </c>
      <c r="B21" s="7">
        <v>42932</v>
      </c>
      <c r="C21" s="8">
        <v>136</v>
      </c>
      <c r="D21" s="8">
        <v>0</v>
      </c>
      <c r="E21" s="9">
        <v>44</v>
      </c>
    </row>
    <row r="22" spans="1:5">
      <c r="A22" s="6">
        <f t="shared" si="0"/>
        <v>42933</v>
      </c>
      <c r="B22" s="7">
        <v>42933</v>
      </c>
      <c r="C22" s="8">
        <v>263</v>
      </c>
      <c r="D22" s="8">
        <v>0</v>
      </c>
      <c r="E22" s="9">
        <v>69</v>
      </c>
    </row>
    <row r="23" spans="1:5">
      <c r="A23" s="6">
        <f t="shared" si="0"/>
        <v>42934</v>
      </c>
      <c r="B23" s="7">
        <v>42934</v>
      </c>
      <c r="C23" s="8">
        <v>274</v>
      </c>
      <c r="D23" s="8">
        <v>0</v>
      </c>
      <c r="E23" s="9">
        <v>80</v>
      </c>
    </row>
    <row r="24" spans="1:5">
      <c r="A24" s="6">
        <f t="shared" si="0"/>
        <v>42935</v>
      </c>
      <c r="B24" s="7">
        <v>42935</v>
      </c>
      <c r="C24" s="8">
        <v>268</v>
      </c>
      <c r="D24" s="8">
        <v>0</v>
      </c>
      <c r="E24" s="9">
        <v>92</v>
      </c>
    </row>
    <row r="25" spans="1:5">
      <c r="A25" s="6">
        <f t="shared" si="0"/>
        <v>42936</v>
      </c>
      <c r="B25" s="7">
        <v>42936</v>
      </c>
      <c r="C25" s="8">
        <v>255</v>
      </c>
      <c r="D25" s="8">
        <v>0</v>
      </c>
      <c r="E25" s="9">
        <v>98</v>
      </c>
    </row>
    <row r="26" spans="1:5">
      <c r="A26" s="6">
        <f t="shared" si="0"/>
        <v>42937</v>
      </c>
      <c r="B26" s="7">
        <v>42937</v>
      </c>
      <c r="C26" s="8">
        <v>204</v>
      </c>
      <c r="D26" s="8">
        <v>0</v>
      </c>
      <c r="E26" s="9">
        <v>77</v>
      </c>
    </row>
    <row r="27" spans="1:5">
      <c r="A27" s="6">
        <f t="shared" si="0"/>
        <v>42938</v>
      </c>
      <c r="B27" s="7">
        <v>42938</v>
      </c>
      <c r="C27" s="8">
        <v>146</v>
      </c>
      <c r="D27" s="8">
        <v>0</v>
      </c>
      <c r="E27" s="9">
        <v>38</v>
      </c>
    </row>
    <row r="28" spans="1:5">
      <c r="A28" s="6">
        <f t="shared" si="0"/>
        <v>42939</v>
      </c>
      <c r="B28" s="7">
        <v>42939</v>
      </c>
      <c r="C28" s="8">
        <v>163</v>
      </c>
      <c r="D28" s="8">
        <v>0</v>
      </c>
      <c r="E28" s="9">
        <v>37</v>
      </c>
    </row>
    <row r="29" spans="1:5">
      <c r="A29" s="6">
        <f t="shared" si="0"/>
        <v>42940</v>
      </c>
      <c r="B29" s="7">
        <v>42940</v>
      </c>
      <c r="C29" s="8">
        <v>254</v>
      </c>
      <c r="D29" s="8">
        <v>0</v>
      </c>
      <c r="E29" s="9">
        <v>72</v>
      </c>
    </row>
    <row r="30" spans="1:5">
      <c r="A30" s="6">
        <f t="shared" si="0"/>
        <v>42941</v>
      </c>
      <c r="B30" s="7">
        <v>42941</v>
      </c>
      <c r="C30" s="8">
        <v>266</v>
      </c>
      <c r="D30" s="8">
        <v>0</v>
      </c>
      <c r="E30" s="9">
        <v>83</v>
      </c>
    </row>
    <row r="31" spans="1:5">
      <c r="A31" s="6">
        <f t="shared" si="0"/>
        <v>42942</v>
      </c>
      <c r="B31" s="7">
        <v>42942</v>
      </c>
      <c r="C31" s="52">
        <v>264</v>
      </c>
      <c r="D31" s="52">
        <v>0</v>
      </c>
      <c r="E31" s="57">
        <v>74</v>
      </c>
    </row>
    <row r="32" spans="1:5">
      <c r="A32" s="6">
        <f t="shared" si="0"/>
        <v>42943</v>
      </c>
      <c r="B32" s="7">
        <v>42943</v>
      </c>
      <c r="C32" s="8">
        <v>259</v>
      </c>
      <c r="D32" s="8">
        <v>0</v>
      </c>
      <c r="E32" s="9">
        <v>71</v>
      </c>
    </row>
    <row r="33" spans="1:5">
      <c r="A33" s="6">
        <f t="shared" si="0"/>
        <v>42944</v>
      </c>
      <c r="B33" s="7">
        <v>42944</v>
      </c>
      <c r="C33" s="52">
        <v>224</v>
      </c>
      <c r="D33" s="52">
        <v>0</v>
      </c>
      <c r="E33" s="57">
        <v>74</v>
      </c>
    </row>
    <row r="34" spans="1:5" ht="16.5" customHeight="1">
      <c r="A34" s="6">
        <f t="shared" si="0"/>
        <v>42945</v>
      </c>
      <c r="B34" s="7">
        <v>42945</v>
      </c>
      <c r="C34" s="8">
        <v>158</v>
      </c>
      <c r="D34" s="8">
        <v>0</v>
      </c>
      <c r="E34" s="9">
        <v>37</v>
      </c>
    </row>
    <row r="35" spans="1:5">
      <c r="A35" s="6">
        <f t="shared" si="0"/>
        <v>42946</v>
      </c>
      <c r="B35" s="7">
        <v>42946</v>
      </c>
      <c r="C35" s="8">
        <v>122</v>
      </c>
      <c r="D35" s="8">
        <v>0</v>
      </c>
      <c r="E35" s="9">
        <v>32</v>
      </c>
    </row>
    <row r="36" spans="1:5">
      <c r="A36" s="6">
        <f t="shared" si="0"/>
        <v>42947</v>
      </c>
      <c r="B36" s="7">
        <v>42947</v>
      </c>
      <c r="C36" s="9">
        <v>233</v>
      </c>
      <c r="D36" s="9">
        <v>0</v>
      </c>
      <c r="E36" s="9">
        <v>59</v>
      </c>
    </row>
    <row r="37" spans="1:5">
      <c r="B37" s="10" t="s">
        <v>6</v>
      </c>
      <c r="C37" s="11">
        <f>SUM(C6:C36)</f>
        <v>6395</v>
      </c>
      <c r="D37" s="11">
        <f>SUM(D6:D35)</f>
        <v>13146</v>
      </c>
      <c r="E37" s="11">
        <f>SUM(E6:E35)</f>
        <v>1892</v>
      </c>
    </row>
    <row r="38" spans="1:5">
      <c r="C38" s="13"/>
    </row>
    <row r="39" spans="1:5">
      <c r="B39" s="14" t="s">
        <v>7</v>
      </c>
      <c r="C39" s="58">
        <v>4666</v>
      </c>
      <c r="D39" s="58">
        <v>6200</v>
      </c>
      <c r="E39" s="59">
        <v>405</v>
      </c>
    </row>
    <row r="40" spans="1:5">
      <c r="B40" s="14" t="s">
        <v>8</v>
      </c>
      <c r="C40" s="9">
        <f>C37</f>
        <v>6395</v>
      </c>
    </row>
    <row r="41" spans="1:5">
      <c r="B41" s="14" t="s">
        <v>9</v>
      </c>
      <c r="C41" s="9">
        <f>C39-C40</f>
        <v>-1729</v>
      </c>
    </row>
    <row r="42" spans="1:5">
      <c r="B42" s="14" t="s">
        <v>10</v>
      </c>
      <c r="C42" s="15">
        <f>C40/C39</f>
        <v>1.3705529361337334</v>
      </c>
    </row>
    <row r="43" spans="1:5">
      <c r="B43" s="14" t="s">
        <v>11</v>
      </c>
      <c r="C43" s="9">
        <f>IF(C40&lt;C39,0,C40-C39)</f>
        <v>1729</v>
      </c>
    </row>
    <row r="44" spans="1:5">
      <c r="B44" s="14" t="s">
        <v>12</v>
      </c>
      <c r="C44" s="9">
        <f ca="1">(C39-C37)/C48</f>
        <v>-57.633333333333333</v>
      </c>
    </row>
    <row r="45" spans="1:5" ht="15.75" customHeight="1" thickBot="1"/>
    <row r="46" spans="1:5">
      <c r="B46" s="16" t="s">
        <v>13</v>
      </c>
      <c r="C46" s="17">
        <f ca="1">C50-C49</f>
        <v>1</v>
      </c>
      <c r="D46" s="18"/>
    </row>
    <row r="47" spans="1:5">
      <c r="B47" s="19" t="s">
        <v>14</v>
      </c>
      <c r="C47" s="20">
        <f ca="1">D49-C49+1</f>
        <v>31</v>
      </c>
      <c r="D47" s="21"/>
    </row>
    <row r="48" spans="1:5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51" t="s">
        <v>20</v>
      </c>
    </row>
    <row r="58" spans="2:4">
      <c r="B58" s="53"/>
    </row>
    <row r="59" spans="2:4">
      <c r="B59" s="53"/>
    </row>
    <row r="60" spans="2:4">
      <c r="B60" s="53"/>
    </row>
    <row r="61" spans="2:4">
      <c r="B61" s="53"/>
    </row>
    <row r="62" spans="2:4">
      <c r="B62" s="53"/>
    </row>
    <row r="63" spans="2:4">
      <c r="B63" s="53"/>
    </row>
    <row r="64" spans="2:4">
      <c r="B64" s="53"/>
    </row>
    <row r="65" spans="2:2">
      <c r="B65" s="53"/>
    </row>
    <row r="66" spans="2:2">
      <c r="B66" s="53"/>
    </row>
    <row r="67" spans="2:2">
      <c r="B67" s="53"/>
    </row>
    <row r="68" spans="2:2">
      <c r="B68" s="53"/>
    </row>
    <row r="69" spans="2:2">
      <c r="B69" s="53"/>
    </row>
    <row r="70" spans="2:2">
      <c r="B70" s="53"/>
    </row>
    <row r="71" spans="2:2">
      <c r="B71" s="53"/>
    </row>
    <row r="72" spans="2:2">
      <c r="B72" s="53"/>
    </row>
    <row r="73" spans="2:2">
      <c r="B73" s="53"/>
    </row>
    <row r="74" spans="2:2">
      <c r="B74" s="5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9" workbookViewId="0">
      <selection activeCell="D37" sqref="D37"/>
    </sheetView>
  </sheetViews>
  <sheetFormatPr baseColWidth="10" defaultColWidth="8.83203125" defaultRowHeight="14" x14ac:dyDescent="0"/>
  <cols>
    <col min="1" max="1" width="13.33203125" customWidth="1"/>
    <col min="2" max="2" width="20.83203125" customWidth="1"/>
    <col min="3" max="3" width="14.6640625" bestFit="1" customWidth="1"/>
    <col min="4" max="4" width="14.83203125" customWidth="1"/>
    <col min="5" max="5" width="11.5" bestFit="1" customWidth="1"/>
    <col min="6" max="6" width="7.83203125" bestFit="1" customWidth="1"/>
  </cols>
  <sheetData>
    <row r="2" spans="1:6">
      <c r="B2" s="1" t="s">
        <v>89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4</v>
      </c>
      <c r="D5" s="5" t="s">
        <v>5</v>
      </c>
    </row>
    <row r="6" spans="1:6">
      <c r="A6" s="6">
        <f t="shared" ref="A6:A36" si="0">B6</f>
        <v>42917</v>
      </c>
      <c r="B6" s="7">
        <v>42917</v>
      </c>
      <c r="C6" s="39">
        <f>D6</f>
        <v>0</v>
      </c>
      <c r="D6" s="34"/>
      <c r="E6" s="14" t="s">
        <v>37</v>
      </c>
      <c r="F6" s="9">
        <f>AVERAGE(C6:C12)</f>
        <v>0</v>
      </c>
    </row>
    <row r="7" spans="1:6">
      <c r="A7" s="6">
        <f t="shared" si="0"/>
        <v>42918</v>
      </c>
      <c r="B7" s="7">
        <v>42918</v>
      </c>
      <c r="C7" s="44">
        <f t="shared" ref="C7:C36" si="1">IF(D7-D6&lt;0,0,D7-D6)</f>
        <v>0</v>
      </c>
      <c r="D7" s="34"/>
    </row>
    <row r="8" spans="1:6">
      <c r="A8" s="6">
        <f t="shared" si="0"/>
        <v>42919</v>
      </c>
      <c r="B8" s="7">
        <v>42919</v>
      </c>
      <c r="C8" s="44">
        <f t="shared" si="1"/>
        <v>0</v>
      </c>
      <c r="D8" s="34"/>
    </row>
    <row r="9" spans="1:6">
      <c r="A9" s="6">
        <f t="shared" si="0"/>
        <v>42920</v>
      </c>
      <c r="B9" s="7">
        <v>42920</v>
      </c>
      <c r="C9" s="44">
        <f t="shared" si="1"/>
        <v>0</v>
      </c>
      <c r="D9" s="34"/>
    </row>
    <row r="10" spans="1:6">
      <c r="A10" s="6">
        <f t="shared" si="0"/>
        <v>42921</v>
      </c>
      <c r="B10" s="7">
        <v>42921</v>
      </c>
      <c r="C10" s="44">
        <f t="shared" si="1"/>
        <v>0</v>
      </c>
      <c r="D10" s="34"/>
    </row>
    <row r="11" spans="1:6">
      <c r="A11" s="6">
        <f t="shared" si="0"/>
        <v>42922</v>
      </c>
      <c r="B11" s="7">
        <v>42922</v>
      </c>
      <c r="C11" s="44">
        <f t="shared" si="1"/>
        <v>0</v>
      </c>
      <c r="D11" s="34"/>
    </row>
    <row r="12" spans="1:6">
      <c r="A12" s="6">
        <f t="shared" si="0"/>
        <v>42923</v>
      </c>
      <c r="B12" s="7">
        <v>42923</v>
      </c>
      <c r="C12" s="44">
        <f t="shared" si="1"/>
        <v>0</v>
      </c>
      <c r="D12" s="34"/>
    </row>
    <row r="13" spans="1:6">
      <c r="A13" s="6">
        <f t="shared" si="0"/>
        <v>42924</v>
      </c>
      <c r="B13" s="7">
        <v>42924</v>
      </c>
      <c r="C13" s="44">
        <f t="shared" si="1"/>
        <v>0</v>
      </c>
      <c r="D13" s="34"/>
      <c r="E13" s="14" t="s">
        <v>38</v>
      </c>
      <c r="F13" s="9">
        <f>AVERAGE(C13:C19)</f>
        <v>0</v>
      </c>
    </row>
    <row r="14" spans="1:6">
      <c r="A14" s="6">
        <f t="shared" si="0"/>
        <v>42925</v>
      </c>
      <c r="B14" s="7">
        <v>42925</v>
      </c>
      <c r="C14" s="44">
        <f t="shared" si="1"/>
        <v>0</v>
      </c>
      <c r="D14" s="34"/>
    </row>
    <row r="15" spans="1:6">
      <c r="A15" s="6">
        <f t="shared" si="0"/>
        <v>42926</v>
      </c>
      <c r="B15" s="7">
        <v>42926</v>
      </c>
      <c r="C15" s="44">
        <f t="shared" si="1"/>
        <v>0</v>
      </c>
      <c r="D15" s="34"/>
    </row>
    <row r="16" spans="1:6">
      <c r="A16" s="6">
        <f t="shared" si="0"/>
        <v>42927</v>
      </c>
      <c r="B16" s="7">
        <v>42927</v>
      </c>
      <c r="C16" s="44">
        <f t="shared" si="1"/>
        <v>0</v>
      </c>
      <c r="D16" s="34"/>
    </row>
    <row r="17" spans="1:6">
      <c r="A17" s="6">
        <f t="shared" si="0"/>
        <v>42928</v>
      </c>
      <c r="B17" s="7">
        <v>42928</v>
      </c>
      <c r="C17" s="44">
        <f t="shared" si="1"/>
        <v>0</v>
      </c>
      <c r="D17" s="34"/>
    </row>
    <row r="18" spans="1:6">
      <c r="A18" s="6">
        <f t="shared" si="0"/>
        <v>42929</v>
      </c>
      <c r="B18" s="7">
        <v>42929</v>
      </c>
      <c r="C18" s="44">
        <f t="shared" si="1"/>
        <v>0</v>
      </c>
      <c r="D18" s="34"/>
    </row>
    <row r="19" spans="1:6">
      <c r="A19" s="6">
        <f t="shared" si="0"/>
        <v>42930</v>
      </c>
      <c r="B19" s="7">
        <v>42930</v>
      </c>
      <c r="C19" s="44">
        <f t="shared" si="1"/>
        <v>0</v>
      </c>
      <c r="D19" s="34"/>
    </row>
    <row r="20" spans="1:6">
      <c r="A20" s="6">
        <f t="shared" si="0"/>
        <v>42931</v>
      </c>
      <c r="B20" s="7">
        <v>42931</v>
      </c>
      <c r="C20" s="44">
        <f t="shared" si="1"/>
        <v>0</v>
      </c>
      <c r="D20" s="34"/>
      <c r="E20" s="14" t="s">
        <v>39</v>
      </c>
      <c r="F20" s="9">
        <f>AVERAGE(C20:C26)</f>
        <v>0</v>
      </c>
    </row>
    <row r="21" spans="1:6">
      <c r="A21" s="6">
        <f t="shared" si="0"/>
        <v>42932</v>
      </c>
      <c r="B21" s="7">
        <v>42932</v>
      </c>
      <c r="C21" s="44">
        <f t="shared" si="1"/>
        <v>0</v>
      </c>
      <c r="D21" s="34"/>
    </row>
    <row r="22" spans="1:6">
      <c r="A22" s="6">
        <f t="shared" si="0"/>
        <v>42933</v>
      </c>
      <c r="B22" s="7">
        <v>42933</v>
      </c>
      <c r="C22" s="44">
        <f t="shared" si="1"/>
        <v>0</v>
      </c>
      <c r="D22" s="34"/>
    </row>
    <row r="23" spans="1:6">
      <c r="A23" s="6">
        <f t="shared" si="0"/>
        <v>42934</v>
      </c>
      <c r="B23" s="7">
        <v>42934</v>
      </c>
      <c r="C23" s="44">
        <f t="shared" si="1"/>
        <v>0</v>
      </c>
      <c r="D23" s="34"/>
    </row>
    <row r="24" spans="1:6">
      <c r="A24" s="6">
        <f t="shared" si="0"/>
        <v>42935</v>
      </c>
      <c r="B24" s="7">
        <v>42935</v>
      </c>
      <c r="C24" s="44">
        <f t="shared" si="1"/>
        <v>0</v>
      </c>
      <c r="D24" s="34"/>
    </row>
    <row r="25" spans="1:6">
      <c r="A25" s="6">
        <f t="shared" si="0"/>
        <v>42936</v>
      </c>
      <c r="B25" s="7">
        <v>42936</v>
      </c>
      <c r="C25" s="44">
        <f t="shared" si="1"/>
        <v>0</v>
      </c>
      <c r="D25" s="34"/>
    </row>
    <row r="26" spans="1:6">
      <c r="A26" s="6">
        <f t="shared" si="0"/>
        <v>42937</v>
      </c>
      <c r="B26" s="7">
        <v>42937</v>
      </c>
      <c r="C26" s="44">
        <f t="shared" si="1"/>
        <v>0</v>
      </c>
      <c r="D26" s="34"/>
    </row>
    <row r="27" spans="1:6">
      <c r="A27" s="6">
        <f t="shared" si="0"/>
        <v>42938</v>
      </c>
      <c r="B27" s="7">
        <v>42938</v>
      </c>
      <c r="C27" s="44">
        <f t="shared" si="1"/>
        <v>0</v>
      </c>
      <c r="D27" s="34"/>
      <c r="E27" s="14" t="s">
        <v>40</v>
      </c>
      <c r="F27" s="9">
        <f>AVERAGE(C27:C33)</f>
        <v>0</v>
      </c>
    </row>
    <row r="28" spans="1:6">
      <c r="A28" s="6">
        <f t="shared" si="0"/>
        <v>42939</v>
      </c>
      <c r="B28" s="7">
        <v>42939</v>
      </c>
      <c r="C28" s="44">
        <f t="shared" si="1"/>
        <v>0</v>
      </c>
      <c r="D28" s="34"/>
    </row>
    <row r="29" spans="1:6">
      <c r="A29" s="6">
        <f t="shared" si="0"/>
        <v>42940</v>
      </c>
      <c r="B29" s="7">
        <v>42940</v>
      </c>
      <c r="C29" s="44">
        <f t="shared" si="1"/>
        <v>0</v>
      </c>
      <c r="D29" s="34"/>
    </row>
    <row r="30" spans="1:6">
      <c r="A30" s="6">
        <f t="shared" si="0"/>
        <v>42941</v>
      </c>
      <c r="B30" s="7">
        <v>42941</v>
      </c>
      <c r="C30" s="44">
        <f t="shared" si="1"/>
        <v>0</v>
      </c>
      <c r="D30" s="34"/>
    </row>
    <row r="31" spans="1:6">
      <c r="A31" s="6">
        <f t="shared" si="0"/>
        <v>42942</v>
      </c>
      <c r="B31" s="7">
        <v>42942</v>
      </c>
      <c r="C31" s="44">
        <f t="shared" si="1"/>
        <v>0</v>
      </c>
      <c r="D31" s="34"/>
    </row>
    <row r="32" spans="1:6">
      <c r="A32" s="6">
        <f t="shared" si="0"/>
        <v>42943</v>
      </c>
      <c r="B32" s="7">
        <v>42943</v>
      </c>
      <c r="C32" s="44">
        <f t="shared" si="1"/>
        <v>0</v>
      </c>
      <c r="D32" s="41">
        <v>0</v>
      </c>
    </row>
    <row r="33" spans="1:4">
      <c r="A33" s="6">
        <f t="shared" si="0"/>
        <v>42944</v>
      </c>
      <c r="B33" s="7">
        <v>42944</v>
      </c>
      <c r="C33" s="44">
        <f t="shared" si="1"/>
        <v>0</v>
      </c>
      <c r="D33" s="8">
        <v>0</v>
      </c>
    </row>
    <row r="34" spans="1:4">
      <c r="A34" s="6">
        <f t="shared" si="0"/>
        <v>42945</v>
      </c>
      <c r="B34" s="7">
        <v>42945</v>
      </c>
      <c r="C34" s="44">
        <f t="shared" si="1"/>
        <v>0</v>
      </c>
      <c r="D34" s="8">
        <v>0</v>
      </c>
    </row>
    <row r="35" spans="1:4">
      <c r="A35" s="6">
        <f t="shared" si="0"/>
        <v>42946</v>
      </c>
      <c r="B35" s="7">
        <v>42946</v>
      </c>
      <c r="C35" s="44">
        <f t="shared" si="1"/>
        <v>0</v>
      </c>
      <c r="D35" s="8">
        <v>0</v>
      </c>
    </row>
    <row r="36" spans="1:4">
      <c r="A36" s="6">
        <f t="shared" si="0"/>
        <v>42947</v>
      </c>
      <c r="B36" s="7">
        <v>42947</v>
      </c>
      <c r="C36" s="14">
        <f t="shared" si="1"/>
        <v>0</v>
      </c>
      <c r="D36" s="9">
        <v>0</v>
      </c>
    </row>
    <row r="37" spans="1:4">
      <c r="B37" s="10" t="s">
        <v>6</v>
      </c>
      <c r="C37" s="11">
        <f>SUM(C6:C36)</f>
        <v>0</v>
      </c>
      <c r="D37" s="12"/>
    </row>
    <row r="38" spans="1:4">
      <c r="C38" s="13"/>
    </row>
    <row r="39" spans="1:4">
      <c r="B39" s="14" t="s">
        <v>7</v>
      </c>
      <c r="C39" s="9">
        <v>1</v>
      </c>
    </row>
    <row r="40" spans="1:4">
      <c r="B40" s="14" t="s">
        <v>8</v>
      </c>
      <c r="C40" s="9">
        <f>C37</f>
        <v>0</v>
      </c>
    </row>
    <row r="41" spans="1:4">
      <c r="B41" s="14" t="s">
        <v>9</v>
      </c>
      <c r="C41" s="9">
        <f>C39-C40</f>
        <v>1</v>
      </c>
    </row>
    <row r="42" spans="1:4">
      <c r="B42" s="14" t="s">
        <v>10</v>
      </c>
      <c r="C42" s="15">
        <f>C40/C39</f>
        <v>0</v>
      </c>
    </row>
    <row r="43" spans="1:4">
      <c r="B43" s="14" t="s">
        <v>11</v>
      </c>
      <c r="C43" s="9">
        <f>IF(C40&lt;C39,0,C40-C39)</f>
        <v>0</v>
      </c>
    </row>
    <row r="44" spans="1:4">
      <c r="B44" s="14" t="s">
        <v>12</v>
      </c>
      <c r="C44" s="9">
        <f ca="1">(C39-C37)/C48</f>
        <v>3.3333333333333333E-2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workbookViewId="0">
      <selection activeCell="D37" sqref="D37"/>
    </sheetView>
  </sheetViews>
  <sheetFormatPr baseColWidth="10" defaultColWidth="8.83203125" defaultRowHeight="14" x14ac:dyDescent="0"/>
  <cols>
    <col min="1" max="1" width="13.33203125" customWidth="1"/>
    <col min="2" max="2" width="20.83203125" customWidth="1"/>
    <col min="3" max="3" width="14.6640625" bestFit="1" customWidth="1"/>
    <col min="4" max="4" width="14.83203125" customWidth="1"/>
    <col min="5" max="5" width="11.5" bestFit="1" customWidth="1"/>
    <col min="6" max="6" width="7.83203125" bestFit="1" customWidth="1"/>
  </cols>
  <sheetData>
    <row r="2" spans="1:6">
      <c r="B2" s="1" t="s">
        <v>76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4</v>
      </c>
      <c r="D5" s="5" t="s">
        <v>5</v>
      </c>
    </row>
    <row r="6" spans="1:6">
      <c r="A6" s="6">
        <f t="shared" ref="A6:A36" si="0">B6</f>
        <v>42917</v>
      </c>
      <c r="B6" s="7">
        <v>42917</v>
      </c>
      <c r="C6" s="39">
        <f>D6</f>
        <v>0</v>
      </c>
      <c r="D6" s="8">
        <v>0</v>
      </c>
      <c r="E6" s="14" t="s">
        <v>37</v>
      </c>
      <c r="F6" s="9">
        <f>AVERAGE(C6:C12)</f>
        <v>0</v>
      </c>
    </row>
    <row r="7" spans="1:6">
      <c r="A7" s="6">
        <f t="shared" si="0"/>
        <v>42918</v>
      </c>
      <c r="B7" s="7">
        <v>42918</v>
      </c>
      <c r="C7" s="44">
        <f t="shared" ref="C7:C36" si="1">IF(D7-D6&lt;0,0,D7-D6)</f>
        <v>0</v>
      </c>
      <c r="D7" s="8">
        <v>0</v>
      </c>
    </row>
    <row r="8" spans="1:6">
      <c r="A8" s="6">
        <f t="shared" si="0"/>
        <v>42919</v>
      </c>
      <c r="B8" s="7">
        <v>42919</v>
      </c>
      <c r="C8" s="44">
        <f t="shared" si="1"/>
        <v>0</v>
      </c>
      <c r="D8" s="8">
        <v>0</v>
      </c>
    </row>
    <row r="9" spans="1:6">
      <c r="A9" s="6">
        <f t="shared" si="0"/>
        <v>42920</v>
      </c>
      <c r="B9" s="7">
        <v>42920</v>
      </c>
      <c r="C9" s="44">
        <f t="shared" si="1"/>
        <v>0</v>
      </c>
      <c r="D9" s="8">
        <v>0</v>
      </c>
    </row>
    <row r="10" spans="1:6">
      <c r="A10" s="6">
        <f t="shared" si="0"/>
        <v>42921</v>
      </c>
      <c r="B10" s="7">
        <v>42921</v>
      </c>
      <c r="C10" s="44">
        <f t="shared" si="1"/>
        <v>0</v>
      </c>
      <c r="D10" s="8">
        <v>0</v>
      </c>
    </row>
    <row r="11" spans="1:6">
      <c r="A11" s="6">
        <f t="shared" si="0"/>
        <v>42922</v>
      </c>
      <c r="B11" s="7">
        <v>42922</v>
      </c>
      <c r="C11" s="44">
        <f t="shared" si="1"/>
        <v>0</v>
      </c>
      <c r="D11" s="8">
        <v>0</v>
      </c>
    </row>
    <row r="12" spans="1:6">
      <c r="A12" s="6">
        <f t="shared" si="0"/>
        <v>42923</v>
      </c>
      <c r="B12" s="7">
        <v>42923</v>
      </c>
      <c r="C12" s="44">
        <f t="shared" si="1"/>
        <v>0</v>
      </c>
      <c r="D12" s="8">
        <v>0</v>
      </c>
    </row>
    <row r="13" spans="1:6">
      <c r="A13" s="6">
        <f t="shared" si="0"/>
        <v>42924</v>
      </c>
      <c r="B13" s="7">
        <v>42924</v>
      </c>
      <c r="C13" s="44">
        <f t="shared" si="1"/>
        <v>0</v>
      </c>
      <c r="D13" s="8">
        <v>0</v>
      </c>
      <c r="E13" s="14" t="s">
        <v>38</v>
      </c>
      <c r="F13" s="9">
        <f>AVERAGE(C13:C19)</f>
        <v>0</v>
      </c>
    </row>
    <row r="14" spans="1:6">
      <c r="A14" s="6">
        <f t="shared" si="0"/>
        <v>42925</v>
      </c>
      <c r="B14" s="7">
        <v>42925</v>
      </c>
      <c r="C14" s="44">
        <f t="shared" si="1"/>
        <v>0</v>
      </c>
      <c r="D14" s="8">
        <v>0</v>
      </c>
    </row>
    <row r="15" spans="1:6">
      <c r="A15" s="6">
        <f t="shared" si="0"/>
        <v>42926</v>
      </c>
      <c r="B15" s="7">
        <v>42926</v>
      </c>
      <c r="C15" s="44">
        <f t="shared" si="1"/>
        <v>0</v>
      </c>
      <c r="D15" s="8">
        <v>0</v>
      </c>
    </row>
    <row r="16" spans="1:6">
      <c r="A16" s="6">
        <f t="shared" si="0"/>
        <v>42927</v>
      </c>
      <c r="B16" s="7">
        <v>42927</v>
      </c>
      <c r="C16" s="44">
        <f t="shared" si="1"/>
        <v>0</v>
      </c>
      <c r="D16" s="8">
        <v>0</v>
      </c>
    </row>
    <row r="17" spans="1:6">
      <c r="A17" s="6">
        <f t="shared" si="0"/>
        <v>42928</v>
      </c>
      <c r="B17" s="7">
        <v>42928</v>
      </c>
      <c r="C17" s="44">
        <f t="shared" si="1"/>
        <v>0</v>
      </c>
      <c r="D17" s="8">
        <v>0</v>
      </c>
    </row>
    <row r="18" spans="1:6">
      <c r="A18" s="6">
        <f t="shared" si="0"/>
        <v>42929</v>
      </c>
      <c r="B18" s="7">
        <v>42929</v>
      </c>
      <c r="C18" s="44">
        <f t="shared" si="1"/>
        <v>0</v>
      </c>
      <c r="D18" s="8">
        <v>0</v>
      </c>
    </row>
    <row r="19" spans="1:6">
      <c r="A19" s="6">
        <f t="shared" si="0"/>
        <v>42930</v>
      </c>
      <c r="B19" s="7">
        <v>42930</v>
      </c>
      <c r="C19" s="44">
        <f t="shared" si="1"/>
        <v>0</v>
      </c>
      <c r="D19" s="8">
        <v>0</v>
      </c>
    </row>
    <row r="20" spans="1:6">
      <c r="A20" s="6">
        <f t="shared" si="0"/>
        <v>42931</v>
      </c>
      <c r="B20" s="7">
        <v>42931</v>
      </c>
      <c r="C20" s="44">
        <f t="shared" si="1"/>
        <v>0</v>
      </c>
      <c r="D20" s="8">
        <v>0</v>
      </c>
      <c r="E20" s="14" t="s">
        <v>39</v>
      </c>
      <c r="F20" s="9">
        <f>AVERAGE(C20:C26)</f>
        <v>0</v>
      </c>
    </row>
    <row r="21" spans="1:6">
      <c r="A21" s="6">
        <f t="shared" si="0"/>
        <v>42932</v>
      </c>
      <c r="B21" s="7">
        <v>42932</v>
      </c>
      <c r="C21" s="44">
        <f t="shared" si="1"/>
        <v>0</v>
      </c>
      <c r="D21" s="8">
        <v>0</v>
      </c>
    </row>
    <row r="22" spans="1:6">
      <c r="A22" s="6">
        <f t="shared" si="0"/>
        <v>42933</v>
      </c>
      <c r="B22" s="7">
        <v>42933</v>
      </c>
      <c r="C22" s="44">
        <f t="shared" si="1"/>
        <v>0</v>
      </c>
      <c r="D22" s="8">
        <v>0</v>
      </c>
    </row>
    <row r="23" spans="1:6">
      <c r="A23" s="6">
        <f t="shared" si="0"/>
        <v>42934</v>
      </c>
      <c r="B23" s="7">
        <v>42934</v>
      </c>
      <c r="C23" s="44">
        <f t="shared" si="1"/>
        <v>0</v>
      </c>
      <c r="D23" s="8">
        <v>0</v>
      </c>
    </row>
    <row r="24" spans="1:6">
      <c r="A24" s="6">
        <f t="shared" si="0"/>
        <v>42935</v>
      </c>
      <c r="B24" s="7">
        <v>42935</v>
      </c>
      <c r="C24" s="44">
        <f t="shared" si="1"/>
        <v>0</v>
      </c>
      <c r="D24" s="8">
        <v>0</v>
      </c>
    </row>
    <row r="25" spans="1:6">
      <c r="A25" s="6">
        <f t="shared" si="0"/>
        <v>42936</v>
      </c>
      <c r="B25" s="7">
        <v>42936</v>
      </c>
      <c r="C25" s="44">
        <f t="shared" si="1"/>
        <v>0</v>
      </c>
      <c r="D25" s="8">
        <v>0</v>
      </c>
    </row>
    <row r="26" spans="1:6">
      <c r="A26" s="6">
        <f t="shared" si="0"/>
        <v>42937</v>
      </c>
      <c r="B26" s="7">
        <v>42937</v>
      </c>
      <c r="C26" s="44">
        <f t="shared" si="1"/>
        <v>0</v>
      </c>
      <c r="D26" s="8">
        <v>0</v>
      </c>
    </row>
    <row r="27" spans="1:6">
      <c r="A27" s="6">
        <f t="shared" si="0"/>
        <v>42938</v>
      </c>
      <c r="B27" s="7">
        <v>42938</v>
      </c>
      <c r="C27" s="44">
        <f t="shared" si="1"/>
        <v>0</v>
      </c>
      <c r="D27" s="8">
        <v>0</v>
      </c>
      <c r="E27" s="14" t="s">
        <v>40</v>
      </c>
      <c r="F27" s="9">
        <f>AVERAGE(C27:C33)</f>
        <v>0</v>
      </c>
    </row>
    <row r="28" spans="1:6">
      <c r="A28" s="6">
        <f t="shared" si="0"/>
        <v>42939</v>
      </c>
      <c r="B28" s="7">
        <v>42939</v>
      </c>
      <c r="C28" s="44">
        <f t="shared" si="1"/>
        <v>0</v>
      </c>
      <c r="D28" s="8">
        <v>0</v>
      </c>
    </row>
    <row r="29" spans="1:6">
      <c r="A29" s="6">
        <f t="shared" si="0"/>
        <v>42940</v>
      </c>
      <c r="B29" s="7">
        <v>42940</v>
      </c>
      <c r="C29" s="44">
        <f t="shared" si="1"/>
        <v>0</v>
      </c>
      <c r="D29" s="8">
        <v>0</v>
      </c>
    </row>
    <row r="30" spans="1:6">
      <c r="A30" s="6">
        <f t="shared" si="0"/>
        <v>42941</v>
      </c>
      <c r="B30" s="7">
        <v>42941</v>
      </c>
      <c r="C30" s="44">
        <f t="shared" si="1"/>
        <v>0</v>
      </c>
      <c r="D30" s="8">
        <v>0</v>
      </c>
    </row>
    <row r="31" spans="1:6">
      <c r="A31" s="6">
        <f t="shared" si="0"/>
        <v>42942</v>
      </c>
      <c r="B31" s="7">
        <v>42942</v>
      </c>
      <c r="C31" s="44">
        <f t="shared" si="1"/>
        <v>0</v>
      </c>
      <c r="D31" s="8">
        <v>0</v>
      </c>
    </row>
    <row r="32" spans="1:6">
      <c r="A32" s="6">
        <f t="shared" si="0"/>
        <v>42943</v>
      </c>
      <c r="B32" s="7">
        <v>42943</v>
      </c>
      <c r="C32" s="44">
        <f t="shared" si="1"/>
        <v>0</v>
      </c>
      <c r="D32" s="8">
        <v>0</v>
      </c>
    </row>
    <row r="33" spans="1:4">
      <c r="A33" s="6">
        <f t="shared" si="0"/>
        <v>42944</v>
      </c>
      <c r="B33" s="7">
        <v>42944</v>
      </c>
      <c r="C33" s="44">
        <f t="shared" si="1"/>
        <v>0</v>
      </c>
      <c r="D33" s="8">
        <v>0</v>
      </c>
    </row>
    <row r="34" spans="1:4">
      <c r="A34" s="6">
        <f t="shared" si="0"/>
        <v>42945</v>
      </c>
      <c r="B34" s="7">
        <v>42945</v>
      </c>
      <c r="C34" s="44">
        <f t="shared" si="1"/>
        <v>0</v>
      </c>
      <c r="D34" s="8">
        <v>0</v>
      </c>
    </row>
    <row r="35" spans="1:4">
      <c r="A35" s="6">
        <f t="shared" si="0"/>
        <v>42946</v>
      </c>
      <c r="B35" s="7">
        <v>42946</v>
      </c>
      <c r="C35" s="44">
        <f t="shared" si="1"/>
        <v>0</v>
      </c>
      <c r="D35" s="8">
        <v>0</v>
      </c>
    </row>
    <row r="36" spans="1:4">
      <c r="A36" s="6">
        <f t="shared" si="0"/>
        <v>42947</v>
      </c>
      <c r="B36" s="7">
        <v>42947</v>
      </c>
      <c r="C36" s="14">
        <f t="shared" si="1"/>
        <v>0</v>
      </c>
      <c r="D36" s="9">
        <v>0</v>
      </c>
    </row>
    <row r="37" spans="1:4">
      <c r="B37" s="10" t="s">
        <v>6</v>
      </c>
      <c r="C37" s="11">
        <f>SUM(C6:C36)</f>
        <v>0</v>
      </c>
      <c r="D37" s="12"/>
    </row>
    <row r="38" spans="1:4">
      <c r="C38" s="13"/>
    </row>
    <row r="39" spans="1:4">
      <c r="B39" s="14" t="s">
        <v>7</v>
      </c>
      <c r="C39" s="9">
        <v>5</v>
      </c>
    </row>
    <row r="40" spans="1:4">
      <c r="B40" s="14" t="s">
        <v>8</v>
      </c>
      <c r="C40" s="9">
        <f>C37</f>
        <v>0</v>
      </c>
    </row>
    <row r="41" spans="1:4">
      <c r="B41" s="14" t="s">
        <v>9</v>
      </c>
      <c r="C41" s="9">
        <f>C39-C40</f>
        <v>5</v>
      </c>
    </row>
    <row r="42" spans="1:4">
      <c r="B42" s="14" t="s">
        <v>10</v>
      </c>
      <c r="C42" s="15">
        <f>C40/C39</f>
        <v>0</v>
      </c>
    </row>
    <row r="43" spans="1:4">
      <c r="B43" s="14" t="s">
        <v>11</v>
      </c>
      <c r="C43" s="9">
        <f>IF(C40&lt;C39,0,C40-C39)</f>
        <v>0</v>
      </c>
    </row>
    <row r="44" spans="1:4">
      <c r="B44" s="14" t="s">
        <v>12</v>
      </c>
      <c r="C44" s="9">
        <f ca="1">(C39-C37)/C48</f>
        <v>0.16666666666666666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13" workbookViewId="0">
      <selection activeCell="F40" sqref="F40"/>
    </sheetView>
  </sheetViews>
  <sheetFormatPr baseColWidth="10" defaultColWidth="8.83203125" defaultRowHeight="14" x14ac:dyDescent="0"/>
  <cols>
    <col min="1" max="1" width="13.33203125" customWidth="1"/>
    <col min="2" max="2" width="20.83203125" customWidth="1"/>
    <col min="3" max="3" width="14.6640625" bestFit="1" customWidth="1"/>
    <col min="4" max="4" width="14.83203125" customWidth="1"/>
    <col min="5" max="5" width="11.5" bestFit="1" customWidth="1"/>
    <col min="6" max="6" width="7.83203125" bestFit="1" customWidth="1"/>
  </cols>
  <sheetData>
    <row r="2" spans="1:6">
      <c r="B2" s="1" t="s">
        <v>78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4</v>
      </c>
      <c r="D5" s="5" t="s">
        <v>5</v>
      </c>
    </row>
    <row r="6" spans="1:6">
      <c r="A6" s="6">
        <f t="shared" ref="A6:A36" si="0">B6</f>
        <v>42917</v>
      </c>
      <c r="B6" s="7">
        <v>42917</v>
      </c>
      <c r="C6" s="39">
        <f>D6</f>
        <v>0</v>
      </c>
      <c r="D6" s="8">
        <v>0</v>
      </c>
      <c r="E6" s="14" t="s">
        <v>37</v>
      </c>
      <c r="F6" s="9">
        <f>AVERAGE(C6:C12)</f>
        <v>1.2857142857142858</v>
      </c>
    </row>
    <row r="7" spans="1:6">
      <c r="A7" s="6">
        <f t="shared" si="0"/>
        <v>42918</v>
      </c>
      <c r="B7" s="7">
        <v>42918</v>
      </c>
      <c r="C7" s="44">
        <f t="shared" ref="C7:C36" si="1">IF(D7-D6&lt;0,0,D7-D6)</f>
        <v>0</v>
      </c>
      <c r="D7" s="8">
        <v>0</v>
      </c>
    </row>
    <row r="8" spans="1:6">
      <c r="A8" s="6">
        <f t="shared" si="0"/>
        <v>42919</v>
      </c>
      <c r="B8" s="7">
        <v>42919</v>
      </c>
      <c r="C8" s="44">
        <f t="shared" si="1"/>
        <v>4</v>
      </c>
      <c r="D8" s="8">
        <v>4</v>
      </c>
    </row>
    <row r="9" spans="1:6">
      <c r="A9" s="6">
        <f t="shared" si="0"/>
        <v>42920</v>
      </c>
      <c r="B9" s="7">
        <v>42920</v>
      </c>
      <c r="C9" s="44">
        <f t="shared" si="1"/>
        <v>1</v>
      </c>
      <c r="D9" s="8">
        <v>5</v>
      </c>
    </row>
    <row r="10" spans="1:6">
      <c r="A10" s="6">
        <f t="shared" si="0"/>
        <v>42921</v>
      </c>
      <c r="B10" s="7">
        <v>42921</v>
      </c>
      <c r="C10" s="44">
        <f t="shared" si="1"/>
        <v>2</v>
      </c>
      <c r="D10" s="8">
        <v>7</v>
      </c>
    </row>
    <row r="11" spans="1:6">
      <c r="A11" s="6">
        <f t="shared" si="0"/>
        <v>42922</v>
      </c>
      <c r="B11" s="7">
        <v>42922</v>
      </c>
      <c r="C11" s="44">
        <f t="shared" si="1"/>
        <v>1</v>
      </c>
      <c r="D11" s="8">
        <v>8</v>
      </c>
    </row>
    <row r="12" spans="1:6">
      <c r="A12" s="6">
        <f t="shared" si="0"/>
        <v>42923</v>
      </c>
      <c r="B12" s="7">
        <v>42923</v>
      </c>
      <c r="C12" s="44">
        <f t="shared" si="1"/>
        <v>1</v>
      </c>
      <c r="D12" s="8">
        <v>9</v>
      </c>
    </row>
    <row r="13" spans="1:6">
      <c r="A13" s="6">
        <f t="shared" si="0"/>
        <v>42924</v>
      </c>
      <c r="B13" s="7">
        <v>42924</v>
      </c>
      <c r="C13" s="44">
        <f t="shared" si="1"/>
        <v>3</v>
      </c>
      <c r="D13" s="8">
        <f>5+7</f>
        <v>12</v>
      </c>
      <c r="E13" s="14" t="s">
        <v>38</v>
      </c>
      <c r="F13" s="9">
        <f>AVERAGE(C13:C19)</f>
        <v>2.5714285714285716</v>
      </c>
    </row>
    <row r="14" spans="1:6">
      <c r="A14" s="6">
        <f t="shared" si="0"/>
        <v>42925</v>
      </c>
      <c r="B14" s="7">
        <v>42925</v>
      </c>
      <c r="C14" s="44">
        <f t="shared" si="1"/>
        <v>0</v>
      </c>
      <c r="D14" s="8">
        <f>5+7</f>
        <v>12</v>
      </c>
    </row>
    <row r="15" spans="1:6">
      <c r="A15" s="6">
        <f t="shared" si="0"/>
        <v>42926</v>
      </c>
      <c r="B15" s="7">
        <v>42926</v>
      </c>
      <c r="C15" s="44">
        <f t="shared" si="1"/>
        <v>4</v>
      </c>
      <c r="D15" s="8">
        <v>16</v>
      </c>
    </row>
    <row r="16" spans="1:6">
      <c r="A16" s="6">
        <f t="shared" si="0"/>
        <v>42927</v>
      </c>
      <c r="B16" s="7">
        <v>42927</v>
      </c>
      <c r="C16" s="44">
        <f t="shared" si="1"/>
        <v>0</v>
      </c>
      <c r="D16" s="8">
        <f>8+8</f>
        <v>16</v>
      </c>
    </row>
    <row r="17" spans="1:6">
      <c r="A17" s="6">
        <f t="shared" si="0"/>
        <v>42928</v>
      </c>
      <c r="B17" s="7">
        <v>42928</v>
      </c>
      <c r="C17" s="44">
        <f t="shared" si="1"/>
        <v>4</v>
      </c>
      <c r="D17" s="8">
        <f>11+9</f>
        <v>20</v>
      </c>
    </row>
    <row r="18" spans="1:6">
      <c r="A18" s="6">
        <f t="shared" si="0"/>
        <v>42929</v>
      </c>
      <c r="B18" s="7">
        <v>42929</v>
      </c>
      <c r="C18" s="44">
        <f t="shared" si="1"/>
        <v>3</v>
      </c>
      <c r="D18" s="8">
        <v>23</v>
      </c>
    </row>
    <row r="19" spans="1:6">
      <c r="A19" s="6">
        <f t="shared" si="0"/>
        <v>42930</v>
      </c>
      <c r="B19" s="7">
        <v>42930</v>
      </c>
      <c r="C19" s="44">
        <f t="shared" si="1"/>
        <v>4</v>
      </c>
      <c r="D19" s="8">
        <f>14+13</f>
        <v>27</v>
      </c>
    </row>
    <row r="20" spans="1:6">
      <c r="A20" s="6">
        <f t="shared" si="0"/>
        <v>42931</v>
      </c>
      <c r="B20" s="7">
        <v>42931</v>
      </c>
      <c r="C20" s="44">
        <f t="shared" si="1"/>
        <v>3</v>
      </c>
      <c r="D20" s="8">
        <f>17+13</f>
        <v>30</v>
      </c>
      <c r="E20" s="14" t="s">
        <v>39</v>
      </c>
      <c r="F20" s="9">
        <f>AVERAGE(C20:C26)</f>
        <v>1.8571428571428572</v>
      </c>
    </row>
    <row r="21" spans="1:6">
      <c r="A21" s="6">
        <f t="shared" si="0"/>
        <v>42932</v>
      </c>
      <c r="B21" s="7">
        <v>42932</v>
      </c>
      <c r="C21" s="44">
        <f t="shared" si="1"/>
        <v>4</v>
      </c>
      <c r="D21" s="8">
        <f>21+13</f>
        <v>34</v>
      </c>
    </row>
    <row r="22" spans="1:6">
      <c r="A22" s="6">
        <f t="shared" si="0"/>
        <v>42933</v>
      </c>
      <c r="B22" s="7">
        <v>42933</v>
      </c>
      <c r="C22" s="44">
        <f t="shared" si="1"/>
        <v>2</v>
      </c>
      <c r="D22" s="8">
        <f>23+13</f>
        <v>36</v>
      </c>
    </row>
    <row r="23" spans="1:6">
      <c r="A23" s="6">
        <f t="shared" si="0"/>
        <v>42934</v>
      </c>
      <c r="B23" s="7">
        <v>42934</v>
      </c>
      <c r="C23" s="44">
        <f t="shared" si="1"/>
        <v>0</v>
      </c>
      <c r="D23" s="8">
        <f>23+13</f>
        <v>36</v>
      </c>
    </row>
    <row r="24" spans="1:6">
      <c r="A24" s="6">
        <f t="shared" si="0"/>
        <v>42935</v>
      </c>
      <c r="B24" s="7">
        <v>42935</v>
      </c>
      <c r="C24" s="44">
        <f t="shared" si="1"/>
        <v>2</v>
      </c>
      <c r="D24" s="8">
        <f>23+15</f>
        <v>38</v>
      </c>
    </row>
    <row r="25" spans="1:6">
      <c r="A25" s="6">
        <f t="shared" si="0"/>
        <v>42936</v>
      </c>
      <c r="B25" s="7">
        <v>42936</v>
      </c>
      <c r="C25" s="44">
        <f t="shared" si="1"/>
        <v>0</v>
      </c>
      <c r="D25" s="8">
        <f>23+15</f>
        <v>38</v>
      </c>
    </row>
    <row r="26" spans="1:6">
      <c r="A26" s="6">
        <f t="shared" si="0"/>
        <v>42937</v>
      </c>
      <c r="B26" s="7">
        <v>42937</v>
      </c>
      <c r="C26" s="44">
        <f t="shared" si="1"/>
        <v>2</v>
      </c>
      <c r="D26" s="8">
        <f>24+16</f>
        <v>40</v>
      </c>
    </row>
    <row r="27" spans="1:6">
      <c r="A27" s="6">
        <f t="shared" si="0"/>
        <v>42938</v>
      </c>
      <c r="B27" s="7">
        <v>42938</v>
      </c>
      <c r="C27" s="44">
        <f t="shared" si="1"/>
        <v>2</v>
      </c>
      <c r="D27" s="8">
        <f>25+17</f>
        <v>42</v>
      </c>
      <c r="E27" s="14" t="s">
        <v>40</v>
      </c>
      <c r="F27" s="9">
        <f>AVERAGE(C27:C33)</f>
        <v>2.1428571428571428</v>
      </c>
    </row>
    <row r="28" spans="1:6">
      <c r="A28" s="6">
        <f t="shared" si="0"/>
        <v>42939</v>
      </c>
      <c r="B28" s="7">
        <v>42939</v>
      </c>
      <c r="C28" s="44">
        <f t="shared" si="1"/>
        <v>3</v>
      </c>
      <c r="D28" s="8">
        <f>28+17</f>
        <v>45</v>
      </c>
    </row>
    <row r="29" spans="1:6">
      <c r="A29" s="6">
        <f t="shared" si="0"/>
        <v>42940</v>
      </c>
      <c r="B29" s="7">
        <v>42940</v>
      </c>
      <c r="C29" s="44">
        <f t="shared" si="1"/>
        <v>3</v>
      </c>
      <c r="D29" s="8">
        <f>31+17</f>
        <v>48</v>
      </c>
    </row>
    <row r="30" spans="1:6">
      <c r="A30" s="6">
        <f t="shared" si="0"/>
        <v>42941</v>
      </c>
      <c r="B30" s="7">
        <v>42941</v>
      </c>
      <c r="C30" s="44">
        <f t="shared" si="1"/>
        <v>1</v>
      </c>
      <c r="D30" s="8">
        <f>31+18</f>
        <v>49</v>
      </c>
    </row>
    <row r="31" spans="1:6">
      <c r="A31" s="6">
        <f t="shared" si="0"/>
        <v>42942</v>
      </c>
      <c r="B31" s="7">
        <v>42942</v>
      </c>
      <c r="C31" s="44">
        <f t="shared" si="1"/>
        <v>1</v>
      </c>
      <c r="D31" s="8">
        <f>32+18</f>
        <v>50</v>
      </c>
    </row>
    <row r="32" spans="1:6">
      <c r="A32" s="6">
        <f t="shared" si="0"/>
        <v>42943</v>
      </c>
      <c r="B32" s="7">
        <v>42943</v>
      </c>
      <c r="C32" s="44">
        <f t="shared" si="1"/>
        <v>3</v>
      </c>
      <c r="D32" s="8">
        <f>34+19</f>
        <v>53</v>
      </c>
    </row>
    <row r="33" spans="1:4">
      <c r="A33" s="6">
        <f t="shared" si="0"/>
        <v>42944</v>
      </c>
      <c r="B33" s="7">
        <v>42944</v>
      </c>
      <c r="C33" s="44">
        <f t="shared" si="1"/>
        <v>2</v>
      </c>
      <c r="D33" s="8">
        <v>55</v>
      </c>
    </row>
    <row r="34" spans="1:4">
      <c r="A34" s="6">
        <f t="shared" si="0"/>
        <v>42945</v>
      </c>
      <c r="B34" s="7">
        <v>42945</v>
      </c>
      <c r="C34" s="44">
        <f t="shared" si="1"/>
        <v>2</v>
      </c>
      <c r="D34" s="8">
        <f>37+20</f>
        <v>57</v>
      </c>
    </row>
    <row r="35" spans="1:4">
      <c r="A35" s="6">
        <f t="shared" si="0"/>
        <v>42946</v>
      </c>
      <c r="B35" s="7">
        <v>42946</v>
      </c>
      <c r="C35" s="44">
        <f t="shared" si="1"/>
        <v>2</v>
      </c>
      <c r="D35" s="8">
        <f>38+21</f>
        <v>59</v>
      </c>
    </row>
    <row r="36" spans="1:4">
      <c r="A36" s="6">
        <f t="shared" si="0"/>
        <v>42947</v>
      </c>
      <c r="B36" s="7">
        <v>42947</v>
      </c>
      <c r="C36" s="14">
        <f t="shared" si="1"/>
        <v>0</v>
      </c>
      <c r="D36" s="9">
        <f>38+21</f>
        <v>59</v>
      </c>
    </row>
    <row r="37" spans="1:4">
      <c r="B37" s="10" t="s">
        <v>6</v>
      </c>
      <c r="C37" s="11">
        <f>SUM(C6:C36)</f>
        <v>59</v>
      </c>
      <c r="D37" s="12"/>
    </row>
    <row r="38" spans="1:4">
      <c r="C38" s="13"/>
    </row>
    <row r="39" spans="1:4">
      <c r="B39" s="14" t="s">
        <v>7</v>
      </c>
      <c r="C39" s="9">
        <v>5</v>
      </c>
    </row>
    <row r="40" spans="1:4">
      <c r="B40" s="14" t="s">
        <v>8</v>
      </c>
      <c r="C40" s="9">
        <f>C37</f>
        <v>59</v>
      </c>
    </row>
    <row r="41" spans="1:4">
      <c r="B41" s="14" t="s">
        <v>9</v>
      </c>
      <c r="C41" s="9">
        <f>C39-C40</f>
        <v>-54</v>
      </c>
    </row>
    <row r="42" spans="1:4">
      <c r="B42" s="14" t="s">
        <v>10</v>
      </c>
      <c r="C42" s="15">
        <f>C40/C39</f>
        <v>11.8</v>
      </c>
    </row>
    <row r="43" spans="1:4">
      <c r="B43" s="14" t="s">
        <v>11</v>
      </c>
      <c r="C43" s="9">
        <f>IF(C40&lt;C39,0,C40-C39)</f>
        <v>54</v>
      </c>
    </row>
    <row r="44" spans="1:4">
      <c r="B44" s="14" t="s">
        <v>12</v>
      </c>
      <c r="C44" s="9">
        <f ca="1">(C39-C37)/C48</f>
        <v>-1.8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51" t="s">
        <v>20</v>
      </c>
    </row>
  </sheetData>
  <phoneticPr fontId="10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7"/>
  <sheetViews>
    <sheetView showGridLines="0" workbookViewId="0">
      <selection activeCell="I43" sqref="I43"/>
    </sheetView>
  </sheetViews>
  <sheetFormatPr baseColWidth="10" defaultColWidth="8.83203125" defaultRowHeight="14" x14ac:dyDescent="0"/>
  <cols>
    <col min="1" max="1" width="13.33203125" customWidth="1"/>
    <col min="2" max="2" width="25.1640625" customWidth="1"/>
    <col min="3" max="3" width="14.6640625" bestFit="1" customWidth="1"/>
    <col min="4" max="4" width="14.83203125" customWidth="1"/>
    <col min="5" max="5" width="11.5" bestFit="1" customWidth="1"/>
    <col min="6" max="6" width="7.83203125" bestFit="1" customWidth="1"/>
  </cols>
  <sheetData>
    <row r="2" spans="1:5">
      <c r="B2" s="1" t="s">
        <v>79</v>
      </c>
    </row>
    <row r="4" spans="1:5">
      <c r="B4" s="2" t="s">
        <v>1</v>
      </c>
      <c r="C4" s="2"/>
    </row>
    <row r="5" spans="1:5">
      <c r="A5" s="3" t="s">
        <v>2</v>
      </c>
      <c r="B5" s="4" t="s">
        <v>3</v>
      </c>
      <c r="C5" s="4" t="s">
        <v>4</v>
      </c>
    </row>
    <row r="6" spans="1:5">
      <c r="A6" s="6">
        <f t="shared" ref="A6:A36" si="0">B6</f>
        <v>42917</v>
      </c>
      <c r="B6" s="7">
        <v>42917</v>
      </c>
      <c r="C6" s="44"/>
      <c r="D6" s="44"/>
      <c r="E6" s="9" t="e">
        <f>AVERAGE(C6:C12)</f>
        <v>#DIV/0!</v>
      </c>
    </row>
    <row r="7" spans="1:5">
      <c r="A7" s="6">
        <f t="shared" si="0"/>
        <v>42918</v>
      </c>
      <c r="B7" s="7">
        <v>42918</v>
      </c>
      <c r="C7" s="44"/>
      <c r="D7" s="36"/>
    </row>
    <row r="8" spans="1:5">
      <c r="A8" s="6">
        <f t="shared" si="0"/>
        <v>42919</v>
      </c>
      <c r="B8" s="7">
        <v>42919</v>
      </c>
      <c r="C8" s="44"/>
      <c r="D8" s="36"/>
    </row>
    <row r="9" spans="1:5">
      <c r="A9" s="6">
        <f t="shared" si="0"/>
        <v>42920</v>
      </c>
      <c r="B9" s="7">
        <v>42920</v>
      </c>
      <c r="C9" s="44"/>
      <c r="D9" s="36"/>
    </row>
    <row r="10" spans="1:5">
      <c r="A10" s="6">
        <f t="shared" si="0"/>
        <v>42921</v>
      </c>
      <c r="B10" s="7">
        <v>42921</v>
      </c>
      <c r="C10" s="44"/>
      <c r="D10" s="36"/>
    </row>
    <row r="11" spans="1:5">
      <c r="A11" s="6">
        <f t="shared" si="0"/>
        <v>42922</v>
      </c>
      <c r="B11" s="7">
        <v>42922</v>
      </c>
      <c r="C11" s="44"/>
      <c r="D11" s="36"/>
    </row>
    <row r="12" spans="1:5">
      <c r="A12" s="6">
        <f t="shared" si="0"/>
        <v>42923</v>
      </c>
      <c r="B12" s="7">
        <v>42923</v>
      </c>
      <c r="C12" s="44"/>
      <c r="D12" s="36"/>
    </row>
    <row r="13" spans="1:5">
      <c r="A13" s="6">
        <f t="shared" si="0"/>
        <v>42924</v>
      </c>
      <c r="B13" s="7">
        <v>42924</v>
      </c>
      <c r="C13" s="44"/>
      <c r="D13" s="44"/>
      <c r="E13" s="9" t="e">
        <f>AVERAGE(C13:C19)</f>
        <v>#DIV/0!</v>
      </c>
    </row>
    <row r="14" spans="1:5">
      <c r="A14" s="6">
        <f t="shared" si="0"/>
        <v>42925</v>
      </c>
      <c r="B14" s="7">
        <v>42925</v>
      </c>
      <c r="C14" s="44"/>
      <c r="D14" s="36"/>
    </row>
    <row r="15" spans="1:5">
      <c r="A15" s="6">
        <f t="shared" si="0"/>
        <v>42926</v>
      </c>
      <c r="B15" s="7">
        <v>42926</v>
      </c>
      <c r="C15" s="44"/>
      <c r="D15" s="36"/>
    </row>
    <row r="16" spans="1:5">
      <c r="A16" s="6">
        <f t="shared" si="0"/>
        <v>42927</v>
      </c>
      <c r="B16" s="7">
        <v>42927</v>
      </c>
      <c r="C16" s="44"/>
      <c r="D16" s="36"/>
    </row>
    <row r="17" spans="1:5">
      <c r="A17" s="6">
        <f t="shared" si="0"/>
        <v>42928</v>
      </c>
      <c r="B17" s="7">
        <v>42928</v>
      </c>
      <c r="C17" s="44"/>
      <c r="D17" s="36"/>
    </row>
    <row r="18" spans="1:5">
      <c r="A18" s="6">
        <f t="shared" si="0"/>
        <v>42929</v>
      </c>
      <c r="B18" s="7">
        <v>42929</v>
      </c>
      <c r="C18" s="44"/>
      <c r="D18" s="36"/>
    </row>
    <row r="19" spans="1:5">
      <c r="A19" s="6">
        <f t="shared" si="0"/>
        <v>42930</v>
      </c>
      <c r="B19" s="7">
        <v>42930</v>
      </c>
      <c r="C19" s="44"/>
      <c r="D19" s="36"/>
    </row>
    <row r="20" spans="1:5">
      <c r="A20" s="6">
        <f t="shared" si="0"/>
        <v>42931</v>
      </c>
      <c r="B20" s="7">
        <v>42931</v>
      </c>
      <c r="C20" s="44"/>
      <c r="D20" s="44"/>
      <c r="E20" s="9" t="e">
        <f>AVERAGE(C20:C26)</f>
        <v>#DIV/0!</v>
      </c>
    </row>
    <row r="21" spans="1:5">
      <c r="A21" s="6">
        <f t="shared" si="0"/>
        <v>42932</v>
      </c>
      <c r="B21" s="7">
        <v>42932</v>
      </c>
      <c r="C21" s="44"/>
      <c r="D21" s="36"/>
    </row>
    <row r="22" spans="1:5">
      <c r="A22" s="6">
        <f t="shared" si="0"/>
        <v>42933</v>
      </c>
      <c r="B22" s="7">
        <v>42933</v>
      </c>
      <c r="C22" s="44"/>
      <c r="D22" s="36"/>
    </row>
    <row r="23" spans="1:5">
      <c r="A23" s="6">
        <f t="shared" si="0"/>
        <v>42934</v>
      </c>
      <c r="B23" s="7">
        <v>42934</v>
      </c>
      <c r="C23" s="44"/>
      <c r="D23" s="36"/>
    </row>
    <row r="24" spans="1:5">
      <c r="A24" s="6">
        <f t="shared" si="0"/>
        <v>42935</v>
      </c>
      <c r="B24" s="7">
        <v>42935</v>
      </c>
      <c r="C24" s="44"/>
      <c r="D24" s="36"/>
    </row>
    <row r="25" spans="1:5">
      <c r="A25" s="6">
        <f t="shared" si="0"/>
        <v>42936</v>
      </c>
      <c r="B25" s="7">
        <v>42936</v>
      </c>
      <c r="C25" s="44"/>
      <c r="D25" s="36"/>
    </row>
    <row r="26" spans="1:5">
      <c r="A26" s="6">
        <f t="shared" si="0"/>
        <v>42937</v>
      </c>
      <c r="B26" s="7">
        <v>42937</v>
      </c>
      <c r="C26" s="44"/>
      <c r="D26" s="36"/>
    </row>
    <row r="27" spans="1:5">
      <c r="A27" s="6">
        <f t="shared" si="0"/>
        <v>42938</v>
      </c>
      <c r="B27" s="7">
        <v>42938</v>
      </c>
      <c r="C27" s="44"/>
      <c r="D27" s="44"/>
      <c r="E27" s="9" t="e">
        <f>AVERAGE(C27:C33)</f>
        <v>#DIV/0!</v>
      </c>
    </row>
    <row r="28" spans="1:5">
      <c r="A28" s="6">
        <f t="shared" si="0"/>
        <v>42939</v>
      </c>
      <c r="B28" s="7">
        <v>42939</v>
      </c>
      <c r="C28" s="44"/>
      <c r="D28" s="36"/>
    </row>
    <row r="29" spans="1:5">
      <c r="A29" s="6">
        <f t="shared" si="0"/>
        <v>42940</v>
      </c>
      <c r="B29" s="7">
        <v>42940</v>
      </c>
      <c r="C29" s="44"/>
      <c r="D29" s="36"/>
    </row>
    <row r="30" spans="1:5">
      <c r="A30" s="6">
        <f t="shared" si="0"/>
        <v>42941</v>
      </c>
      <c r="B30" s="7">
        <v>42941</v>
      </c>
      <c r="C30" s="44"/>
      <c r="D30" s="36"/>
    </row>
    <row r="31" spans="1:5">
      <c r="A31" s="6">
        <f t="shared" si="0"/>
        <v>42942</v>
      </c>
      <c r="B31" s="7">
        <v>42942</v>
      </c>
      <c r="C31" s="44"/>
      <c r="D31" s="36"/>
    </row>
    <row r="32" spans="1:5">
      <c r="A32" s="6">
        <f t="shared" si="0"/>
        <v>42943</v>
      </c>
      <c r="B32" s="7">
        <v>42943</v>
      </c>
      <c r="C32" s="44"/>
      <c r="D32" s="36"/>
    </row>
    <row r="33" spans="1:4">
      <c r="A33" s="6">
        <f t="shared" si="0"/>
        <v>42944</v>
      </c>
      <c r="B33" s="7">
        <v>42944</v>
      </c>
      <c r="C33" s="44"/>
      <c r="D33" s="36"/>
    </row>
    <row r="34" spans="1:4">
      <c r="A34" s="6">
        <f t="shared" si="0"/>
        <v>42945</v>
      </c>
      <c r="B34" s="7">
        <v>42945</v>
      </c>
      <c r="C34" s="44"/>
      <c r="D34" s="36"/>
    </row>
    <row r="35" spans="1:4">
      <c r="A35" s="6">
        <f t="shared" si="0"/>
        <v>42946</v>
      </c>
      <c r="B35" s="7">
        <v>42946</v>
      </c>
      <c r="C35" s="44"/>
      <c r="D35" s="36"/>
    </row>
    <row r="36" spans="1:4">
      <c r="A36" s="6">
        <f t="shared" si="0"/>
        <v>42947</v>
      </c>
      <c r="B36" s="7">
        <v>42947</v>
      </c>
      <c r="C36" s="14"/>
    </row>
    <row r="37" spans="1:4">
      <c r="B37" s="10" t="s">
        <v>6</v>
      </c>
      <c r="C37" s="11">
        <f>SUM(C6:C35)</f>
        <v>0</v>
      </c>
      <c r="D37" s="12"/>
    </row>
    <row r="38" spans="1:4">
      <c r="C38" s="13"/>
    </row>
    <row r="39" spans="1:4">
      <c r="B39" s="14" t="s">
        <v>7</v>
      </c>
      <c r="C39" s="9">
        <v>16438</v>
      </c>
    </row>
    <row r="40" spans="1:4">
      <c r="B40" s="14" t="s">
        <v>8</v>
      </c>
      <c r="C40" s="9">
        <f>C37</f>
        <v>0</v>
      </c>
    </row>
    <row r="41" spans="1:4">
      <c r="B41" s="14" t="s">
        <v>9</v>
      </c>
      <c r="C41" s="9">
        <f>C39-C40</f>
        <v>16438</v>
      </c>
    </row>
    <row r="42" spans="1:4">
      <c r="B42" s="14" t="s">
        <v>10</v>
      </c>
      <c r="C42" s="15">
        <f>C40/C39</f>
        <v>0</v>
      </c>
    </row>
    <row r="43" spans="1:4">
      <c r="B43" s="14" t="s">
        <v>11</v>
      </c>
      <c r="C43" s="9">
        <f>IF(C40&lt;C39,0,C40-C39)</f>
        <v>0</v>
      </c>
    </row>
    <row r="44" spans="1:4">
      <c r="B44" s="14" t="s">
        <v>12</v>
      </c>
      <c r="C44" s="9">
        <f ca="1">(C39-C37)/C48</f>
        <v>547.93333333333328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7"/>
  <sheetViews>
    <sheetView showGridLines="0" topLeftCell="A4" workbookViewId="0">
      <selection activeCell="C38" sqref="C38"/>
    </sheetView>
  </sheetViews>
  <sheetFormatPr baseColWidth="10" defaultColWidth="8.83203125" defaultRowHeight="14" x14ac:dyDescent="0"/>
  <cols>
    <col min="1" max="1" width="13.33203125" customWidth="1"/>
    <col min="2" max="2" width="25.1640625" customWidth="1"/>
    <col min="3" max="3" width="14.6640625" bestFit="1" customWidth="1"/>
    <col min="4" max="4" width="14.83203125" customWidth="1"/>
    <col min="5" max="5" width="11.5" bestFit="1" customWidth="1"/>
    <col min="6" max="6" width="7.83203125" bestFit="1" customWidth="1"/>
  </cols>
  <sheetData>
    <row r="2" spans="1:5">
      <c r="B2" s="1" t="s">
        <v>79</v>
      </c>
    </row>
    <row r="4" spans="1:5">
      <c r="B4" s="2" t="s">
        <v>1</v>
      </c>
      <c r="C4" s="2"/>
    </row>
    <row r="5" spans="1:5">
      <c r="A5" s="3" t="s">
        <v>2</v>
      </c>
      <c r="B5" s="4" t="s">
        <v>3</v>
      </c>
      <c r="C5" s="4" t="s">
        <v>4</v>
      </c>
    </row>
    <row r="6" spans="1:5">
      <c r="A6" s="6">
        <f t="shared" ref="A6:A36" si="0">B6</f>
        <v>42917</v>
      </c>
      <c r="B6" s="7">
        <v>42917</v>
      </c>
      <c r="C6" s="44">
        <v>0</v>
      </c>
      <c r="D6" s="44"/>
      <c r="E6" s="9">
        <f>AVERAGE(C6:C12)</f>
        <v>10.285714285714286</v>
      </c>
    </row>
    <row r="7" spans="1:5">
      <c r="A7" s="6">
        <f t="shared" si="0"/>
        <v>42918</v>
      </c>
      <c r="B7" s="7">
        <v>42918</v>
      </c>
      <c r="C7" s="44">
        <v>0</v>
      </c>
      <c r="D7" s="36"/>
    </row>
    <row r="8" spans="1:5">
      <c r="A8" s="6">
        <f t="shared" si="0"/>
        <v>42919</v>
      </c>
      <c r="B8" s="7">
        <v>42919</v>
      </c>
      <c r="C8" s="44">
        <v>17</v>
      </c>
      <c r="D8" s="36"/>
    </row>
    <row r="9" spans="1:5">
      <c r="A9" s="6">
        <f t="shared" si="0"/>
        <v>42920</v>
      </c>
      <c r="B9" s="7">
        <v>42920</v>
      </c>
      <c r="C9" s="44">
        <v>9</v>
      </c>
      <c r="D9" s="36"/>
    </row>
    <row r="10" spans="1:5">
      <c r="A10" s="6">
        <f t="shared" si="0"/>
        <v>42921</v>
      </c>
      <c r="B10" s="7">
        <v>42921</v>
      </c>
      <c r="C10" s="44">
        <v>5</v>
      </c>
      <c r="D10" s="36"/>
    </row>
    <row r="11" spans="1:5">
      <c r="A11" s="6">
        <f t="shared" si="0"/>
        <v>42922</v>
      </c>
      <c r="B11" s="7">
        <v>42922</v>
      </c>
      <c r="C11" s="44">
        <v>23</v>
      </c>
      <c r="D11" s="36"/>
    </row>
    <row r="12" spans="1:5">
      <c r="A12" s="6">
        <f t="shared" si="0"/>
        <v>42923</v>
      </c>
      <c r="B12" s="7">
        <v>42923</v>
      </c>
      <c r="C12" s="44">
        <v>18</v>
      </c>
      <c r="D12" s="36"/>
    </row>
    <row r="13" spans="1:5">
      <c r="A13" s="6">
        <f t="shared" si="0"/>
        <v>42924</v>
      </c>
      <c r="B13" s="7">
        <v>42924</v>
      </c>
      <c r="C13" s="44">
        <v>6</v>
      </c>
      <c r="D13" s="44"/>
      <c r="E13" s="9">
        <f>AVERAGE(C13:C19)</f>
        <v>19.428571428571427</v>
      </c>
    </row>
    <row r="14" spans="1:5">
      <c r="A14" s="6">
        <f t="shared" si="0"/>
        <v>42925</v>
      </c>
      <c r="B14" s="7">
        <v>42925</v>
      </c>
      <c r="C14" s="44">
        <v>12</v>
      </c>
      <c r="D14" s="36"/>
    </row>
    <row r="15" spans="1:5">
      <c r="A15" s="6">
        <f t="shared" si="0"/>
        <v>42926</v>
      </c>
      <c r="B15" s="7">
        <v>42926</v>
      </c>
      <c r="C15" s="44">
        <v>36</v>
      </c>
      <c r="D15" s="36"/>
    </row>
    <row r="16" spans="1:5">
      <c r="A16" s="6">
        <f t="shared" si="0"/>
        <v>42927</v>
      </c>
      <c r="B16" s="7">
        <v>42927</v>
      </c>
      <c r="C16" s="44">
        <v>17</v>
      </c>
      <c r="D16" s="36"/>
    </row>
    <row r="17" spans="1:5">
      <c r="A17" s="6">
        <f t="shared" si="0"/>
        <v>42928</v>
      </c>
      <c r="B17" s="7">
        <v>42928</v>
      </c>
      <c r="C17" s="44">
        <v>27</v>
      </c>
      <c r="D17" s="36"/>
    </row>
    <row r="18" spans="1:5">
      <c r="A18" s="6">
        <f t="shared" si="0"/>
        <v>42929</v>
      </c>
      <c r="B18" s="7">
        <v>42929</v>
      </c>
      <c r="C18" s="44">
        <v>21</v>
      </c>
      <c r="D18" s="36"/>
    </row>
    <row r="19" spans="1:5">
      <c r="A19" s="6">
        <f t="shared" si="0"/>
        <v>42930</v>
      </c>
      <c r="B19" s="7">
        <v>42930</v>
      </c>
      <c r="C19" s="44">
        <v>17</v>
      </c>
      <c r="D19" s="36"/>
    </row>
    <row r="20" spans="1:5">
      <c r="A20" s="6">
        <f t="shared" si="0"/>
        <v>42931</v>
      </c>
      <c r="B20" s="7">
        <v>42931</v>
      </c>
      <c r="C20" s="44">
        <v>15</v>
      </c>
      <c r="D20" s="44"/>
      <c r="E20" s="9">
        <f>AVERAGE(C20:C26)</f>
        <v>18</v>
      </c>
    </row>
    <row r="21" spans="1:5">
      <c r="A21" s="6">
        <f t="shared" si="0"/>
        <v>42932</v>
      </c>
      <c r="B21" s="7">
        <v>42932</v>
      </c>
      <c r="C21" s="44">
        <v>7</v>
      </c>
      <c r="D21" s="36"/>
    </row>
    <row r="22" spans="1:5">
      <c r="A22" s="6">
        <f t="shared" si="0"/>
        <v>42933</v>
      </c>
      <c r="B22" s="7">
        <v>42933</v>
      </c>
      <c r="C22" s="44">
        <v>24</v>
      </c>
      <c r="D22" s="36"/>
    </row>
    <row r="23" spans="1:5">
      <c r="A23" s="6">
        <f t="shared" si="0"/>
        <v>42934</v>
      </c>
      <c r="B23" s="7">
        <v>42934</v>
      </c>
      <c r="C23" s="44">
        <v>28</v>
      </c>
      <c r="D23" s="36"/>
    </row>
    <row r="24" spans="1:5">
      <c r="A24" s="6">
        <f t="shared" si="0"/>
        <v>42935</v>
      </c>
      <c r="B24" s="7">
        <v>42935</v>
      </c>
      <c r="C24" s="44">
        <v>15</v>
      </c>
      <c r="D24" s="36"/>
    </row>
    <row r="25" spans="1:5">
      <c r="A25" s="6">
        <f t="shared" si="0"/>
        <v>42936</v>
      </c>
      <c r="B25" s="7">
        <v>42936</v>
      </c>
      <c r="C25" s="44">
        <v>19</v>
      </c>
      <c r="D25" s="36"/>
    </row>
    <row r="26" spans="1:5">
      <c r="A26" s="6">
        <f t="shared" si="0"/>
        <v>42937</v>
      </c>
      <c r="B26" s="7">
        <v>42937</v>
      </c>
      <c r="C26" s="44">
        <v>18</v>
      </c>
      <c r="D26" s="36"/>
    </row>
    <row r="27" spans="1:5">
      <c r="A27" s="6">
        <f t="shared" si="0"/>
        <v>42938</v>
      </c>
      <c r="B27" s="7">
        <v>42938</v>
      </c>
      <c r="C27" s="44">
        <v>12</v>
      </c>
      <c r="D27" s="44"/>
      <c r="E27" s="9">
        <f>AVERAGE(C27:C33)</f>
        <v>20.142857142857142</v>
      </c>
    </row>
    <row r="28" spans="1:5">
      <c r="A28" s="6">
        <f t="shared" si="0"/>
        <v>42939</v>
      </c>
      <c r="B28" s="7">
        <v>42939</v>
      </c>
      <c r="C28" s="44">
        <v>6</v>
      </c>
      <c r="D28" s="36"/>
    </row>
    <row r="29" spans="1:5">
      <c r="A29" s="6">
        <f t="shared" si="0"/>
        <v>42940</v>
      </c>
      <c r="B29" s="7">
        <v>42940</v>
      </c>
      <c r="C29" s="44">
        <v>35</v>
      </c>
      <c r="D29" s="36"/>
    </row>
    <row r="30" spans="1:5">
      <c r="A30" s="6">
        <f t="shared" si="0"/>
        <v>42941</v>
      </c>
      <c r="B30" s="7">
        <v>42941</v>
      </c>
      <c r="C30" s="44">
        <v>27</v>
      </c>
      <c r="D30" s="36"/>
    </row>
    <row r="31" spans="1:5">
      <c r="A31" s="6">
        <f t="shared" si="0"/>
        <v>42942</v>
      </c>
      <c r="B31" s="7">
        <v>42942</v>
      </c>
      <c r="C31" s="44">
        <v>26</v>
      </c>
      <c r="D31" s="36"/>
    </row>
    <row r="32" spans="1:5">
      <c r="A32" s="6">
        <f t="shared" si="0"/>
        <v>42943</v>
      </c>
      <c r="B32" s="7">
        <v>42943</v>
      </c>
      <c r="C32" s="44">
        <v>23</v>
      </c>
      <c r="D32" s="36"/>
    </row>
    <row r="33" spans="1:4">
      <c r="A33" s="6">
        <f t="shared" si="0"/>
        <v>42944</v>
      </c>
      <c r="B33" s="7">
        <v>42944</v>
      </c>
      <c r="C33" s="44">
        <v>12</v>
      </c>
      <c r="D33" s="36"/>
    </row>
    <row r="34" spans="1:4">
      <c r="A34" s="6">
        <f t="shared" si="0"/>
        <v>42945</v>
      </c>
      <c r="B34" s="7">
        <v>42945</v>
      </c>
      <c r="C34" s="44">
        <v>16</v>
      </c>
      <c r="D34" s="36"/>
    </row>
    <row r="35" spans="1:4">
      <c r="A35" s="6">
        <f t="shared" si="0"/>
        <v>42946</v>
      </c>
      <c r="B35" s="7">
        <v>42946</v>
      </c>
      <c r="C35" s="44">
        <v>18</v>
      </c>
      <c r="D35" s="36"/>
    </row>
    <row r="36" spans="1:4">
      <c r="A36" s="6">
        <f t="shared" si="0"/>
        <v>42947</v>
      </c>
      <c r="B36" s="7">
        <v>42947</v>
      </c>
      <c r="C36" s="14">
        <v>28</v>
      </c>
    </row>
    <row r="37" spans="1:4">
      <c r="B37" s="10" t="s">
        <v>6</v>
      </c>
      <c r="C37" s="11">
        <f>SUM(C6:C36)</f>
        <v>537</v>
      </c>
      <c r="D37" s="12"/>
    </row>
    <row r="38" spans="1:4">
      <c r="C38" s="13"/>
    </row>
    <row r="39" spans="1:4">
      <c r="B39" s="14" t="s">
        <v>7</v>
      </c>
      <c r="C39" s="9">
        <v>546</v>
      </c>
    </row>
    <row r="40" spans="1:4">
      <c r="B40" s="14" t="s">
        <v>8</v>
      </c>
      <c r="C40" s="9">
        <f>C37</f>
        <v>537</v>
      </c>
    </row>
    <row r="41" spans="1:4">
      <c r="B41" s="14" t="s">
        <v>9</v>
      </c>
      <c r="C41" s="9">
        <f>C39-C40</f>
        <v>9</v>
      </c>
    </row>
    <row r="42" spans="1:4">
      <c r="B42" s="14" t="s">
        <v>10</v>
      </c>
      <c r="C42" s="15">
        <f>C40/C39</f>
        <v>0.98351648351648346</v>
      </c>
    </row>
    <row r="43" spans="1:4">
      <c r="B43" s="14" t="s">
        <v>11</v>
      </c>
      <c r="C43" s="9">
        <f>IF(C40&lt;C39,0,C40-C39)</f>
        <v>0</v>
      </c>
    </row>
    <row r="44" spans="1:4">
      <c r="B44" s="14" t="s">
        <v>12</v>
      </c>
      <c r="C44" s="9">
        <f ca="1">(C39-C37)/C48</f>
        <v>0.3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workbookViewId="0">
      <selection activeCell="D37" sqref="D37"/>
    </sheetView>
  </sheetViews>
  <sheetFormatPr baseColWidth="10" defaultColWidth="8.83203125" defaultRowHeight="14" x14ac:dyDescent="0"/>
  <cols>
    <col min="1" max="1" width="13.33203125" customWidth="1"/>
    <col min="2" max="2" width="20.83203125" customWidth="1"/>
    <col min="3" max="3" width="14.6640625" bestFit="1" customWidth="1"/>
    <col min="4" max="4" width="14.83203125" customWidth="1"/>
    <col min="5" max="5" width="11.5" bestFit="1" customWidth="1"/>
    <col min="6" max="6" width="7.83203125" bestFit="1" customWidth="1"/>
  </cols>
  <sheetData>
    <row r="2" spans="1:6">
      <c r="B2" s="1" t="s">
        <v>80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4</v>
      </c>
      <c r="D5" s="5" t="s">
        <v>5</v>
      </c>
    </row>
    <row r="6" spans="1:6">
      <c r="A6" s="6">
        <f t="shared" ref="A6:A36" si="0">B6</f>
        <v>42917</v>
      </c>
      <c r="B6" s="7">
        <v>42917</v>
      </c>
      <c r="C6" s="39">
        <f>D6</f>
        <v>0</v>
      </c>
      <c r="D6" s="34">
        <v>0</v>
      </c>
      <c r="E6" s="14" t="s">
        <v>37</v>
      </c>
      <c r="F6" s="9">
        <f>AVERAGE(C6:C12)</f>
        <v>0</v>
      </c>
    </row>
    <row r="7" spans="1:6">
      <c r="A7" s="6">
        <f t="shared" si="0"/>
        <v>42918</v>
      </c>
      <c r="B7" s="7">
        <v>42918</v>
      </c>
      <c r="C7" s="44">
        <f t="shared" ref="C7:C36" si="1">IF(D7-D6&lt;0,0,D7-D6)</f>
        <v>0</v>
      </c>
      <c r="D7" s="34">
        <v>0</v>
      </c>
    </row>
    <row r="8" spans="1:6">
      <c r="A8" s="6">
        <f t="shared" si="0"/>
        <v>42919</v>
      </c>
      <c r="B8" s="7">
        <v>42919</v>
      </c>
      <c r="C8" s="44">
        <f t="shared" si="1"/>
        <v>0</v>
      </c>
      <c r="D8" s="34">
        <v>0</v>
      </c>
    </row>
    <row r="9" spans="1:6">
      <c r="A9" s="6">
        <f t="shared" si="0"/>
        <v>42920</v>
      </c>
      <c r="B9" s="7">
        <v>42920</v>
      </c>
      <c r="C9" s="44">
        <f t="shared" si="1"/>
        <v>0</v>
      </c>
      <c r="D9" s="34">
        <v>0</v>
      </c>
    </row>
    <row r="10" spans="1:6">
      <c r="A10" s="6">
        <f t="shared" si="0"/>
        <v>42921</v>
      </c>
      <c r="B10" s="7">
        <v>42921</v>
      </c>
      <c r="C10" s="44">
        <f t="shared" si="1"/>
        <v>0</v>
      </c>
      <c r="D10" s="34">
        <v>0</v>
      </c>
    </row>
    <row r="11" spans="1:6">
      <c r="A11" s="6">
        <f t="shared" si="0"/>
        <v>42922</v>
      </c>
      <c r="B11" s="7">
        <v>42922</v>
      </c>
      <c r="C11" s="44">
        <f t="shared" si="1"/>
        <v>0</v>
      </c>
      <c r="D11" s="34">
        <v>0</v>
      </c>
    </row>
    <row r="12" spans="1:6">
      <c r="A12" s="6">
        <f t="shared" si="0"/>
        <v>42923</v>
      </c>
      <c r="B12" s="7">
        <v>42923</v>
      </c>
      <c r="C12" s="44">
        <f t="shared" si="1"/>
        <v>0</v>
      </c>
      <c r="D12" s="34">
        <v>0</v>
      </c>
    </row>
    <row r="13" spans="1:6">
      <c r="A13" s="6">
        <f t="shared" si="0"/>
        <v>42924</v>
      </c>
      <c r="B13" s="7">
        <v>42924</v>
      </c>
      <c r="C13" s="44">
        <f t="shared" si="1"/>
        <v>0</v>
      </c>
      <c r="D13" s="34">
        <v>0</v>
      </c>
      <c r="E13" s="14" t="s">
        <v>38</v>
      </c>
      <c r="F13" s="9">
        <f>AVERAGE(C13:C19)</f>
        <v>0</v>
      </c>
    </row>
    <row r="14" spans="1:6">
      <c r="A14" s="6">
        <f t="shared" si="0"/>
        <v>42925</v>
      </c>
      <c r="B14" s="7">
        <v>42925</v>
      </c>
      <c r="C14" s="44">
        <f t="shared" si="1"/>
        <v>0</v>
      </c>
      <c r="D14" s="34">
        <v>0</v>
      </c>
    </row>
    <row r="15" spans="1:6">
      <c r="A15" s="6">
        <f t="shared" si="0"/>
        <v>42926</v>
      </c>
      <c r="B15" s="7">
        <v>42926</v>
      </c>
      <c r="C15" s="44">
        <f t="shared" si="1"/>
        <v>0</v>
      </c>
      <c r="D15" s="34"/>
    </row>
    <row r="16" spans="1:6">
      <c r="A16" s="6">
        <f t="shared" si="0"/>
        <v>42927</v>
      </c>
      <c r="B16" s="7">
        <v>42927</v>
      </c>
      <c r="C16" s="44">
        <f t="shared" si="1"/>
        <v>0</v>
      </c>
      <c r="D16" s="34"/>
    </row>
    <row r="17" spans="1:6">
      <c r="A17" s="6">
        <f t="shared" si="0"/>
        <v>42928</v>
      </c>
      <c r="B17" s="7">
        <v>42928</v>
      </c>
      <c r="C17" s="44">
        <f t="shared" si="1"/>
        <v>0</v>
      </c>
      <c r="D17" s="34"/>
    </row>
    <row r="18" spans="1:6">
      <c r="A18" s="6">
        <f t="shared" si="0"/>
        <v>42929</v>
      </c>
      <c r="B18" s="7">
        <v>42929</v>
      </c>
      <c r="C18" s="44">
        <f t="shared" si="1"/>
        <v>0</v>
      </c>
      <c r="D18" s="34"/>
    </row>
    <row r="19" spans="1:6">
      <c r="A19" s="6">
        <f t="shared" si="0"/>
        <v>42930</v>
      </c>
      <c r="B19" s="7">
        <v>42930</v>
      </c>
      <c r="C19" s="44">
        <f t="shared" si="1"/>
        <v>0</v>
      </c>
      <c r="D19" s="34"/>
    </row>
    <row r="20" spans="1:6">
      <c r="A20" s="6">
        <f t="shared" si="0"/>
        <v>42931</v>
      </c>
      <c r="B20" s="7">
        <v>42931</v>
      </c>
      <c r="C20" s="44">
        <f t="shared" si="1"/>
        <v>0</v>
      </c>
      <c r="D20" s="34"/>
      <c r="E20" s="14" t="s">
        <v>39</v>
      </c>
      <c r="F20" s="9">
        <f>AVERAGE(C20:C26)</f>
        <v>0.5714285714285714</v>
      </c>
    </row>
    <row r="21" spans="1:6">
      <c r="A21" s="6">
        <f t="shared" si="0"/>
        <v>42932</v>
      </c>
      <c r="B21" s="7">
        <v>42932</v>
      </c>
      <c r="C21" s="44">
        <f t="shared" si="1"/>
        <v>0</v>
      </c>
      <c r="D21" s="34"/>
    </row>
    <row r="22" spans="1:6">
      <c r="A22" s="6">
        <f t="shared" si="0"/>
        <v>42933</v>
      </c>
      <c r="B22" s="7">
        <v>42933</v>
      </c>
      <c r="C22" s="44">
        <f t="shared" si="1"/>
        <v>0</v>
      </c>
      <c r="D22" s="34"/>
    </row>
    <row r="23" spans="1:6">
      <c r="A23" s="6">
        <f t="shared" si="0"/>
        <v>42934</v>
      </c>
      <c r="B23" s="7">
        <v>42934</v>
      </c>
      <c r="C23" s="44">
        <f t="shared" si="1"/>
        <v>0</v>
      </c>
      <c r="D23" s="8">
        <v>0</v>
      </c>
    </row>
    <row r="24" spans="1:6">
      <c r="A24" s="6">
        <f t="shared" si="0"/>
        <v>42935</v>
      </c>
      <c r="B24" s="7">
        <v>42935</v>
      </c>
      <c r="C24" s="44">
        <f t="shared" si="1"/>
        <v>0</v>
      </c>
      <c r="D24" s="8">
        <v>0</v>
      </c>
    </row>
    <row r="25" spans="1:6">
      <c r="A25" s="6">
        <f t="shared" si="0"/>
        <v>42936</v>
      </c>
      <c r="B25" s="7">
        <v>42936</v>
      </c>
      <c r="C25" s="44">
        <f t="shared" si="1"/>
        <v>0</v>
      </c>
      <c r="D25" s="8">
        <v>0</v>
      </c>
    </row>
    <row r="26" spans="1:6">
      <c r="A26" s="6">
        <f t="shared" si="0"/>
        <v>42937</v>
      </c>
      <c r="B26" s="7">
        <v>42937</v>
      </c>
      <c r="C26" s="44">
        <f t="shared" si="1"/>
        <v>4</v>
      </c>
      <c r="D26" s="8">
        <v>4</v>
      </c>
    </row>
    <row r="27" spans="1:6">
      <c r="A27" s="6">
        <f t="shared" si="0"/>
        <v>42938</v>
      </c>
      <c r="B27" s="7">
        <v>42938</v>
      </c>
      <c r="C27" s="44">
        <f t="shared" si="1"/>
        <v>8</v>
      </c>
      <c r="D27" s="8">
        <v>12</v>
      </c>
      <c r="E27" s="14" t="s">
        <v>40</v>
      </c>
      <c r="F27" s="9">
        <f>AVERAGE(C27:C33)</f>
        <v>15.857142857142858</v>
      </c>
    </row>
    <row r="28" spans="1:6">
      <c r="A28" s="6">
        <f t="shared" si="0"/>
        <v>42939</v>
      </c>
      <c r="B28" s="7">
        <v>42939</v>
      </c>
      <c r="C28" s="44">
        <f t="shared" si="1"/>
        <v>16</v>
      </c>
      <c r="D28" s="8">
        <v>28</v>
      </c>
    </row>
    <row r="29" spans="1:6">
      <c r="A29" s="6">
        <f t="shared" si="0"/>
        <v>42940</v>
      </c>
      <c r="B29" s="7">
        <v>42940</v>
      </c>
      <c r="C29" s="44">
        <f t="shared" si="1"/>
        <v>35</v>
      </c>
      <c r="D29" s="8">
        <v>63</v>
      </c>
    </row>
    <row r="30" spans="1:6">
      <c r="A30" s="6">
        <f t="shared" si="0"/>
        <v>42941</v>
      </c>
      <c r="B30" s="7">
        <v>42941</v>
      </c>
      <c r="C30" s="44">
        <f t="shared" si="1"/>
        <v>12</v>
      </c>
      <c r="D30" s="8">
        <f>52+23</f>
        <v>75</v>
      </c>
    </row>
    <row r="31" spans="1:6">
      <c r="A31" s="6">
        <f t="shared" si="0"/>
        <v>42942</v>
      </c>
      <c r="B31" s="7">
        <v>42942</v>
      </c>
      <c r="C31" s="44">
        <f t="shared" si="1"/>
        <v>19</v>
      </c>
      <c r="D31" s="8">
        <f>66+28</f>
        <v>94</v>
      </c>
    </row>
    <row r="32" spans="1:6">
      <c r="A32" s="6">
        <f t="shared" si="0"/>
        <v>42943</v>
      </c>
      <c r="B32" s="7">
        <v>42943</v>
      </c>
      <c r="C32" s="44">
        <f t="shared" si="1"/>
        <v>10</v>
      </c>
      <c r="D32" s="8">
        <v>104</v>
      </c>
    </row>
    <row r="33" spans="1:4">
      <c r="A33" s="6">
        <f t="shared" si="0"/>
        <v>42944</v>
      </c>
      <c r="B33" s="7">
        <v>42944</v>
      </c>
      <c r="C33" s="44">
        <f t="shared" si="1"/>
        <v>11</v>
      </c>
      <c r="D33" s="8">
        <f>83+32</f>
        <v>115</v>
      </c>
    </row>
    <row r="34" spans="1:4">
      <c r="A34" s="6">
        <f t="shared" si="0"/>
        <v>42945</v>
      </c>
      <c r="B34" s="7">
        <v>42945</v>
      </c>
      <c r="C34" s="44">
        <f t="shared" si="1"/>
        <v>12</v>
      </c>
      <c r="D34" s="8">
        <f>93+34</f>
        <v>127</v>
      </c>
    </row>
    <row r="35" spans="1:4">
      <c r="A35" s="6">
        <f t="shared" si="0"/>
        <v>42946</v>
      </c>
      <c r="B35" s="7">
        <v>42946</v>
      </c>
      <c r="C35" s="44">
        <f t="shared" si="1"/>
        <v>13</v>
      </c>
      <c r="D35" s="8">
        <v>140</v>
      </c>
    </row>
    <row r="36" spans="1:4">
      <c r="A36" s="6">
        <f t="shared" si="0"/>
        <v>42947</v>
      </c>
      <c r="B36" s="7">
        <v>42947</v>
      </c>
      <c r="C36" s="14">
        <f t="shared" si="1"/>
        <v>14</v>
      </c>
      <c r="D36" s="9">
        <f>114+40</f>
        <v>154</v>
      </c>
    </row>
    <row r="37" spans="1:4">
      <c r="B37" s="10" t="s">
        <v>6</v>
      </c>
      <c r="C37" s="11">
        <f>SUM(C6:C36)</f>
        <v>154</v>
      </c>
      <c r="D37" s="12"/>
    </row>
    <row r="38" spans="1:4">
      <c r="C38" s="13"/>
    </row>
    <row r="39" spans="1:4">
      <c r="B39" s="14" t="s">
        <v>7</v>
      </c>
      <c r="C39" s="56">
        <v>500</v>
      </c>
    </row>
    <row r="40" spans="1:4">
      <c r="B40" s="14" t="s">
        <v>8</v>
      </c>
      <c r="C40" s="9">
        <f>C37</f>
        <v>154</v>
      </c>
    </row>
    <row r="41" spans="1:4">
      <c r="B41" s="14" t="s">
        <v>9</v>
      </c>
      <c r="C41" s="9">
        <f>C39-C40</f>
        <v>346</v>
      </c>
    </row>
    <row r="42" spans="1:4">
      <c r="B42" s="14" t="s">
        <v>10</v>
      </c>
      <c r="C42" s="15">
        <f>C40/C39</f>
        <v>0.308</v>
      </c>
    </row>
    <row r="43" spans="1:4">
      <c r="B43" s="14" t="s">
        <v>11</v>
      </c>
      <c r="C43" s="9">
        <f>IF(C40&lt;C39,0,C40-C39)</f>
        <v>0</v>
      </c>
    </row>
    <row r="44" spans="1:4">
      <c r="B44" s="14" t="s">
        <v>12</v>
      </c>
      <c r="C44" s="9">
        <f ca="1">(C39-C37)/C48</f>
        <v>11.533333333333333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7"/>
  <sheetViews>
    <sheetView showGridLines="0" topLeftCell="A2" workbookViewId="0">
      <selection activeCell="C6" sqref="C6:C36"/>
    </sheetView>
  </sheetViews>
  <sheetFormatPr baseColWidth="10" defaultColWidth="8.83203125" defaultRowHeight="14" x14ac:dyDescent="0"/>
  <cols>
    <col min="1" max="1" width="12.1640625" customWidth="1"/>
    <col min="2" max="2" width="22.5" bestFit="1" customWidth="1"/>
    <col min="3" max="3" width="15.5" bestFit="1" customWidth="1"/>
    <col min="4" max="4" width="14.83203125" customWidth="1"/>
  </cols>
  <sheetData>
    <row r="2" spans="1:4">
      <c r="B2" s="1" t="s">
        <v>24</v>
      </c>
    </row>
    <row r="4" spans="1:4">
      <c r="B4" s="2" t="s">
        <v>1</v>
      </c>
      <c r="C4" s="2"/>
    </row>
    <row r="5" spans="1:4">
      <c r="A5" s="3" t="s">
        <v>2</v>
      </c>
      <c r="B5" s="4" t="s">
        <v>3</v>
      </c>
      <c r="C5" s="4" t="s">
        <v>4</v>
      </c>
    </row>
    <row r="6" spans="1:4">
      <c r="A6" s="6">
        <f t="shared" ref="A6:A36" si="0">B6</f>
        <v>42917</v>
      </c>
      <c r="B6" s="7">
        <v>42917</v>
      </c>
      <c r="C6" s="8">
        <v>157</v>
      </c>
      <c r="D6" s="36"/>
    </row>
    <row r="7" spans="1:4">
      <c r="A7" s="6">
        <f t="shared" si="0"/>
        <v>42918</v>
      </c>
      <c r="B7" s="7">
        <v>42918</v>
      </c>
      <c r="C7" s="8">
        <v>149</v>
      </c>
      <c r="D7" s="36"/>
    </row>
    <row r="8" spans="1:4">
      <c r="A8" s="6">
        <f t="shared" si="0"/>
        <v>42919</v>
      </c>
      <c r="B8" s="7">
        <v>42919</v>
      </c>
      <c r="C8" s="8">
        <v>828</v>
      </c>
      <c r="D8" s="36"/>
    </row>
    <row r="9" spans="1:4">
      <c r="A9" s="6">
        <f t="shared" si="0"/>
        <v>42920</v>
      </c>
      <c r="B9" s="7">
        <v>42920</v>
      </c>
      <c r="C9" s="8">
        <v>461</v>
      </c>
      <c r="D9" s="36"/>
    </row>
    <row r="10" spans="1:4">
      <c r="A10" s="6">
        <f t="shared" si="0"/>
        <v>42921</v>
      </c>
      <c r="B10" s="7">
        <v>42921</v>
      </c>
      <c r="C10" s="8">
        <v>416</v>
      </c>
      <c r="D10" s="36"/>
    </row>
    <row r="11" spans="1:4">
      <c r="A11" s="6">
        <f t="shared" si="0"/>
        <v>42922</v>
      </c>
      <c r="B11" s="7">
        <v>42922</v>
      </c>
      <c r="C11" s="8">
        <v>289</v>
      </c>
      <c r="D11" s="36"/>
    </row>
    <row r="12" spans="1:4">
      <c r="A12" s="6">
        <f t="shared" si="0"/>
        <v>42923</v>
      </c>
      <c r="B12" s="7">
        <v>42923</v>
      </c>
      <c r="C12" s="8">
        <v>274</v>
      </c>
      <c r="D12" s="36"/>
    </row>
    <row r="13" spans="1:4">
      <c r="A13" s="6">
        <f t="shared" si="0"/>
        <v>42924</v>
      </c>
      <c r="B13" s="7">
        <v>42924</v>
      </c>
      <c r="C13" s="8">
        <v>175</v>
      </c>
      <c r="D13" s="36"/>
    </row>
    <row r="14" spans="1:4">
      <c r="A14" s="6">
        <f t="shared" si="0"/>
        <v>42925</v>
      </c>
      <c r="B14" s="7">
        <v>42925</v>
      </c>
      <c r="C14" s="8">
        <v>155</v>
      </c>
      <c r="D14" s="36"/>
    </row>
    <row r="15" spans="1:4">
      <c r="A15" s="6">
        <f t="shared" si="0"/>
        <v>42926</v>
      </c>
      <c r="B15" s="7">
        <v>42926</v>
      </c>
      <c r="C15" s="8">
        <v>337</v>
      </c>
      <c r="D15" s="36"/>
    </row>
    <row r="16" spans="1:4">
      <c r="A16" s="6">
        <f t="shared" si="0"/>
        <v>42927</v>
      </c>
      <c r="B16" s="7">
        <v>42927</v>
      </c>
      <c r="C16" s="8">
        <v>318</v>
      </c>
      <c r="D16" s="36"/>
    </row>
    <row r="17" spans="1:4">
      <c r="A17" s="6">
        <f t="shared" si="0"/>
        <v>42928</v>
      </c>
      <c r="B17" s="7">
        <v>42928</v>
      </c>
      <c r="C17" s="8">
        <v>268</v>
      </c>
      <c r="D17" s="36"/>
    </row>
    <row r="18" spans="1:4">
      <c r="A18" s="6">
        <f t="shared" si="0"/>
        <v>42929</v>
      </c>
      <c r="B18" s="7">
        <v>42929</v>
      </c>
      <c r="C18" s="8">
        <v>290</v>
      </c>
      <c r="D18" s="36"/>
    </row>
    <row r="19" spans="1:4">
      <c r="A19" s="6">
        <f t="shared" si="0"/>
        <v>42930</v>
      </c>
      <c r="B19" s="7">
        <v>42930</v>
      </c>
      <c r="C19" s="8">
        <v>224</v>
      </c>
      <c r="D19" s="36"/>
    </row>
    <row r="20" spans="1:4">
      <c r="A20" s="6">
        <f t="shared" si="0"/>
        <v>42931</v>
      </c>
      <c r="B20" s="7">
        <v>42931</v>
      </c>
      <c r="C20" s="8">
        <v>151</v>
      </c>
      <c r="D20" s="36"/>
    </row>
    <row r="21" spans="1:4">
      <c r="A21" s="6">
        <f t="shared" si="0"/>
        <v>42932</v>
      </c>
      <c r="B21" s="7">
        <v>42932</v>
      </c>
      <c r="C21" s="8">
        <v>180</v>
      </c>
      <c r="D21" s="36"/>
    </row>
    <row r="22" spans="1:4">
      <c r="A22" s="6">
        <f t="shared" si="0"/>
        <v>42933</v>
      </c>
      <c r="B22" s="7">
        <v>42933</v>
      </c>
      <c r="C22" s="8">
        <v>314</v>
      </c>
      <c r="D22" s="36"/>
    </row>
    <row r="23" spans="1:4">
      <c r="A23" s="6">
        <f t="shared" si="0"/>
        <v>42934</v>
      </c>
      <c r="B23" s="7">
        <v>42934</v>
      </c>
      <c r="C23" s="8">
        <v>289</v>
      </c>
      <c r="D23" s="36"/>
    </row>
    <row r="24" spans="1:4">
      <c r="A24" s="6">
        <f t="shared" si="0"/>
        <v>42935</v>
      </c>
      <c r="B24" s="7">
        <v>42935</v>
      </c>
      <c r="C24" s="8">
        <v>281</v>
      </c>
      <c r="D24" s="36"/>
    </row>
    <row r="25" spans="1:4">
      <c r="A25" s="6">
        <f t="shared" si="0"/>
        <v>42936</v>
      </c>
      <c r="B25" s="7">
        <v>42936</v>
      </c>
      <c r="C25" s="8">
        <v>276</v>
      </c>
      <c r="D25" s="36"/>
    </row>
    <row r="26" spans="1:4">
      <c r="A26" s="6">
        <f t="shared" si="0"/>
        <v>42937</v>
      </c>
      <c r="B26" s="7">
        <v>42937</v>
      </c>
      <c r="C26" s="8">
        <v>184</v>
      </c>
      <c r="D26" s="36"/>
    </row>
    <row r="27" spans="1:4">
      <c r="A27" s="6">
        <f t="shared" si="0"/>
        <v>42938</v>
      </c>
      <c r="B27" s="7">
        <v>42938</v>
      </c>
      <c r="C27" s="8">
        <v>0</v>
      </c>
      <c r="D27" s="36"/>
    </row>
    <row r="28" spans="1:4">
      <c r="A28" s="6">
        <f t="shared" si="0"/>
        <v>42939</v>
      </c>
      <c r="B28" s="7">
        <v>42939</v>
      </c>
      <c r="C28" s="8">
        <v>0</v>
      </c>
      <c r="D28" s="36"/>
    </row>
    <row r="29" spans="1:4">
      <c r="A29" s="6">
        <f t="shared" si="0"/>
        <v>42940</v>
      </c>
      <c r="B29" s="7">
        <v>42940</v>
      </c>
      <c r="C29" s="8">
        <v>0</v>
      </c>
      <c r="D29" s="36"/>
    </row>
    <row r="30" spans="1:4">
      <c r="A30" s="6">
        <f t="shared" si="0"/>
        <v>42941</v>
      </c>
      <c r="B30" s="7">
        <v>42941</v>
      </c>
      <c r="C30" s="8">
        <v>0</v>
      </c>
      <c r="D30" s="36"/>
    </row>
    <row r="31" spans="1:4" ht="16.5" customHeight="1">
      <c r="A31" s="6">
        <f t="shared" si="0"/>
        <v>42942</v>
      </c>
      <c r="B31" s="7">
        <v>42942</v>
      </c>
      <c r="C31" s="8">
        <v>0</v>
      </c>
      <c r="D31" s="36"/>
    </row>
    <row r="32" spans="1:4" ht="15" customHeight="1">
      <c r="A32" s="6">
        <f t="shared" si="0"/>
        <v>42943</v>
      </c>
      <c r="B32" s="7">
        <v>42943</v>
      </c>
      <c r="C32" s="8">
        <v>128</v>
      </c>
      <c r="D32" s="36"/>
    </row>
    <row r="33" spans="1:4">
      <c r="A33" s="6">
        <f t="shared" si="0"/>
        <v>42944</v>
      </c>
      <c r="B33" s="7">
        <v>42944</v>
      </c>
      <c r="C33" s="8">
        <v>238</v>
      </c>
      <c r="D33" s="36"/>
    </row>
    <row r="34" spans="1:4">
      <c r="A34" s="6">
        <f t="shared" si="0"/>
        <v>42945</v>
      </c>
      <c r="B34" s="7">
        <v>42945</v>
      </c>
      <c r="C34" s="8">
        <v>154</v>
      </c>
      <c r="D34" s="36"/>
    </row>
    <row r="35" spans="1:4">
      <c r="A35" s="6">
        <f t="shared" si="0"/>
        <v>42946</v>
      </c>
      <c r="B35" s="7">
        <v>42946</v>
      </c>
      <c r="C35" s="8">
        <v>175</v>
      </c>
      <c r="D35" s="36"/>
    </row>
    <row r="36" spans="1:4">
      <c r="A36" s="6">
        <f t="shared" si="0"/>
        <v>42947</v>
      </c>
      <c r="B36" s="7">
        <v>42947</v>
      </c>
      <c r="C36" s="9">
        <v>502</v>
      </c>
    </row>
    <row r="37" spans="1:4" ht="18" customHeight="1">
      <c r="B37" s="10" t="s">
        <v>6</v>
      </c>
      <c r="C37" s="11">
        <f>SUM(C6:C36)</f>
        <v>7213</v>
      </c>
    </row>
    <row r="38" spans="1:4">
      <c r="C38" s="13"/>
    </row>
    <row r="39" spans="1:4">
      <c r="B39" s="14" t="s">
        <v>7</v>
      </c>
      <c r="C39" s="9">
        <v>5000</v>
      </c>
    </row>
    <row r="40" spans="1:4">
      <c r="B40" s="14" t="s">
        <v>8</v>
      </c>
      <c r="C40" s="9">
        <f>C37</f>
        <v>7213</v>
      </c>
    </row>
    <row r="41" spans="1:4">
      <c r="B41" s="14" t="s">
        <v>9</v>
      </c>
      <c r="C41" s="9">
        <f>C39-C40</f>
        <v>-2213</v>
      </c>
    </row>
    <row r="42" spans="1:4">
      <c r="B42" s="14" t="s">
        <v>10</v>
      </c>
      <c r="C42" s="15">
        <f>C40/C39</f>
        <v>1.4426000000000001</v>
      </c>
    </row>
    <row r="43" spans="1:4">
      <c r="B43" s="14" t="s">
        <v>11</v>
      </c>
      <c r="C43" s="9">
        <f>IF(C40&lt;C39,0,C40-C39)</f>
        <v>2213</v>
      </c>
    </row>
    <row r="44" spans="1:4">
      <c r="B44" s="14" t="s">
        <v>12</v>
      </c>
      <c r="C44" s="9">
        <f ca="1">(C39-C37)/C48</f>
        <v>-73.766666666666666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33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7"/>
  <sheetViews>
    <sheetView showGridLines="0" workbookViewId="0">
      <selection activeCell="F26" sqref="F26"/>
    </sheetView>
  </sheetViews>
  <sheetFormatPr baseColWidth="10" defaultColWidth="8.83203125" defaultRowHeight="14" x14ac:dyDescent="0"/>
  <cols>
    <col min="1" max="1" width="12.1640625" customWidth="1"/>
    <col min="2" max="2" width="22.5" bestFit="1" customWidth="1"/>
    <col min="3" max="3" width="15.5" bestFit="1" customWidth="1"/>
    <col min="4" max="4" width="14.83203125" customWidth="1"/>
  </cols>
  <sheetData>
    <row r="2" spans="1:4">
      <c r="B2" s="1" t="s">
        <v>24</v>
      </c>
    </row>
    <row r="4" spans="1:4">
      <c r="B4" s="2" t="s">
        <v>1</v>
      </c>
      <c r="C4" s="2"/>
    </row>
    <row r="5" spans="1:4">
      <c r="A5" s="3" t="s">
        <v>2</v>
      </c>
      <c r="B5" s="4" t="s">
        <v>3</v>
      </c>
      <c r="C5" s="4" t="s">
        <v>4</v>
      </c>
    </row>
    <row r="6" spans="1:4">
      <c r="A6" s="6">
        <f t="shared" ref="A6:A36" si="0">B6</f>
        <v>42917</v>
      </c>
      <c r="B6" s="7">
        <v>42917</v>
      </c>
      <c r="C6" s="8">
        <v>487</v>
      </c>
      <c r="D6" s="36"/>
    </row>
    <row r="7" spans="1:4">
      <c r="A7" s="6">
        <f t="shared" si="0"/>
        <v>42918</v>
      </c>
      <c r="B7" s="7">
        <v>42918</v>
      </c>
      <c r="C7" s="8">
        <v>530</v>
      </c>
      <c r="D7" s="36"/>
    </row>
    <row r="8" spans="1:4">
      <c r="A8" s="6">
        <f t="shared" si="0"/>
        <v>42919</v>
      </c>
      <c r="B8" s="7">
        <v>42919</v>
      </c>
      <c r="C8" s="8">
        <v>240</v>
      </c>
      <c r="D8" s="36"/>
    </row>
    <row r="9" spans="1:4">
      <c r="A9" s="6">
        <f t="shared" si="0"/>
        <v>42920</v>
      </c>
      <c r="B9" s="7">
        <v>42920</v>
      </c>
      <c r="C9" s="8">
        <v>184</v>
      </c>
      <c r="D9" s="36"/>
    </row>
    <row r="10" spans="1:4">
      <c r="A10" s="6">
        <f t="shared" si="0"/>
        <v>42921</v>
      </c>
      <c r="B10" s="7">
        <v>42921</v>
      </c>
      <c r="C10" s="8">
        <v>299</v>
      </c>
      <c r="D10" s="36"/>
    </row>
    <row r="11" spans="1:4">
      <c r="A11" s="6">
        <f t="shared" si="0"/>
        <v>42922</v>
      </c>
      <c r="B11" s="7">
        <v>42922</v>
      </c>
      <c r="C11" s="8">
        <v>449</v>
      </c>
      <c r="D11" s="36"/>
    </row>
    <row r="12" spans="1:4">
      <c r="A12" s="6">
        <f t="shared" si="0"/>
        <v>42923</v>
      </c>
      <c r="B12" s="7">
        <v>42923</v>
      </c>
      <c r="C12" s="8">
        <v>443</v>
      </c>
      <c r="D12" s="36"/>
    </row>
    <row r="13" spans="1:4">
      <c r="A13" s="6">
        <f t="shared" si="0"/>
        <v>42924</v>
      </c>
      <c r="B13" s="7">
        <v>42924</v>
      </c>
      <c r="C13" s="8">
        <v>253</v>
      </c>
      <c r="D13" s="36"/>
    </row>
    <row r="14" spans="1:4">
      <c r="A14" s="6">
        <f t="shared" si="0"/>
        <v>42925</v>
      </c>
      <c r="B14" s="7">
        <v>42925</v>
      </c>
      <c r="C14" s="8">
        <v>281</v>
      </c>
      <c r="D14" s="36"/>
    </row>
    <row r="15" spans="1:4">
      <c r="A15" s="6">
        <f t="shared" si="0"/>
        <v>42926</v>
      </c>
      <c r="B15" s="7">
        <v>42926</v>
      </c>
      <c r="C15" s="8">
        <v>449</v>
      </c>
      <c r="D15" s="36"/>
    </row>
    <row r="16" spans="1:4">
      <c r="A16" s="6">
        <f t="shared" si="0"/>
        <v>42927</v>
      </c>
      <c r="B16" s="7">
        <v>42927</v>
      </c>
      <c r="C16" s="8">
        <v>466</v>
      </c>
      <c r="D16" s="36"/>
    </row>
    <row r="17" spans="1:4">
      <c r="A17" s="6">
        <f t="shared" si="0"/>
        <v>42928</v>
      </c>
      <c r="B17" s="7">
        <v>42928</v>
      </c>
      <c r="C17" s="8">
        <v>446</v>
      </c>
      <c r="D17" s="36"/>
    </row>
    <row r="18" spans="1:4">
      <c r="A18" s="6">
        <f t="shared" si="0"/>
        <v>42929</v>
      </c>
      <c r="B18" s="7">
        <v>42929</v>
      </c>
      <c r="C18" s="8">
        <v>414</v>
      </c>
      <c r="D18" s="36"/>
    </row>
    <row r="19" spans="1:4">
      <c r="A19" s="6">
        <f t="shared" si="0"/>
        <v>42930</v>
      </c>
      <c r="B19" s="7">
        <v>42930</v>
      </c>
      <c r="C19" s="8">
        <v>350</v>
      </c>
      <c r="D19" s="36"/>
    </row>
    <row r="20" spans="1:4">
      <c r="A20" s="6">
        <f t="shared" si="0"/>
        <v>42931</v>
      </c>
      <c r="B20" s="7">
        <v>42931</v>
      </c>
      <c r="C20" s="8">
        <v>208</v>
      </c>
      <c r="D20" s="36"/>
    </row>
    <row r="21" spans="1:4">
      <c r="A21" s="6">
        <f t="shared" si="0"/>
        <v>42932</v>
      </c>
      <c r="B21" s="7">
        <v>42932</v>
      </c>
      <c r="C21" s="8">
        <v>237</v>
      </c>
      <c r="D21" s="36"/>
    </row>
    <row r="22" spans="1:4">
      <c r="A22" s="6">
        <f t="shared" si="0"/>
        <v>42933</v>
      </c>
      <c r="B22" s="7">
        <v>42933</v>
      </c>
      <c r="C22" s="8">
        <v>450</v>
      </c>
      <c r="D22" s="36"/>
    </row>
    <row r="23" spans="1:4">
      <c r="A23" s="6">
        <f t="shared" si="0"/>
        <v>42934</v>
      </c>
      <c r="B23" s="7">
        <v>42934</v>
      </c>
      <c r="C23" s="8">
        <v>433</v>
      </c>
      <c r="D23" s="36"/>
    </row>
    <row r="24" spans="1:4">
      <c r="A24" s="6">
        <f t="shared" si="0"/>
        <v>42935</v>
      </c>
      <c r="B24" s="7">
        <v>42935</v>
      </c>
      <c r="C24" s="8">
        <v>409</v>
      </c>
      <c r="D24" s="36"/>
    </row>
    <row r="25" spans="1:4">
      <c r="A25" s="6">
        <f t="shared" si="0"/>
        <v>42936</v>
      </c>
      <c r="B25" s="7">
        <v>42936</v>
      </c>
      <c r="C25" s="8">
        <v>417</v>
      </c>
      <c r="D25" s="36"/>
    </row>
    <row r="26" spans="1:4">
      <c r="A26" s="6">
        <f t="shared" si="0"/>
        <v>42937</v>
      </c>
      <c r="B26" s="7">
        <v>42937</v>
      </c>
      <c r="C26" s="8">
        <v>447</v>
      </c>
      <c r="D26" s="36"/>
    </row>
    <row r="27" spans="1:4">
      <c r="A27" s="6">
        <f t="shared" si="0"/>
        <v>42938</v>
      </c>
      <c r="B27" s="7">
        <v>42938</v>
      </c>
      <c r="C27" s="8">
        <v>315</v>
      </c>
      <c r="D27" s="36"/>
    </row>
    <row r="28" spans="1:4">
      <c r="A28" s="6">
        <f t="shared" si="0"/>
        <v>42939</v>
      </c>
      <c r="B28" s="7">
        <v>42939</v>
      </c>
      <c r="C28" s="8">
        <v>314</v>
      </c>
      <c r="D28" s="36"/>
    </row>
    <row r="29" spans="1:4">
      <c r="A29" s="6">
        <f t="shared" si="0"/>
        <v>42940</v>
      </c>
      <c r="B29" s="7">
        <v>42940</v>
      </c>
      <c r="C29" s="8">
        <v>542</v>
      </c>
      <c r="D29" s="36"/>
    </row>
    <row r="30" spans="1:4">
      <c r="A30" s="6">
        <f t="shared" si="0"/>
        <v>42941</v>
      </c>
      <c r="B30" s="7">
        <v>42941</v>
      </c>
      <c r="C30" s="8">
        <v>556</v>
      </c>
      <c r="D30" s="36"/>
    </row>
    <row r="31" spans="1:4" ht="16.5" customHeight="1">
      <c r="A31" s="6">
        <f t="shared" si="0"/>
        <v>42942</v>
      </c>
      <c r="B31" s="7">
        <v>42942</v>
      </c>
      <c r="C31" s="8">
        <v>521</v>
      </c>
      <c r="D31" s="36"/>
    </row>
    <row r="32" spans="1:4" ht="15" customHeight="1">
      <c r="A32" s="6">
        <f t="shared" si="0"/>
        <v>42943</v>
      </c>
      <c r="B32" s="7">
        <v>42943</v>
      </c>
      <c r="C32" s="8">
        <v>494</v>
      </c>
      <c r="D32" s="36"/>
    </row>
    <row r="33" spans="1:4">
      <c r="A33" s="6">
        <f t="shared" si="0"/>
        <v>42944</v>
      </c>
      <c r="B33" s="7">
        <v>42944</v>
      </c>
      <c r="C33" s="8">
        <v>421</v>
      </c>
      <c r="D33" s="36"/>
    </row>
    <row r="34" spans="1:4">
      <c r="A34" s="6">
        <f t="shared" si="0"/>
        <v>42945</v>
      </c>
      <c r="B34" s="7">
        <v>42945</v>
      </c>
      <c r="C34" s="8">
        <v>304</v>
      </c>
      <c r="D34" s="36"/>
    </row>
    <row r="35" spans="1:4">
      <c r="A35" s="6">
        <f t="shared" si="0"/>
        <v>42946</v>
      </c>
      <c r="B35" s="7">
        <v>42946</v>
      </c>
      <c r="C35" s="8">
        <v>279</v>
      </c>
      <c r="D35" s="36"/>
    </row>
    <row r="36" spans="1:4">
      <c r="A36" s="6">
        <f t="shared" si="0"/>
        <v>42947</v>
      </c>
      <c r="B36" s="7">
        <v>42947</v>
      </c>
      <c r="C36" s="9">
        <v>299</v>
      </c>
    </row>
    <row r="37" spans="1:4" ht="18" customHeight="1">
      <c r="B37" s="10" t="s">
        <v>6</v>
      </c>
      <c r="C37" s="11">
        <f>SUM(C6:C36)</f>
        <v>11937</v>
      </c>
    </row>
    <row r="38" spans="1:4">
      <c r="C38" s="13"/>
    </row>
    <row r="39" spans="1:4">
      <c r="B39" s="14" t="s">
        <v>7</v>
      </c>
      <c r="C39" s="9">
        <v>50906</v>
      </c>
    </row>
    <row r="40" spans="1:4">
      <c r="B40" s="14" t="s">
        <v>8</v>
      </c>
      <c r="C40" s="9">
        <f>C37</f>
        <v>11937</v>
      </c>
    </row>
    <row r="41" spans="1:4">
      <c r="B41" s="14" t="s">
        <v>9</v>
      </c>
      <c r="C41" s="9">
        <f>C39-C40</f>
        <v>38969</v>
      </c>
    </row>
    <row r="42" spans="1:4">
      <c r="B42" s="14" t="s">
        <v>10</v>
      </c>
      <c r="C42" s="15">
        <f>C40/C39</f>
        <v>0.2344910226692335</v>
      </c>
    </row>
    <row r="43" spans="1:4">
      <c r="B43" s="14" t="s">
        <v>11</v>
      </c>
      <c r="C43" s="9">
        <f>IF(C40&lt;C39,0,C40-C39)</f>
        <v>0</v>
      </c>
    </row>
    <row r="44" spans="1:4">
      <c r="B44" s="14" t="s">
        <v>12</v>
      </c>
      <c r="C44" s="9">
        <f ca="1">(C39-C37)/C48</f>
        <v>1298.9666666666667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>
      <c r="B57" s="33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7"/>
  <sheetViews>
    <sheetView showGridLines="0" topLeftCell="A4" workbookViewId="0">
      <selection activeCell="D36" sqref="D36"/>
    </sheetView>
  </sheetViews>
  <sheetFormatPr baseColWidth="10" defaultColWidth="8.83203125" defaultRowHeight="14" x14ac:dyDescent="0"/>
  <cols>
    <col min="1" max="1" width="12.1640625" customWidth="1"/>
    <col min="2" max="2" width="22.5" bestFit="1" customWidth="1"/>
    <col min="3" max="3" width="15.5" bestFit="1" customWidth="1"/>
    <col min="4" max="4" width="14.83203125" customWidth="1"/>
  </cols>
  <sheetData>
    <row r="2" spans="1:4">
      <c r="B2" s="1" t="s">
        <v>25</v>
      </c>
    </row>
    <row r="4" spans="1:4">
      <c r="B4" s="2" t="s">
        <v>1</v>
      </c>
      <c r="C4" s="2"/>
    </row>
    <row r="5" spans="1:4">
      <c r="A5" s="3" t="s">
        <v>2</v>
      </c>
      <c r="B5" s="4" t="s">
        <v>3</v>
      </c>
      <c r="C5" s="4" t="s">
        <v>4</v>
      </c>
      <c r="D5" s="5" t="s">
        <v>5</v>
      </c>
    </row>
    <row r="6" spans="1:4">
      <c r="A6" s="6">
        <f t="shared" ref="A6:A36" si="0">B6</f>
        <v>42917</v>
      </c>
      <c r="B6" s="7">
        <v>42917</v>
      </c>
      <c r="C6" s="8"/>
      <c r="D6" s="8"/>
    </row>
    <row r="7" spans="1:4">
      <c r="A7" s="6">
        <f t="shared" si="0"/>
        <v>42918</v>
      </c>
      <c r="B7" s="7">
        <v>42918</v>
      </c>
      <c r="C7" s="8"/>
      <c r="D7" s="8"/>
    </row>
    <row r="8" spans="1:4">
      <c r="A8" s="6">
        <f t="shared" si="0"/>
        <v>42919</v>
      </c>
      <c r="B8" s="7">
        <v>42919</v>
      </c>
      <c r="C8" s="8"/>
      <c r="D8" s="8"/>
    </row>
    <row r="9" spans="1:4">
      <c r="A9" s="6">
        <f t="shared" si="0"/>
        <v>42920</v>
      </c>
      <c r="B9" s="7">
        <v>42920</v>
      </c>
      <c r="C9" s="8"/>
      <c r="D9" s="8"/>
    </row>
    <row r="10" spans="1:4">
      <c r="A10" s="6">
        <f t="shared" si="0"/>
        <v>42921</v>
      </c>
      <c r="B10" s="7">
        <v>42921</v>
      </c>
      <c r="C10" s="8"/>
      <c r="D10" s="34"/>
    </row>
    <row r="11" spans="1:4">
      <c r="A11" s="6">
        <f t="shared" si="0"/>
        <v>42922</v>
      </c>
      <c r="B11" s="7">
        <v>42922</v>
      </c>
      <c r="C11" s="8"/>
      <c r="D11" s="34"/>
    </row>
    <row r="12" spans="1:4">
      <c r="A12" s="6">
        <f t="shared" si="0"/>
        <v>42923</v>
      </c>
      <c r="B12" s="7">
        <v>42923</v>
      </c>
      <c r="C12" s="8"/>
      <c r="D12" s="34"/>
    </row>
    <row r="13" spans="1:4">
      <c r="A13" s="6">
        <f t="shared" si="0"/>
        <v>42924</v>
      </c>
      <c r="B13" s="7">
        <v>42924</v>
      </c>
      <c r="C13" s="8"/>
      <c r="D13" s="34"/>
    </row>
    <row r="14" spans="1:4">
      <c r="A14" s="6">
        <f t="shared" si="0"/>
        <v>42925</v>
      </c>
      <c r="B14" s="7">
        <v>42925</v>
      </c>
      <c r="C14" s="8"/>
      <c r="D14" s="34"/>
    </row>
    <row r="15" spans="1:4">
      <c r="A15" s="6">
        <f t="shared" si="0"/>
        <v>42926</v>
      </c>
      <c r="B15" s="7">
        <v>42926</v>
      </c>
      <c r="C15" s="8"/>
      <c r="D15" s="34"/>
    </row>
    <row r="16" spans="1:4">
      <c r="A16" s="6">
        <f t="shared" si="0"/>
        <v>42927</v>
      </c>
      <c r="B16" s="7">
        <v>42927</v>
      </c>
      <c r="C16" s="8"/>
      <c r="D16" s="34"/>
    </row>
    <row r="17" spans="1:4">
      <c r="A17" s="6">
        <f t="shared" si="0"/>
        <v>42928</v>
      </c>
      <c r="B17" s="7">
        <v>42928</v>
      </c>
      <c r="C17" s="8"/>
      <c r="D17" s="34"/>
    </row>
    <row r="18" spans="1:4">
      <c r="A18" s="6">
        <f t="shared" si="0"/>
        <v>42929</v>
      </c>
      <c r="B18" s="7">
        <v>42929</v>
      </c>
      <c r="C18" s="8"/>
      <c r="D18" s="63"/>
    </row>
    <row r="19" spans="1:4">
      <c r="A19" s="6">
        <f t="shared" si="0"/>
        <v>42930</v>
      </c>
      <c r="B19" s="7">
        <v>42930</v>
      </c>
      <c r="C19" s="8"/>
      <c r="D19" s="34"/>
    </row>
    <row r="20" spans="1:4">
      <c r="A20" s="6">
        <f t="shared" si="0"/>
        <v>42931</v>
      </c>
      <c r="B20" s="7">
        <v>42931</v>
      </c>
      <c r="C20" s="8"/>
      <c r="D20" s="34"/>
    </row>
    <row r="21" spans="1:4">
      <c r="A21" s="6">
        <f t="shared" si="0"/>
        <v>42932</v>
      </c>
      <c r="B21" s="7">
        <v>42932</v>
      </c>
      <c r="C21" s="8"/>
      <c r="D21" s="34"/>
    </row>
    <row r="22" spans="1:4">
      <c r="A22" s="6">
        <f t="shared" si="0"/>
        <v>42933</v>
      </c>
      <c r="B22" s="7">
        <v>42933</v>
      </c>
      <c r="C22" s="8"/>
      <c r="D22" s="34"/>
    </row>
    <row r="23" spans="1:4">
      <c r="A23" s="6">
        <f t="shared" si="0"/>
        <v>42934</v>
      </c>
      <c r="B23" s="7">
        <v>42934</v>
      </c>
      <c r="C23" s="8"/>
      <c r="D23" s="34"/>
    </row>
    <row r="24" spans="1:4">
      <c r="A24" s="6">
        <f t="shared" si="0"/>
        <v>42935</v>
      </c>
      <c r="B24" s="7">
        <v>42935</v>
      </c>
      <c r="C24" s="8"/>
      <c r="D24" s="34"/>
    </row>
    <row r="25" spans="1:4">
      <c r="A25" s="6">
        <f t="shared" si="0"/>
        <v>42936</v>
      </c>
      <c r="B25" s="7">
        <v>42936</v>
      </c>
      <c r="C25" s="8"/>
      <c r="D25" s="34"/>
    </row>
    <row r="26" spans="1:4">
      <c r="A26" s="6">
        <f t="shared" si="0"/>
        <v>42937</v>
      </c>
      <c r="B26" s="7">
        <v>42937</v>
      </c>
      <c r="C26" s="8"/>
      <c r="D26" s="34"/>
    </row>
    <row r="27" spans="1:4">
      <c r="A27" s="6">
        <f t="shared" si="0"/>
        <v>42938</v>
      </c>
      <c r="B27" s="7">
        <v>42938</v>
      </c>
      <c r="C27" s="8"/>
      <c r="D27" s="8"/>
    </row>
    <row r="28" spans="1:4">
      <c r="A28" s="6">
        <f t="shared" si="0"/>
        <v>42939</v>
      </c>
      <c r="B28" s="7">
        <v>42939</v>
      </c>
      <c r="C28" s="8"/>
      <c r="D28" s="8"/>
    </row>
    <row r="29" spans="1:4">
      <c r="A29" s="6">
        <f t="shared" si="0"/>
        <v>42940</v>
      </c>
      <c r="B29" s="7">
        <v>42940</v>
      </c>
      <c r="C29" s="8"/>
      <c r="D29" s="8"/>
    </row>
    <row r="30" spans="1:4">
      <c r="A30" s="6">
        <f t="shared" si="0"/>
        <v>42941</v>
      </c>
      <c r="B30" s="7">
        <v>42941</v>
      </c>
      <c r="C30" s="8"/>
      <c r="D30" s="8"/>
    </row>
    <row r="31" spans="1:4" ht="16.5" customHeight="1">
      <c r="A31" s="6">
        <f t="shared" si="0"/>
        <v>42942</v>
      </c>
      <c r="B31" s="7">
        <v>42942</v>
      </c>
      <c r="C31" s="8"/>
      <c r="D31" s="8"/>
    </row>
    <row r="32" spans="1:4" ht="15" customHeight="1">
      <c r="A32" s="6">
        <f t="shared" si="0"/>
        <v>42943</v>
      </c>
      <c r="B32" s="7">
        <v>42943</v>
      </c>
      <c r="C32" s="8"/>
      <c r="D32" s="8"/>
    </row>
    <row r="33" spans="1:4">
      <c r="A33" s="6">
        <f t="shared" si="0"/>
        <v>42944</v>
      </c>
      <c r="B33" s="7">
        <v>42944</v>
      </c>
      <c r="C33" s="8"/>
      <c r="D33" s="8"/>
    </row>
    <row r="34" spans="1:4">
      <c r="A34" s="6">
        <f t="shared" si="0"/>
        <v>42945</v>
      </c>
      <c r="B34" s="7">
        <v>42945</v>
      </c>
      <c r="C34" s="8"/>
      <c r="D34" s="8"/>
    </row>
    <row r="35" spans="1:4">
      <c r="A35" s="6">
        <f t="shared" si="0"/>
        <v>42946</v>
      </c>
      <c r="B35" s="7">
        <v>42946</v>
      </c>
      <c r="C35" s="8"/>
      <c r="D35" s="8"/>
    </row>
    <row r="36" spans="1:4">
      <c r="A36" s="6">
        <f t="shared" si="0"/>
        <v>42947</v>
      </c>
      <c r="B36" s="7">
        <v>42947</v>
      </c>
      <c r="C36" s="9">
        <f>IF(D36-D35&lt;0,0,D36-D35)</f>
        <v>0</v>
      </c>
      <c r="D36" s="9"/>
    </row>
    <row r="37" spans="1:4" ht="18" customHeight="1">
      <c r="B37" s="10" t="s">
        <v>6</v>
      </c>
      <c r="C37" s="11">
        <f>SUM(C6:C35)</f>
        <v>0</v>
      </c>
      <c r="D37" s="12"/>
    </row>
    <row r="38" spans="1:4">
      <c r="C38" s="13"/>
    </row>
    <row r="39" spans="1:4">
      <c r="B39" s="14" t="s">
        <v>7</v>
      </c>
      <c r="C39" s="9">
        <v>1100</v>
      </c>
    </row>
    <row r="40" spans="1:4">
      <c r="B40" s="14" t="s">
        <v>8</v>
      </c>
      <c r="C40" s="9">
        <f>C37</f>
        <v>0</v>
      </c>
    </row>
    <row r="41" spans="1:4">
      <c r="B41" s="14" t="s">
        <v>9</v>
      </c>
      <c r="C41" s="9">
        <f>C39-C40</f>
        <v>1100</v>
      </c>
    </row>
    <row r="42" spans="1:4">
      <c r="B42" s="14" t="s">
        <v>10</v>
      </c>
      <c r="C42" s="15">
        <f>C40/C39</f>
        <v>0</v>
      </c>
    </row>
    <row r="43" spans="1:4">
      <c r="B43" s="14" t="s">
        <v>11</v>
      </c>
      <c r="C43" s="9">
        <f>IF(C40&lt;C39,0,C40-C39)</f>
        <v>0</v>
      </c>
    </row>
    <row r="44" spans="1:4">
      <c r="B44" s="14" t="s">
        <v>12</v>
      </c>
      <c r="C44" s="9">
        <f ca="1">(C39-C37)/C48</f>
        <v>36.666666666666664</v>
      </c>
    </row>
    <row r="45" spans="1:4" ht="15.75" customHeight="1" thickBot="1"/>
    <row r="46" spans="1:4">
      <c r="B46" s="16" t="s">
        <v>13</v>
      </c>
      <c r="C46" s="17">
        <f ca="1">C50-C49</f>
        <v>1</v>
      </c>
      <c r="D46" s="18"/>
    </row>
    <row r="47" spans="1:4">
      <c r="B47" s="19" t="s">
        <v>14</v>
      </c>
      <c r="C47" s="20">
        <f ca="1">D49-C49+1</f>
        <v>31</v>
      </c>
      <c r="D47" s="21"/>
    </row>
    <row r="48" spans="1:4">
      <c r="B48" s="19" t="s">
        <v>15</v>
      </c>
      <c r="C48" s="20">
        <f ca="1">+C47-C46</f>
        <v>30</v>
      </c>
      <c r="D48" s="21"/>
    </row>
    <row r="49" spans="2:4">
      <c r="B49" s="22">
        <f ca="1">NOW()</f>
        <v>42949.45864409722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16</v>
      </c>
      <c r="C50" s="23">
        <f ca="1">TODAY()</f>
        <v>42949</v>
      </c>
      <c r="D50" s="21"/>
    </row>
    <row r="51" spans="2:4">
      <c r="B51" s="19"/>
      <c r="C51" s="20"/>
      <c r="D51" s="25"/>
    </row>
    <row r="52" spans="2:4">
      <c r="B52" s="26" t="s">
        <v>17</v>
      </c>
      <c r="C52" s="27"/>
      <c r="D52" s="28">
        <f ca="1">TODAY()-1</f>
        <v>42948</v>
      </c>
    </row>
    <row r="53" spans="2:4">
      <c r="B53" s="26" t="s">
        <v>18</v>
      </c>
      <c r="C53" s="27"/>
      <c r="D53" s="29">
        <f ca="1">C46/C47</f>
        <v>3.2258064516129031E-2</v>
      </c>
    </row>
    <row r="54" spans="2:4" ht="15.75" customHeight="1" thickBot="1">
      <c r="B54" s="30" t="s">
        <v>19</v>
      </c>
      <c r="C54" s="31"/>
      <c r="D54" s="32">
        <f ca="1">C48/C47</f>
        <v>0.967741935483871</v>
      </c>
    </row>
    <row r="57" spans="2:4" ht="13" customHeight="1">
      <c r="B57" s="33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66</vt:i4>
      </vt:variant>
    </vt:vector>
  </HeadingPairs>
  <TitlesOfParts>
    <vt:vector size="66" baseType="lpstr">
      <vt:lpstr>Alphanate</vt:lpstr>
      <vt:lpstr>Aubagio- naive</vt:lpstr>
      <vt:lpstr>Aubagio- switcher</vt:lpstr>
      <vt:lpstr>Breo-Advair (TS)</vt:lpstr>
      <vt:lpstr>Breo-Breo (TS)</vt:lpstr>
      <vt:lpstr>Breo-Dulera (TS)</vt:lpstr>
      <vt:lpstr>Breo-Spiriva (TS)</vt:lpstr>
      <vt:lpstr>Breo-Symbicort (TS)</vt:lpstr>
      <vt:lpstr>Bydureon</vt:lpstr>
      <vt:lpstr>Cialis-Cialis (TS)</vt:lpstr>
      <vt:lpstr>Cosentyx AS</vt:lpstr>
      <vt:lpstr>CTCA</vt:lpstr>
      <vt:lpstr>Duopa</vt:lpstr>
      <vt:lpstr>Dupixent</vt:lpstr>
      <vt:lpstr>Esbiret (unbranded)</vt:lpstr>
      <vt:lpstr>Gleevec (GIST)</vt:lpstr>
      <vt:lpstr>Gleevec (Treatment Seekers)</vt:lpstr>
      <vt:lpstr>Gilead (Treatment Seekers)</vt:lpstr>
      <vt:lpstr>Humira AS</vt:lpstr>
      <vt:lpstr>Humira CD</vt:lpstr>
      <vt:lpstr>Humira PsA</vt:lpstr>
      <vt:lpstr>Humira PsO</vt:lpstr>
      <vt:lpstr>HumiraPsO (Treatment Seekers)</vt:lpstr>
      <vt:lpstr>Humira R.A.</vt:lpstr>
      <vt:lpstr>Humira UC</vt:lpstr>
      <vt:lpstr>Jadenu (Treatment Seekers) </vt:lpstr>
      <vt:lpstr>Jardiance(Treatment Seekers)</vt:lpstr>
      <vt:lpstr>Kisqali (Ribociclib)</vt:lpstr>
      <vt:lpstr>Latuda</vt:lpstr>
      <vt:lpstr>Lemtrada</vt:lpstr>
      <vt:lpstr>Lemtrada (TS)</vt:lpstr>
      <vt:lpstr>Linzess</vt:lpstr>
      <vt:lpstr>Linzess (TS)</vt:lpstr>
      <vt:lpstr>Livalo</vt:lpstr>
      <vt:lpstr>Ninlaro (Treatment Seekers)</vt:lpstr>
      <vt:lpstr>Ocrevus(Treatment Seeker)</vt:lpstr>
      <vt:lpstr>Ofev</vt:lpstr>
      <vt:lpstr>Otezla</vt:lpstr>
      <vt:lpstr>Otezla PSA(Treatment Seekers) </vt:lpstr>
      <vt:lpstr>Otezla PSO(Treatment Seekers)</vt:lpstr>
      <vt:lpstr>Promacta (Treatment Seekers)</vt:lpstr>
      <vt:lpstr>Qsymia (Treatment Seekers)</vt:lpstr>
      <vt:lpstr>Restasis</vt:lpstr>
      <vt:lpstr>Ribociclib (Treatment Seekers)</vt:lpstr>
      <vt:lpstr>Rydapt (TS)</vt:lpstr>
      <vt:lpstr>Soliqua</vt:lpstr>
      <vt:lpstr>Sandosatin</vt:lpstr>
      <vt:lpstr>Soliqua (Treatment Seekers)</vt:lpstr>
      <vt:lpstr>Synthroid</vt:lpstr>
      <vt:lpstr>Synvisc - (Brand)</vt:lpstr>
      <vt:lpstr>Taltz (Treatment Seekers)</vt:lpstr>
      <vt:lpstr>Tasigna (Treatment Seekers)</vt:lpstr>
      <vt:lpstr>Tasigna</vt:lpstr>
      <vt:lpstr>Tecfidera-Brand</vt:lpstr>
      <vt:lpstr>Tecfidera-reimagine</vt:lpstr>
      <vt:lpstr>Toujeo BP</vt:lpstr>
      <vt:lpstr>Toujeo (TS)</vt:lpstr>
      <vt:lpstr>Trintellix</vt:lpstr>
      <vt:lpstr>Trintellix (TS)</vt:lpstr>
      <vt:lpstr>Trulance (TS)</vt:lpstr>
      <vt:lpstr>Truvada</vt:lpstr>
      <vt:lpstr>Trulance</vt:lpstr>
      <vt:lpstr>Watchman</vt:lpstr>
      <vt:lpstr>Xarelto (Treatment Seekers)</vt:lpstr>
      <vt:lpstr>Xiaflex (Treatment Seekers)</vt:lpstr>
      <vt:lpstr>Xiidra</vt:lpstr>
    </vt:vector>
  </TitlesOfParts>
  <Company>Healthline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Cronin</dc:creator>
  <cp:lastModifiedBy>Casey Cronin</cp:lastModifiedBy>
  <cp:lastPrinted>2017-07-13T15:42:26Z</cp:lastPrinted>
  <dcterms:created xsi:type="dcterms:W3CDTF">2017-05-31T17:38:06Z</dcterms:created>
  <dcterms:modified xsi:type="dcterms:W3CDTF">2017-08-02T18:00:29Z</dcterms:modified>
</cp:coreProperties>
</file>