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1600" yWindow="-21600" windowWidth="30120" windowHeight="13680" tabRatio="830" activeTab="5"/>
  </bookViews>
  <sheets>
    <sheet name="Humira AS" sheetId="5" r:id="rId1"/>
    <sheet name="Humira CD" sheetId="1" r:id="rId2"/>
    <sheet name="Humira PSA" sheetId="3" r:id="rId3"/>
    <sheet name="Humira Pso" sheetId="2" r:id="rId4"/>
    <sheet name="Humira UC" sheetId="4" r:id="rId5"/>
    <sheet name="Synthroid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7" l="1"/>
  <c r="D35" i="2"/>
  <c r="D33" i="2"/>
  <c r="D34" i="2"/>
  <c r="D36" i="2"/>
  <c r="D36" i="3"/>
  <c r="D36" i="1"/>
  <c r="D36" i="5"/>
  <c r="C36" i="1"/>
  <c r="C37" i="1"/>
  <c r="C36" i="3"/>
  <c r="C37" i="3"/>
  <c r="C36" i="2"/>
  <c r="C33" i="2"/>
  <c r="C34" i="2"/>
  <c r="C35" i="2"/>
  <c r="C37" i="2"/>
  <c r="C36" i="4"/>
  <c r="C37" i="4"/>
  <c r="C36" i="7"/>
  <c r="C37" i="7"/>
  <c r="C37" i="5"/>
  <c r="D33" i="7"/>
  <c r="D34" i="7"/>
  <c r="D35" i="7"/>
  <c r="D35" i="3"/>
  <c r="D33" i="3"/>
  <c r="D34" i="3"/>
  <c r="D34" i="1"/>
  <c r="D35" i="1"/>
  <c r="D33" i="5"/>
  <c r="D34" i="5"/>
  <c r="D35" i="5"/>
  <c r="D32" i="7"/>
  <c r="D32" i="2"/>
  <c r="D32" i="3"/>
  <c r="D32" i="1"/>
  <c r="D32" i="5"/>
  <c r="D31" i="7"/>
  <c r="D31" i="2"/>
  <c r="D31" i="3"/>
  <c r="D31" i="1"/>
  <c r="D31" i="5"/>
  <c r="D30" i="7"/>
  <c r="D30" i="2"/>
  <c r="D30" i="3"/>
  <c r="D30" i="1"/>
  <c r="D30" i="5"/>
  <c r="D29" i="5"/>
  <c r="D29" i="1"/>
  <c r="D29" i="3"/>
  <c r="D29" i="2"/>
  <c r="D26" i="2"/>
  <c r="D27" i="2"/>
  <c r="D28" i="2"/>
  <c r="D28" i="3"/>
  <c r="D27" i="3"/>
  <c r="D26" i="3"/>
  <c r="D26" i="1"/>
  <c r="D27" i="1"/>
  <c r="D28" i="1"/>
  <c r="D28" i="5"/>
  <c r="D25" i="2"/>
  <c r="D25" i="3"/>
  <c r="D25" i="1"/>
  <c r="D24" i="2"/>
  <c r="D24" i="3"/>
  <c r="D24" i="1"/>
  <c r="D24" i="5"/>
  <c r="D23" i="2"/>
  <c r="D23" i="3"/>
  <c r="D23" i="1"/>
  <c r="D22" i="2"/>
  <c r="D22" i="3"/>
  <c r="D22" i="1"/>
  <c r="D22" i="5"/>
  <c r="D49" i="7"/>
  <c r="C49" i="7"/>
  <c r="C47" i="7"/>
  <c r="C50" i="7"/>
  <c r="C46" i="7"/>
  <c r="C48" i="7"/>
  <c r="D54" i="7"/>
  <c r="D53" i="7"/>
  <c r="D52" i="7"/>
  <c r="B49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44" i="7"/>
  <c r="C40" i="7"/>
  <c r="C43" i="7"/>
  <c r="C42" i="7"/>
  <c r="C41" i="7"/>
  <c r="A36" i="7"/>
  <c r="A35" i="7"/>
  <c r="A34" i="7"/>
  <c r="A33" i="7"/>
  <c r="A32" i="7"/>
  <c r="A31" i="7"/>
  <c r="A30" i="7"/>
  <c r="A29" i="7"/>
  <c r="A28" i="7"/>
  <c r="F27" i="7"/>
  <c r="A27" i="7"/>
  <c r="A26" i="7"/>
  <c r="A25" i="7"/>
  <c r="A24" i="7"/>
  <c r="A23" i="7"/>
  <c r="A22" i="7"/>
  <c r="A21" i="7"/>
  <c r="F20" i="7"/>
  <c r="A20" i="7"/>
  <c r="A19" i="7"/>
  <c r="A18" i="7"/>
  <c r="A17" i="7"/>
  <c r="A16" i="7"/>
  <c r="A15" i="7"/>
  <c r="A14" i="7"/>
  <c r="F13" i="7"/>
  <c r="A13" i="7"/>
  <c r="A12" i="7"/>
  <c r="A11" i="7"/>
  <c r="A10" i="7"/>
  <c r="A9" i="7"/>
  <c r="A8" i="7"/>
  <c r="A7" i="7"/>
  <c r="F6" i="7"/>
  <c r="A6" i="7"/>
  <c r="D21" i="2"/>
  <c r="D20" i="2"/>
  <c r="D19" i="2"/>
  <c r="D19" i="3"/>
  <c r="D20" i="3"/>
  <c r="D21" i="3"/>
  <c r="D21" i="1"/>
  <c r="D20" i="1"/>
  <c r="D19" i="1"/>
  <c r="D21" i="5"/>
  <c r="D18" i="2"/>
  <c r="D18" i="3"/>
  <c r="D18" i="1"/>
  <c r="D49" i="5"/>
  <c r="C49" i="5"/>
  <c r="C47" i="5"/>
  <c r="C50" i="5"/>
  <c r="C46" i="5"/>
  <c r="C48" i="5"/>
  <c r="D54" i="5"/>
  <c r="D53" i="5"/>
  <c r="D52" i="5"/>
  <c r="B4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44" i="5"/>
  <c r="C40" i="5"/>
  <c r="C43" i="5"/>
  <c r="C42" i="5"/>
  <c r="C41" i="5"/>
  <c r="C36" i="5"/>
  <c r="A36" i="5"/>
  <c r="A35" i="5"/>
  <c r="A34" i="5"/>
  <c r="A33" i="5"/>
  <c r="A32" i="5"/>
  <c r="A31" i="5"/>
  <c r="A30" i="5"/>
  <c r="A29" i="5"/>
  <c r="A28" i="5"/>
  <c r="F27" i="5"/>
  <c r="A27" i="5"/>
  <c r="A26" i="5"/>
  <c r="A25" i="5"/>
  <c r="A24" i="5"/>
  <c r="A23" i="5"/>
  <c r="A22" i="5"/>
  <c r="A21" i="5"/>
  <c r="F20" i="5"/>
  <c r="A20" i="5"/>
  <c r="A19" i="5"/>
  <c r="A18" i="5"/>
  <c r="A17" i="5"/>
  <c r="A16" i="5"/>
  <c r="A15" i="5"/>
  <c r="A14" i="5"/>
  <c r="F13" i="5"/>
  <c r="A13" i="5"/>
  <c r="A12" i="5"/>
  <c r="A11" i="5"/>
  <c r="A10" i="5"/>
  <c r="A9" i="5"/>
  <c r="A8" i="5"/>
  <c r="A7" i="5"/>
  <c r="F6" i="5"/>
  <c r="A6" i="5"/>
  <c r="D17" i="2"/>
  <c r="D17" i="3"/>
  <c r="D17" i="1"/>
  <c r="D16" i="2"/>
  <c r="D16" i="3"/>
  <c r="D16" i="1"/>
  <c r="D15" i="2"/>
  <c r="D15" i="3"/>
  <c r="D15" i="1"/>
  <c r="D13" i="3"/>
  <c r="D14" i="3"/>
  <c r="D14" i="2"/>
  <c r="D13" i="2"/>
  <c r="D12" i="2"/>
  <c r="D11" i="2"/>
  <c r="D11" i="3"/>
  <c r="D10" i="2"/>
  <c r="D10" i="3"/>
  <c r="D8" i="2"/>
  <c r="D9" i="2"/>
  <c r="D6" i="2"/>
  <c r="D7" i="2"/>
  <c r="C6" i="2"/>
  <c r="C7" i="2"/>
  <c r="C9" i="2"/>
  <c r="C10" i="2"/>
  <c r="C8" i="2"/>
  <c r="C11" i="2"/>
  <c r="C12" i="2"/>
  <c r="C13" i="2"/>
  <c r="C14" i="2"/>
  <c r="C16" i="2"/>
  <c r="C17" i="2"/>
  <c r="C15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29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6" i="1"/>
  <c r="C7" i="1"/>
  <c r="C9" i="1"/>
  <c r="C10" i="1"/>
  <c r="C8" i="1"/>
  <c r="C11" i="1"/>
  <c r="C12" i="1"/>
  <c r="C13" i="1"/>
  <c r="C14" i="1"/>
  <c r="C16" i="1"/>
  <c r="C17" i="1"/>
  <c r="C1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49" i="4"/>
  <c r="C49" i="4"/>
  <c r="C47" i="4"/>
  <c r="C50" i="4"/>
  <c r="C46" i="4"/>
  <c r="C48" i="4"/>
  <c r="D54" i="4"/>
  <c r="D53" i="4"/>
  <c r="D52" i="4"/>
  <c r="B49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44" i="4"/>
  <c r="C40" i="4"/>
  <c r="C43" i="4"/>
  <c r="C42" i="4"/>
  <c r="C41" i="4"/>
  <c r="A36" i="4"/>
  <c r="A35" i="4"/>
  <c r="A34" i="4"/>
  <c r="A33" i="4"/>
  <c r="A32" i="4"/>
  <c r="A31" i="4"/>
  <c r="A30" i="4"/>
  <c r="A29" i="4"/>
  <c r="A28" i="4"/>
  <c r="F27" i="4"/>
  <c r="A27" i="4"/>
  <c r="A26" i="4"/>
  <c r="A25" i="4"/>
  <c r="A24" i="4"/>
  <c r="A23" i="4"/>
  <c r="A22" i="4"/>
  <c r="A21" i="4"/>
  <c r="F20" i="4"/>
  <c r="A20" i="4"/>
  <c r="A19" i="4"/>
  <c r="A18" i="4"/>
  <c r="A17" i="4"/>
  <c r="A16" i="4"/>
  <c r="A15" i="4"/>
  <c r="A14" i="4"/>
  <c r="F13" i="4"/>
  <c r="A13" i="4"/>
  <c r="A12" i="4"/>
  <c r="A11" i="4"/>
  <c r="A10" i="4"/>
  <c r="A9" i="4"/>
  <c r="A8" i="4"/>
  <c r="A7" i="4"/>
  <c r="F6" i="4"/>
  <c r="A6" i="4"/>
  <c r="D49" i="3"/>
  <c r="C49" i="3"/>
  <c r="C47" i="3"/>
  <c r="C50" i="3"/>
  <c r="C46" i="3"/>
  <c r="C48" i="3"/>
  <c r="D54" i="3"/>
  <c r="D53" i="3"/>
  <c r="D52" i="3"/>
  <c r="B49" i="3"/>
  <c r="C44" i="3"/>
  <c r="C40" i="3"/>
  <c r="C43" i="3"/>
  <c r="C42" i="3"/>
  <c r="C41" i="3"/>
  <c r="A36" i="3"/>
  <c r="A35" i="3"/>
  <c r="A34" i="3"/>
  <c r="A33" i="3"/>
  <c r="A32" i="3"/>
  <c r="A31" i="3"/>
  <c r="A30" i="3"/>
  <c r="A29" i="3"/>
  <c r="A28" i="3"/>
  <c r="F27" i="3"/>
  <c r="A27" i="3"/>
  <c r="A26" i="3"/>
  <c r="A25" i="3"/>
  <c r="A24" i="3"/>
  <c r="A23" i="3"/>
  <c r="A22" i="3"/>
  <c r="A21" i="3"/>
  <c r="F20" i="3"/>
  <c r="A20" i="3"/>
  <c r="A19" i="3"/>
  <c r="A18" i="3"/>
  <c r="A17" i="3"/>
  <c r="A16" i="3"/>
  <c r="A15" i="3"/>
  <c r="A14" i="3"/>
  <c r="F13" i="3"/>
  <c r="A13" i="3"/>
  <c r="A12" i="3"/>
  <c r="A11" i="3"/>
  <c r="A10" i="3"/>
  <c r="A9" i="3"/>
  <c r="A8" i="3"/>
  <c r="A7" i="3"/>
  <c r="F6" i="3"/>
  <c r="A6" i="3"/>
  <c r="D49" i="2"/>
  <c r="C49" i="2"/>
  <c r="C47" i="2"/>
  <c r="C50" i="2"/>
  <c r="C46" i="2"/>
  <c r="C48" i="2"/>
  <c r="D54" i="2"/>
  <c r="D53" i="2"/>
  <c r="D52" i="2"/>
  <c r="B49" i="2"/>
  <c r="C44" i="2"/>
  <c r="C40" i="2"/>
  <c r="C43" i="2"/>
  <c r="C42" i="2"/>
  <c r="C41" i="2"/>
  <c r="A36" i="2"/>
  <c r="A35" i="2"/>
  <c r="A34" i="2"/>
  <c r="A33" i="2"/>
  <c r="A32" i="2"/>
  <c r="A31" i="2"/>
  <c r="A30" i="2"/>
  <c r="A29" i="2"/>
  <c r="A28" i="2"/>
  <c r="F27" i="2"/>
  <c r="A27" i="2"/>
  <c r="A26" i="2"/>
  <c r="A25" i="2"/>
  <c r="A24" i="2"/>
  <c r="A23" i="2"/>
  <c r="A22" i="2"/>
  <c r="A21" i="2"/>
  <c r="F20" i="2"/>
  <c r="A20" i="2"/>
  <c r="A19" i="2"/>
  <c r="A18" i="2"/>
  <c r="A17" i="2"/>
  <c r="A16" i="2"/>
  <c r="A15" i="2"/>
  <c r="A14" i="2"/>
  <c r="F13" i="2"/>
  <c r="A13" i="2"/>
  <c r="A12" i="2"/>
  <c r="A11" i="2"/>
  <c r="A10" i="2"/>
  <c r="A9" i="2"/>
  <c r="A8" i="2"/>
  <c r="A7" i="2"/>
  <c r="F6" i="2"/>
  <c r="A6" i="2"/>
  <c r="D49" i="1"/>
  <c r="C49" i="1"/>
  <c r="C47" i="1"/>
  <c r="C50" i="1"/>
  <c r="C46" i="1"/>
  <c r="C48" i="1"/>
  <c r="D54" i="1"/>
  <c r="D53" i="1"/>
  <c r="D52" i="1"/>
  <c r="B49" i="1"/>
  <c r="C44" i="1"/>
  <c r="C40" i="1"/>
  <c r="C43" i="1"/>
  <c r="C42" i="1"/>
  <c r="C41" i="1"/>
  <c r="A36" i="1"/>
  <c r="A35" i="1"/>
  <c r="A34" i="1"/>
  <c r="A33" i="1"/>
  <c r="A32" i="1"/>
  <c r="A31" i="1"/>
  <c r="A30" i="1"/>
  <c r="A29" i="1"/>
  <c r="A28" i="1"/>
  <c r="F27" i="1"/>
  <c r="A27" i="1"/>
  <c r="A26" i="1"/>
  <c r="A25" i="1"/>
  <c r="A24" i="1"/>
  <c r="A23" i="1"/>
  <c r="A22" i="1"/>
  <c r="A21" i="1"/>
  <c r="F20" i="1"/>
  <c r="A20" i="1"/>
  <c r="A19" i="1"/>
  <c r="A18" i="1"/>
  <c r="A17" i="1"/>
  <c r="A16" i="1"/>
  <c r="A15" i="1"/>
  <c r="A14" i="1"/>
  <c r="F13" i="1"/>
  <c r="A13" i="1"/>
  <c r="A12" i="1"/>
  <c r="A11" i="1"/>
  <c r="A10" i="1"/>
  <c r="A9" i="1"/>
  <c r="A8" i="1"/>
  <c r="A7" i="1"/>
  <c r="F6" i="1"/>
  <c r="A6" i="1"/>
</calcChain>
</file>

<file path=xl/sharedStrings.xml><?xml version="1.0" encoding="utf-8"?>
<sst xmlns="http://schemas.openxmlformats.org/spreadsheetml/2006/main" count="150" uniqueCount="27">
  <si>
    <t>Empowher test Microsite</t>
  </si>
  <si>
    <t>June</t>
  </si>
  <si>
    <t>Day</t>
  </si>
  <si>
    <t>Date</t>
  </si>
  <si>
    <t>Unique Visitors</t>
  </si>
  <si>
    <t xml:space="preserve">MTD UVs </t>
  </si>
  <si>
    <t>Week 1 Ave</t>
  </si>
  <si>
    <t>Week 2 Ave</t>
  </si>
  <si>
    <t>Week 3 Ave</t>
  </si>
  <si>
    <t>Week 4 Ave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</si>
  <si>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</si>
  <si>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</si>
  <si>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</si>
  <si>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</si>
  <si>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</si>
  <si>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</si>
  <si>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</si>
  <si>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</si>
  <si>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</si>
  <si>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</si>
  <si>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</si>
  <si>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</si>
  <si>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</si>
  <si>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</si>
  <si>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</si>
  <si>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Empowher Microsite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</si>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</sst>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dddd"/>
    <numFmt numFmtId="165" formatCode="_(* #,##0_);_(* \(#,##0\);_(* &quot;-&quot;??_);_(@_)"/>
    <numFmt numFmtId="166" formatCode="0.0%"/>
    <numFmt numFmtId="167" formatCode="_([$$-409]* #,##0.00_);_([$$-409]* \(#,##0.00\);_([$$-409]* &quot;-&quot;??_);_(@_)"/>
    <numFmt numFmtId="168" formatCode="[$-409]m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3" fillId="4" borderId="1" xfId="0" applyFont="1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165" fontId="0" fillId="5" borderId="1" xfId="0" applyNumberFormat="1" applyFill="1" applyBorder="1"/>
    <xf numFmtId="165" fontId="1" fillId="5" borderId="1" xfId="1" applyNumberFormat="1" applyFont="1" applyFill="1" applyBorder="1"/>
    <xf numFmtId="0" fontId="0" fillId="0" borderId="1" xfId="0" applyBorder="1"/>
    <xf numFmtId="165" fontId="1" fillId="0" borderId="1" xfId="1" applyNumberFormat="1" applyFont="1" applyBorder="1"/>
    <xf numFmtId="165" fontId="3" fillId="5" borderId="2" xfId="0" applyNumberFormat="1" applyFont="1" applyFill="1" applyBorder="1"/>
    <xf numFmtId="165" fontId="3" fillId="6" borderId="2" xfId="0" applyNumberFormat="1" applyFont="1" applyFill="1" applyBorder="1"/>
    <xf numFmtId="0" fontId="0" fillId="0" borderId="0" xfId="0" applyBorder="1"/>
    <xf numFmtId="14" fontId="0" fillId="7" borderId="1" xfId="0" applyNumberFormat="1" applyFill="1" applyBorder="1"/>
    <xf numFmtId="165" fontId="1" fillId="7" borderId="1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166" fontId="1" fillId="0" borderId="1" xfId="2" applyNumberFormat="1" applyFont="1" applyBorder="1"/>
    <xf numFmtId="0" fontId="0" fillId="0" borderId="1" xfId="0" applyFill="1" applyBorder="1"/>
    <xf numFmtId="0" fontId="0" fillId="8" borderId="3" xfId="0" applyFill="1" applyBorder="1"/>
    <xf numFmtId="0" fontId="0" fillId="8" borderId="4" xfId="0" applyNumberFormat="1" applyFill="1" applyBorder="1"/>
    <xf numFmtId="167" fontId="0" fillId="8" borderId="5" xfId="0" applyNumberFormat="1" applyFill="1" applyBorder="1"/>
    <xf numFmtId="0" fontId="0" fillId="8" borderId="6" xfId="0" applyFill="1" applyBorder="1"/>
    <xf numFmtId="0" fontId="0" fillId="8" borderId="0" xfId="0" applyNumberFormat="1" applyFill="1" applyBorder="1"/>
    <xf numFmtId="167" fontId="0" fillId="8" borderId="7" xfId="0" applyNumberFormat="1" applyFill="1" applyBorder="1"/>
    <xf numFmtId="168" fontId="4" fillId="8" borderId="6" xfId="0" applyNumberFormat="1" applyFont="1" applyFill="1" applyBorder="1"/>
    <xf numFmtId="14" fontId="0" fillId="8" borderId="0" xfId="0" applyNumberFormat="1" applyFill="1" applyBorder="1"/>
    <xf numFmtId="14" fontId="4" fillId="8" borderId="7" xfId="0" applyNumberFormat="1" applyFont="1" applyFill="1" applyBorder="1"/>
    <xf numFmtId="0" fontId="0" fillId="8" borderId="0" xfId="0" applyFill="1" applyBorder="1"/>
    <xf numFmtId="0" fontId="0" fillId="8" borderId="7" xfId="0" applyFill="1" applyBorder="1"/>
    <xf numFmtId="167" fontId="5" fillId="8" borderId="6" xfId="0" applyNumberFormat="1" applyFont="1" applyFill="1" applyBorder="1"/>
    <xf numFmtId="167" fontId="6" fillId="8" borderId="0" xfId="0" applyNumberFormat="1" applyFont="1" applyFill="1" applyBorder="1"/>
    <xf numFmtId="14" fontId="6" fillId="8" borderId="7" xfId="0" applyNumberFormat="1" applyFont="1" applyFill="1" applyBorder="1"/>
    <xf numFmtId="166" fontId="6" fillId="8" borderId="7" xfId="2" applyNumberFormat="1" applyFont="1" applyFill="1" applyBorder="1"/>
    <xf numFmtId="167" fontId="5" fillId="8" borderId="8" xfId="0" applyNumberFormat="1" applyFont="1" applyFill="1" applyBorder="1"/>
    <xf numFmtId="167" fontId="6" fillId="8" borderId="9" xfId="0" applyNumberFormat="1" applyFont="1" applyFill="1" applyBorder="1"/>
    <xf numFmtId="166" fontId="6" fillId="8" borderId="10" xfId="2" applyNumberFormat="1" applyFont="1" applyFill="1" applyBorder="1"/>
    <xf numFmtId="167" fontId="5" fillId="8" borderId="1" xfId="0" applyNumberFormat="1" applyFont="1" applyFill="1" applyBorder="1"/>
    <xf numFmtId="0" fontId="7" fillId="0" borderId="0" xfId="3"/>
    <xf numFmtId="165" fontId="1" fillId="9" borderId="1" xfId="1" applyNumberFormat="1" applyFont="1" applyFill="1" applyBorder="1"/>
    <xf numFmtId="165" fontId="3" fillId="9" borderId="2" xfId="0" applyNumberFormat="1" applyFont="1" applyFill="1" applyBorder="1"/>
  </cellXfs>
  <cellStyles count="5">
    <cellStyle name="Comma" xfId="1" builtinId="3"/>
    <cellStyle name="Followed Hyperlink" xfId="4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B30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0</v>
      </c>
      <c r="D6" s="41"/>
      <c r="E6" s="10" t="s">
        <v>6</v>
      </c>
      <c r="F6" s="11">
        <f>AVERAGE(C6:C12)</f>
        <v>0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0</v>
      </c>
      <c r="D7" s="41"/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0</v>
      </c>
      <c r="D8" s="41"/>
    </row>
    <row r="9" spans="1:6">
      <c r="A9" s="6">
        <f t="shared" si="0"/>
        <v>42920</v>
      </c>
      <c r="B9" s="7">
        <v>42920</v>
      </c>
      <c r="C9" s="8">
        <f t="shared" si="1"/>
        <v>0</v>
      </c>
      <c r="D9" s="41"/>
    </row>
    <row r="10" spans="1:6">
      <c r="A10" s="6">
        <f t="shared" si="0"/>
        <v>42921</v>
      </c>
      <c r="B10" s="7">
        <v>42921</v>
      </c>
      <c r="C10" s="8">
        <f t="shared" si="1"/>
        <v>0</v>
      </c>
      <c r="D10" s="41"/>
    </row>
    <row r="11" spans="1:6">
      <c r="A11" s="6">
        <f t="shared" si="0"/>
        <v>42922</v>
      </c>
      <c r="B11" s="7">
        <v>42922</v>
      </c>
      <c r="C11" s="8">
        <f t="shared" si="1"/>
        <v>0</v>
      </c>
      <c r="D11" s="41"/>
    </row>
    <row r="12" spans="1:6">
      <c r="A12" s="6">
        <f t="shared" si="0"/>
        <v>42923</v>
      </c>
      <c r="B12" s="7">
        <v>42923</v>
      </c>
      <c r="C12" s="8">
        <f t="shared" si="1"/>
        <v>0</v>
      </c>
      <c r="D12" s="41"/>
    </row>
    <row r="13" spans="1:6">
      <c r="A13" s="6">
        <f t="shared" si="0"/>
        <v>42924</v>
      </c>
      <c r="B13" s="7">
        <v>42924</v>
      </c>
      <c r="C13" s="8">
        <f t="shared" si="1"/>
        <v>0</v>
      </c>
      <c r="D13" s="41"/>
      <c r="E13" s="10" t="s">
        <v>7</v>
      </c>
      <c r="F13" s="11">
        <f>AVERAGE(C13:C19)</f>
        <v>1.4285714285714286</v>
      </c>
    </row>
    <row r="14" spans="1:6">
      <c r="A14" s="6">
        <f t="shared" si="0"/>
        <v>42925</v>
      </c>
      <c r="B14" s="7">
        <v>42925</v>
      </c>
      <c r="C14" s="8">
        <f t="shared" si="1"/>
        <v>0</v>
      </c>
      <c r="D14" s="41"/>
    </row>
    <row r="15" spans="1:6">
      <c r="A15" s="6">
        <f t="shared" si="0"/>
        <v>42926</v>
      </c>
      <c r="B15" s="7">
        <v>42926</v>
      </c>
      <c r="C15" s="8">
        <f t="shared" si="1"/>
        <v>0</v>
      </c>
      <c r="D15" s="42"/>
    </row>
    <row r="16" spans="1:6">
      <c r="A16" s="6">
        <f t="shared" si="0"/>
        <v>42927</v>
      </c>
      <c r="B16" s="7">
        <v>42927</v>
      </c>
      <c r="C16" s="8">
        <f t="shared" si="1"/>
        <v>0</v>
      </c>
      <c r="D16" s="42"/>
    </row>
    <row r="17" spans="1:6">
      <c r="A17" s="6">
        <f t="shared" si="0"/>
        <v>42928</v>
      </c>
      <c r="B17" s="7">
        <v>42928</v>
      </c>
      <c r="C17" s="8">
        <f t="shared" si="1"/>
        <v>2</v>
      </c>
      <c r="D17" s="12">
        <v>2</v>
      </c>
    </row>
    <row r="18" spans="1:6">
      <c r="A18" s="6">
        <f t="shared" si="0"/>
        <v>42929</v>
      </c>
      <c r="B18" s="7">
        <v>42929</v>
      </c>
      <c r="C18" s="8">
        <f t="shared" si="1"/>
        <v>4</v>
      </c>
      <c r="D18" s="12">
        <v>6</v>
      </c>
    </row>
    <row r="19" spans="1:6">
      <c r="A19" s="6">
        <f t="shared" si="0"/>
        <v>42930</v>
      </c>
      <c r="B19" s="7">
        <v>42930</v>
      </c>
      <c r="C19" s="8">
        <f t="shared" si="1"/>
        <v>4</v>
      </c>
      <c r="D19" s="12">
        <v>10</v>
      </c>
    </row>
    <row r="20" spans="1:6">
      <c r="A20" s="6">
        <f t="shared" si="0"/>
        <v>42931</v>
      </c>
      <c r="B20" s="7">
        <v>42931</v>
      </c>
      <c r="C20" s="8">
        <f t="shared" si="1"/>
        <v>14</v>
      </c>
      <c r="D20" s="12">
        <v>24</v>
      </c>
      <c r="E20" s="10" t="s">
        <v>8</v>
      </c>
      <c r="F20" s="11">
        <f>AVERAGE(C20:C26)</f>
        <v>3.7142857142857144</v>
      </c>
    </row>
    <row r="21" spans="1:6">
      <c r="A21" s="6">
        <f t="shared" si="0"/>
        <v>42932</v>
      </c>
      <c r="B21" s="7">
        <v>42932</v>
      </c>
      <c r="C21" s="8">
        <f t="shared" si="1"/>
        <v>2</v>
      </c>
      <c r="D21" s="12">
        <f>13+13</f>
        <v>26</v>
      </c>
    </row>
    <row r="22" spans="1:6">
      <c r="A22" s="6">
        <f t="shared" si="0"/>
        <v>42933</v>
      </c>
      <c r="B22" s="7">
        <v>42933</v>
      </c>
      <c r="C22" s="8">
        <f t="shared" si="1"/>
        <v>2</v>
      </c>
      <c r="D22" s="12">
        <f>13+15</f>
        <v>28</v>
      </c>
    </row>
    <row r="23" spans="1:6">
      <c r="A23" s="6">
        <f t="shared" si="0"/>
        <v>42934</v>
      </c>
      <c r="B23" s="7">
        <v>42934</v>
      </c>
      <c r="C23" s="8">
        <f t="shared" si="1"/>
        <v>2</v>
      </c>
      <c r="D23" s="12">
        <v>30</v>
      </c>
    </row>
    <row r="24" spans="1:6">
      <c r="A24" s="6">
        <f t="shared" si="0"/>
        <v>42935</v>
      </c>
      <c r="B24" s="7">
        <v>42935</v>
      </c>
      <c r="C24" s="8">
        <f t="shared" si="1"/>
        <v>5</v>
      </c>
      <c r="D24" s="12">
        <f>18+17</f>
        <v>35</v>
      </c>
    </row>
    <row r="25" spans="1:6">
      <c r="A25" s="6">
        <f t="shared" si="0"/>
        <v>42936</v>
      </c>
      <c r="B25" s="7">
        <v>42936</v>
      </c>
      <c r="C25" s="8">
        <f t="shared" si="1"/>
        <v>1</v>
      </c>
      <c r="D25" s="12">
        <v>36</v>
      </c>
    </row>
    <row r="26" spans="1:6">
      <c r="A26" s="6">
        <f t="shared" si="0"/>
        <v>42937</v>
      </c>
      <c r="B26" s="7">
        <v>42937</v>
      </c>
      <c r="C26" s="8">
        <f t="shared" si="1"/>
        <v>0</v>
      </c>
      <c r="D26" s="12">
        <v>36</v>
      </c>
    </row>
    <row r="27" spans="1:6">
      <c r="A27" s="6">
        <f t="shared" si="0"/>
        <v>42938</v>
      </c>
      <c r="B27" s="7">
        <v>42938</v>
      </c>
      <c r="C27" s="8">
        <f t="shared" si="1"/>
        <v>0</v>
      </c>
      <c r="D27" s="12">
        <v>36</v>
      </c>
      <c r="E27" s="10" t="s">
        <v>9</v>
      </c>
      <c r="F27" s="11">
        <f>AVERAGE(C27:C33)</f>
        <v>14.571428571428571</v>
      </c>
    </row>
    <row r="28" spans="1:6">
      <c r="A28" s="6">
        <f t="shared" si="0"/>
        <v>42939</v>
      </c>
      <c r="B28" s="7">
        <v>42939</v>
      </c>
      <c r="C28" s="8">
        <f t="shared" si="1"/>
        <v>0</v>
      </c>
      <c r="D28" s="12">
        <f>19+17</f>
        <v>36</v>
      </c>
    </row>
    <row r="29" spans="1:6">
      <c r="A29" s="6">
        <f t="shared" si="0"/>
        <v>42940</v>
      </c>
      <c r="B29" s="7">
        <v>42940</v>
      </c>
      <c r="C29" s="8">
        <f t="shared" si="1"/>
        <v>3</v>
      </c>
      <c r="D29" s="12">
        <f>23+16</f>
        <v>39</v>
      </c>
    </row>
    <row r="30" spans="1:6">
      <c r="A30" s="6">
        <f t="shared" si="0"/>
        <v>42941</v>
      </c>
      <c r="B30" s="7">
        <v>42941</v>
      </c>
      <c r="C30" s="8">
        <f t="shared" si="1"/>
        <v>21</v>
      </c>
      <c r="D30" s="12">
        <f>29+29+2</f>
        <v>60</v>
      </c>
    </row>
    <row r="31" spans="1:6">
      <c r="A31" s="6">
        <f t="shared" si="0"/>
        <v>42942</v>
      </c>
      <c r="B31" s="7">
        <v>42942</v>
      </c>
      <c r="C31" s="8">
        <f t="shared" si="1"/>
        <v>14</v>
      </c>
      <c r="D31" s="12">
        <f>36+38</f>
        <v>74</v>
      </c>
    </row>
    <row r="32" spans="1:6">
      <c r="A32" s="6">
        <f t="shared" si="0"/>
        <v>42943</v>
      </c>
      <c r="B32" s="7">
        <v>42943</v>
      </c>
      <c r="C32" s="8">
        <f t="shared" si="1"/>
        <v>21</v>
      </c>
      <c r="D32" s="12">
        <f>47+46+2</f>
        <v>95</v>
      </c>
    </row>
    <row r="33" spans="1:6">
      <c r="A33" s="6">
        <f t="shared" si="0"/>
        <v>42944</v>
      </c>
      <c r="B33" s="7">
        <v>42944</v>
      </c>
      <c r="C33" s="8">
        <f t="shared" si="1"/>
        <v>43</v>
      </c>
      <c r="D33" s="12">
        <f>76+62</f>
        <v>138</v>
      </c>
    </row>
    <row r="34" spans="1:6">
      <c r="A34" s="6">
        <f t="shared" si="0"/>
        <v>42945</v>
      </c>
      <c r="B34" s="7">
        <v>42945</v>
      </c>
      <c r="C34" s="8">
        <f t="shared" si="1"/>
        <v>28</v>
      </c>
      <c r="D34" s="12">
        <f>90+76</f>
        <v>166</v>
      </c>
    </row>
    <row r="35" spans="1:6">
      <c r="A35" s="6">
        <f t="shared" si="0"/>
        <v>42946</v>
      </c>
      <c r="B35" s="7">
        <v>42946</v>
      </c>
      <c r="C35" s="8">
        <f t="shared" si="1"/>
        <v>29</v>
      </c>
      <c r="D35" s="12">
        <f>106+89</f>
        <v>195</v>
      </c>
    </row>
    <row r="36" spans="1:6">
      <c r="A36" s="6">
        <f t="shared" si="0"/>
        <v>42947</v>
      </c>
      <c r="B36" s="7">
        <v>42947</v>
      </c>
      <c r="C36" s="8">
        <f t="shared" si="1"/>
        <v>29</v>
      </c>
      <c r="D36" s="12">
        <f>117+107</f>
        <v>224</v>
      </c>
      <c r="F36" s="14"/>
    </row>
    <row r="37" spans="1:6" ht="15" customHeight="1">
      <c r="B37" s="15" t="s">
        <v>10</v>
      </c>
      <c r="C37" s="16">
        <f>SUM(C6:C36)</f>
        <v>224</v>
      </c>
      <c r="D37" s="17"/>
    </row>
    <row r="38" spans="1:6">
      <c r="C38" s="18"/>
    </row>
    <row r="39" spans="1:6">
      <c r="B39" s="10" t="s">
        <v>11</v>
      </c>
      <c r="C39" s="11">
        <v>250</v>
      </c>
    </row>
    <row r="40" spans="1:6">
      <c r="B40" s="10" t="s">
        <v>12</v>
      </c>
      <c r="C40" s="11">
        <f>C37</f>
        <v>224</v>
      </c>
    </row>
    <row r="41" spans="1:6">
      <c r="B41" s="10" t="s">
        <v>13</v>
      </c>
      <c r="C41" s="11">
        <f>C39-C40</f>
        <v>26</v>
      </c>
    </row>
    <row r="42" spans="1:6">
      <c r="B42" s="10" t="s">
        <v>14</v>
      </c>
      <c r="C42" s="19">
        <f>C40/C39</f>
        <v>0.89600000000000002</v>
      </c>
    </row>
    <row r="43" spans="1:6">
      <c r="B43" s="10" t="s">
        <v>15</v>
      </c>
      <c r="C43" s="11">
        <f>IF(C40&lt;C39,0,C40-C39)</f>
        <v>0</v>
      </c>
    </row>
    <row r="44" spans="1:6">
      <c r="B44" s="20" t="s">
        <v>16</v>
      </c>
      <c r="C44" s="11">
        <f ca="1">(C39-C37)/C48</f>
        <v>0.83870967741935487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A28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1</v>
      </c>
      <c r="D6" s="9">
        <v>1</v>
      </c>
      <c r="E6" s="10" t="s">
        <v>6</v>
      </c>
      <c r="F6" s="11">
        <f>AVERAGE(C6:C12)</f>
        <v>1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0</v>
      </c>
      <c r="D7" s="9">
        <v>1</v>
      </c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0</v>
      </c>
      <c r="D8" s="9">
        <v>1</v>
      </c>
    </row>
    <row r="9" spans="1:6">
      <c r="A9" s="6">
        <f t="shared" si="0"/>
        <v>42920</v>
      </c>
      <c r="B9" s="7">
        <v>42920</v>
      </c>
      <c r="C9" s="8">
        <f t="shared" si="1"/>
        <v>0</v>
      </c>
      <c r="D9" s="9">
        <v>1</v>
      </c>
    </row>
    <row r="10" spans="1:6">
      <c r="A10" s="6">
        <f t="shared" si="0"/>
        <v>42921</v>
      </c>
      <c r="B10" s="7">
        <v>42921</v>
      </c>
      <c r="C10" s="8">
        <f t="shared" si="1"/>
        <v>1</v>
      </c>
      <c r="D10" s="9">
        <v>2</v>
      </c>
    </row>
    <row r="11" spans="1:6">
      <c r="A11" s="6">
        <f t="shared" si="0"/>
        <v>42922</v>
      </c>
      <c r="B11" s="7">
        <v>42922</v>
      </c>
      <c r="C11" s="8">
        <f t="shared" si="1"/>
        <v>1</v>
      </c>
      <c r="D11" s="9">
        <v>3</v>
      </c>
    </row>
    <row r="12" spans="1:6">
      <c r="A12" s="6">
        <f t="shared" si="0"/>
        <v>42923</v>
      </c>
      <c r="B12" s="7">
        <v>42923</v>
      </c>
      <c r="C12" s="8">
        <f t="shared" si="1"/>
        <v>4</v>
      </c>
      <c r="D12" s="9">
        <v>7</v>
      </c>
    </row>
    <row r="13" spans="1:6">
      <c r="A13" s="6">
        <f t="shared" si="0"/>
        <v>42924</v>
      </c>
      <c r="B13" s="7">
        <v>42924</v>
      </c>
      <c r="C13" s="8">
        <f t="shared" si="1"/>
        <v>0</v>
      </c>
      <c r="D13" s="9">
        <v>7</v>
      </c>
      <c r="E13" s="10" t="s">
        <v>7</v>
      </c>
      <c r="F13" s="11">
        <f>AVERAGE(C13:C19)</f>
        <v>33.857142857142854</v>
      </c>
    </row>
    <row r="14" spans="1:6">
      <c r="A14" s="6">
        <f t="shared" si="0"/>
        <v>42925</v>
      </c>
      <c r="B14" s="7">
        <v>42925</v>
      </c>
      <c r="C14" s="8">
        <f t="shared" si="1"/>
        <v>0</v>
      </c>
      <c r="D14" s="9">
        <v>7</v>
      </c>
    </row>
    <row r="15" spans="1:6">
      <c r="A15" s="6">
        <f t="shared" si="0"/>
        <v>42926</v>
      </c>
      <c r="B15" s="7">
        <v>42926</v>
      </c>
      <c r="C15" s="8">
        <f t="shared" si="1"/>
        <v>61</v>
      </c>
      <c r="D15" s="12">
        <f>40+16+12</f>
        <v>68</v>
      </c>
    </row>
    <row r="16" spans="1:6">
      <c r="A16" s="6">
        <f t="shared" si="0"/>
        <v>42927</v>
      </c>
      <c r="B16" s="7">
        <v>42927</v>
      </c>
      <c r="C16" s="8">
        <f t="shared" si="1"/>
        <v>37</v>
      </c>
      <c r="D16" s="12">
        <f>65+28+12</f>
        <v>105</v>
      </c>
    </row>
    <row r="17" spans="1:6">
      <c r="A17" s="6">
        <f t="shared" si="0"/>
        <v>42928</v>
      </c>
      <c r="B17" s="7">
        <v>42928</v>
      </c>
      <c r="C17" s="8">
        <f t="shared" si="1"/>
        <v>52</v>
      </c>
      <c r="D17" s="12">
        <f>102+37+18</f>
        <v>157</v>
      </c>
    </row>
    <row r="18" spans="1:6">
      <c r="A18" s="6">
        <f t="shared" si="0"/>
        <v>42929</v>
      </c>
      <c r="B18" s="7">
        <v>42929</v>
      </c>
      <c r="C18" s="8">
        <f t="shared" si="1"/>
        <v>46</v>
      </c>
      <c r="D18" s="12">
        <f>137+48+18</f>
        <v>203</v>
      </c>
    </row>
    <row r="19" spans="1:6">
      <c r="A19" s="6">
        <f t="shared" si="0"/>
        <v>42930</v>
      </c>
      <c r="B19" s="7">
        <v>42930</v>
      </c>
      <c r="C19" s="8">
        <f t="shared" si="1"/>
        <v>41</v>
      </c>
      <c r="D19" s="12">
        <f>173+71</f>
        <v>244</v>
      </c>
    </row>
    <row r="20" spans="1:6">
      <c r="A20" s="6">
        <f t="shared" si="0"/>
        <v>42931</v>
      </c>
      <c r="B20" s="7">
        <v>42931</v>
      </c>
      <c r="C20" s="8">
        <f t="shared" si="1"/>
        <v>47</v>
      </c>
      <c r="D20" s="12">
        <f>205+65+21</f>
        <v>291</v>
      </c>
      <c r="E20" s="10" t="s">
        <v>8</v>
      </c>
      <c r="F20" s="11">
        <f>AVERAGE(C20:C26)</f>
        <v>44.285714285714285</v>
      </c>
    </row>
    <row r="21" spans="1:6">
      <c r="A21" s="6">
        <f t="shared" si="0"/>
        <v>42932</v>
      </c>
      <c r="B21" s="7">
        <v>42932</v>
      </c>
      <c r="C21" s="8">
        <f t="shared" si="1"/>
        <v>34</v>
      </c>
      <c r="D21" s="12">
        <f>232+72+21</f>
        <v>325</v>
      </c>
    </row>
    <row r="22" spans="1:6">
      <c r="A22" s="6">
        <f t="shared" si="0"/>
        <v>42933</v>
      </c>
      <c r="B22" s="7">
        <v>42933</v>
      </c>
      <c r="C22" s="8">
        <f t="shared" si="1"/>
        <v>47</v>
      </c>
      <c r="D22" s="12">
        <f>270+79+23</f>
        <v>372</v>
      </c>
    </row>
    <row r="23" spans="1:6">
      <c r="A23" s="6">
        <f t="shared" si="0"/>
        <v>42934</v>
      </c>
      <c r="B23" s="7">
        <v>42934</v>
      </c>
      <c r="C23" s="8">
        <f t="shared" si="1"/>
        <v>47</v>
      </c>
      <c r="D23" s="12">
        <f>305+89+25</f>
        <v>419</v>
      </c>
    </row>
    <row r="24" spans="1:6">
      <c r="A24" s="6">
        <f t="shared" si="0"/>
        <v>42935</v>
      </c>
      <c r="B24" s="7">
        <v>42935</v>
      </c>
      <c r="C24" s="8">
        <f t="shared" si="1"/>
        <v>48</v>
      </c>
      <c r="D24" s="12">
        <f>341+99+27</f>
        <v>467</v>
      </c>
    </row>
    <row r="25" spans="1:6">
      <c r="A25" s="6">
        <f t="shared" si="0"/>
        <v>42936</v>
      </c>
      <c r="B25" s="7">
        <v>42936</v>
      </c>
      <c r="C25" s="8">
        <f t="shared" si="1"/>
        <v>41</v>
      </c>
      <c r="D25" s="12">
        <f>374+105+29</f>
        <v>508</v>
      </c>
    </row>
    <row r="26" spans="1:6">
      <c r="A26" s="6">
        <f t="shared" si="0"/>
        <v>42937</v>
      </c>
      <c r="B26" s="7">
        <v>42937</v>
      </c>
      <c r="C26" s="8">
        <f t="shared" si="1"/>
        <v>46</v>
      </c>
      <c r="D26" s="12">
        <f>411+113+30</f>
        <v>554</v>
      </c>
    </row>
    <row r="27" spans="1:6">
      <c r="A27" s="6">
        <f t="shared" si="0"/>
        <v>42938</v>
      </c>
      <c r="B27" s="7">
        <v>42938</v>
      </c>
      <c r="C27" s="8">
        <f t="shared" si="1"/>
        <v>61</v>
      </c>
      <c r="D27" s="12">
        <f>463+117+35</f>
        <v>615</v>
      </c>
      <c r="E27" s="10" t="s">
        <v>9</v>
      </c>
      <c r="F27" s="11">
        <f>AVERAGE(C27:C33)</f>
        <v>18.142857142857142</v>
      </c>
    </row>
    <row r="28" spans="1:6">
      <c r="A28" s="6">
        <f t="shared" si="0"/>
        <v>42939</v>
      </c>
      <c r="B28" s="7">
        <v>42939</v>
      </c>
      <c r="C28" s="8">
        <f t="shared" si="1"/>
        <v>60</v>
      </c>
      <c r="D28" s="12">
        <f>514+124+37</f>
        <v>675</v>
      </c>
    </row>
    <row r="29" spans="1:6">
      <c r="A29" s="6">
        <f t="shared" si="0"/>
        <v>42940</v>
      </c>
      <c r="B29" s="7">
        <v>42940</v>
      </c>
      <c r="C29" s="8">
        <f t="shared" si="1"/>
        <v>4</v>
      </c>
      <c r="D29" s="12">
        <f>517+125+37</f>
        <v>679</v>
      </c>
    </row>
    <row r="30" spans="1:6">
      <c r="A30" s="6">
        <f t="shared" si="0"/>
        <v>42941</v>
      </c>
      <c r="B30" s="7">
        <v>42941</v>
      </c>
      <c r="C30" s="8">
        <f t="shared" si="1"/>
        <v>0</v>
      </c>
      <c r="D30" s="12">
        <f>517+125+37</f>
        <v>679</v>
      </c>
    </row>
    <row r="31" spans="1:6">
      <c r="A31" s="6">
        <f t="shared" si="0"/>
        <v>42942</v>
      </c>
      <c r="B31" s="7">
        <v>42942</v>
      </c>
      <c r="C31" s="8">
        <f t="shared" si="1"/>
        <v>1</v>
      </c>
      <c r="D31" s="12">
        <f>517+126+37</f>
        <v>680</v>
      </c>
    </row>
    <row r="32" spans="1:6">
      <c r="A32" s="6">
        <f t="shared" si="0"/>
        <v>42943</v>
      </c>
      <c r="B32" s="7">
        <v>42943</v>
      </c>
      <c r="C32" s="8">
        <f t="shared" si="1"/>
        <v>1</v>
      </c>
      <c r="D32" s="12">
        <f>517+126+38</f>
        <v>681</v>
      </c>
    </row>
    <row r="33" spans="1:6">
      <c r="A33" s="6">
        <f t="shared" si="0"/>
        <v>42944</v>
      </c>
      <c r="B33" s="7">
        <v>42944</v>
      </c>
      <c r="C33" s="8">
        <f t="shared" si="1"/>
        <v>0</v>
      </c>
      <c r="D33" s="12">
        <v>681</v>
      </c>
    </row>
    <row r="34" spans="1:6">
      <c r="A34" s="6">
        <f t="shared" si="0"/>
        <v>42945</v>
      </c>
      <c r="B34" s="7">
        <v>42945</v>
      </c>
      <c r="C34" s="8">
        <f t="shared" si="1"/>
        <v>0</v>
      </c>
      <c r="D34" s="12">
        <f>517+126+38</f>
        <v>681</v>
      </c>
    </row>
    <row r="35" spans="1:6">
      <c r="A35" s="6">
        <f t="shared" si="0"/>
        <v>42946</v>
      </c>
      <c r="B35" s="7">
        <v>42946</v>
      </c>
      <c r="C35" s="8">
        <f t="shared" si="1"/>
        <v>1</v>
      </c>
      <c r="D35" s="13">
        <f>517+126+39</f>
        <v>682</v>
      </c>
    </row>
    <row r="36" spans="1:6">
      <c r="A36" s="6">
        <f t="shared" si="0"/>
        <v>42947</v>
      </c>
      <c r="B36" s="7">
        <v>42947</v>
      </c>
      <c r="C36" s="8">
        <f t="shared" si="1"/>
        <v>0</v>
      </c>
      <c r="D36" s="12">
        <f>517+126+39</f>
        <v>682</v>
      </c>
      <c r="F36" s="14"/>
    </row>
    <row r="37" spans="1:6" ht="15" customHeight="1">
      <c r="B37" s="15" t="s">
        <v>10</v>
      </c>
      <c r="C37" s="16">
        <f>SUM(C6:C36)</f>
        <v>682</v>
      </c>
      <c r="D37" s="17"/>
    </row>
    <row r="38" spans="1:6">
      <c r="C38" s="18"/>
    </row>
    <row r="39" spans="1:6">
      <c r="B39" s="10" t="s">
        <v>11</v>
      </c>
      <c r="C39" s="11">
        <v>200</v>
      </c>
    </row>
    <row r="40" spans="1:6">
      <c r="B40" s="10" t="s">
        <v>12</v>
      </c>
      <c r="C40" s="11">
        <f>C37</f>
        <v>682</v>
      </c>
    </row>
    <row r="41" spans="1:6">
      <c r="B41" s="10" t="s">
        <v>13</v>
      </c>
      <c r="C41" s="11">
        <f>C39-C40</f>
        <v>-482</v>
      </c>
    </row>
    <row r="42" spans="1:6">
      <c r="B42" s="10" t="s">
        <v>14</v>
      </c>
      <c r="C42" s="19">
        <f>C40/C39</f>
        <v>3.41</v>
      </c>
    </row>
    <row r="43" spans="1:6">
      <c r="B43" s="10" t="s">
        <v>15</v>
      </c>
      <c r="C43" s="11">
        <f>IF(C40&lt;C39,0,C40-C39)</f>
        <v>482</v>
      </c>
    </row>
    <row r="44" spans="1:6">
      <c r="B44" s="20" t="s">
        <v>16</v>
      </c>
      <c r="C44" s="11">
        <f ca="1">(C39-C37)/C48</f>
        <v>-15.548387096774194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A19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0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3</v>
      </c>
      <c r="D6" s="9">
        <v>3</v>
      </c>
      <c r="E6" s="10" t="s">
        <v>6</v>
      </c>
      <c r="F6" s="11">
        <f>AVERAGE(C6:C12)</f>
        <v>5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2</v>
      </c>
      <c r="D7" s="9">
        <v>5</v>
      </c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8</v>
      </c>
      <c r="D8" s="9">
        <v>13</v>
      </c>
    </row>
    <row r="9" spans="1:6">
      <c r="A9" s="6">
        <f t="shared" si="0"/>
        <v>42920</v>
      </c>
      <c r="B9" s="7">
        <v>42920</v>
      </c>
      <c r="C9" s="8">
        <f t="shared" si="1"/>
        <v>6</v>
      </c>
      <c r="D9" s="9">
        <v>19</v>
      </c>
    </row>
    <row r="10" spans="1:6">
      <c r="A10" s="6">
        <f t="shared" si="0"/>
        <v>42921</v>
      </c>
      <c r="B10" s="7">
        <v>42921</v>
      </c>
      <c r="C10" s="8">
        <f t="shared" si="1"/>
        <v>4</v>
      </c>
      <c r="D10" s="9">
        <f>17+6</f>
        <v>23</v>
      </c>
    </row>
    <row r="11" spans="1:6">
      <c r="A11" s="6">
        <f t="shared" si="0"/>
        <v>42922</v>
      </c>
      <c r="B11" s="7">
        <v>42922</v>
      </c>
      <c r="C11" s="8">
        <f t="shared" si="1"/>
        <v>4</v>
      </c>
      <c r="D11" s="9">
        <f>19+8</f>
        <v>27</v>
      </c>
    </row>
    <row r="12" spans="1:6">
      <c r="A12" s="6">
        <f t="shared" si="0"/>
        <v>42923</v>
      </c>
      <c r="B12" s="7">
        <v>42923</v>
      </c>
      <c r="C12" s="8">
        <f t="shared" si="1"/>
        <v>8</v>
      </c>
      <c r="D12" s="9">
        <v>35</v>
      </c>
    </row>
    <row r="13" spans="1:6">
      <c r="A13" s="6">
        <f t="shared" si="0"/>
        <v>42924</v>
      </c>
      <c r="B13" s="7">
        <v>42924</v>
      </c>
      <c r="C13" s="8">
        <f t="shared" si="1"/>
        <v>11</v>
      </c>
      <c r="D13" s="9">
        <f>32+9+5</f>
        <v>46</v>
      </c>
      <c r="E13" s="10" t="s">
        <v>7</v>
      </c>
      <c r="F13" s="11">
        <f>AVERAGE(C13:C19)</f>
        <v>25.285714285714285</v>
      </c>
    </row>
    <row r="14" spans="1:6">
      <c r="A14" s="6">
        <f t="shared" si="0"/>
        <v>42925</v>
      </c>
      <c r="B14" s="7">
        <v>42925</v>
      </c>
      <c r="C14" s="8">
        <f t="shared" si="1"/>
        <v>11</v>
      </c>
      <c r="D14" s="9">
        <f>38+10+9</f>
        <v>57</v>
      </c>
    </row>
    <row r="15" spans="1:6">
      <c r="A15" s="6">
        <f t="shared" si="0"/>
        <v>42926</v>
      </c>
      <c r="B15" s="7">
        <v>42926</v>
      </c>
      <c r="C15" s="8">
        <f t="shared" si="1"/>
        <v>38</v>
      </c>
      <c r="D15" s="12">
        <f>59+36</f>
        <v>95</v>
      </c>
    </row>
    <row r="16" spans="1:6">
      <c r="A16" s="6">
        <f t="shared" si="0"/>
        <v>42927</v>
      </c>
      <c r="B16" s="7">
        <v>42927</v>
      </c>
      <c r="C16" s="8">
        <f t="shared" si="1"/>
        <v>35</v>
      </c>
      <c r="D16" s="12">
        <f>83+36+11</f>
        <v>130</v>
      </c>
    </row>
    <row r="17" spans="1:6">
      <c r="A17" s="6">
        <f t="shared" si="0"/>
        <v>42928</v>
      </c>
      <c r="B17" s="7">
        <v>42928</v>
      </c>
      <c r="C17" s="8">
        <f t="shared" si="1"/>
        <v>19</v>
      </c>
      <c r="D17" s="12">
        <f>93+44+12</f>
        <v>149</v>
      </c>
    </row>
    <row r="18" spans="1:6">
      <c r="A18" s="6">
        <f t="shared" si="0"/>
        <v>42929</v>
      </c>
      <c r="B18" s="7">
        <v>42929</v>
      </c>
      <c r="C18" s="8">
        <f t="shared" si="1"/>
        <v>31</v>
      </c>
      <c r="D18" s="12">
        <f>112+52+16</f>
        <v>180</v>
      </c>
    </row>
    <row r="19" spans="1:6">
      <c r="A19" s="6">
        <f t="shared" si="0"/>
        <v>42930</v>
      </c>
      <c r="B19" s="7">
        <v>42930</v>
      </c>
      <c r="C19" s="8">
        <f t="shared" si="1"/>
        <v>32</v>
      </c>
      <c r="D19" s="12">
        <f>132+62+18</f>
        <v>212</v>
      </c>
    </row>
    <row r="20" spans="1:6">
      <c r="A20" s="6">
        <f t="shared" si="0"/>
        <v>42931</v>
      </c>
      <c r="B20" s="7">
        <v>42931</v>
      </c>
      <c r="C20" s="8">
        <f t="shared" si="1"/>
        <v>26</v>
      </c>
      <c r="D20" s="12">
        <f>150+69+19</f>
        <v>238</v>
      </c>
      <c r="E20" s="10" t="s">
        <v>8</v>
      </c>
      <c r="F20" s="11">
        <f>AVERAGE(C20:C26)</f>
        <v>24.571428571428573</v>
      </c>
    </row>
    <row r="21" spans="1:6">
      <c r="A21" s="6">
        <f t="shared" si="0"/>
        <v>42932</v>
      </c>
      <c r="B21" s="7">
        <v>42932</v>
      </c>
      <c r="C21" s="8">
        <f t="shared" si="1"/>
        <v>21</v>
      </c>
      <c r="D21" s="12">
        <f>165+74+20</f>
        <v>259</v>
      </c>
    </row>
    <row r="22" spans="1:6">
      <c r="A22" s="6">
        <f t="shared" si="0"/>
        <v>42933</v>
      </c>
      <c r="B22" s="7">
        <v>42933</v>
      </c>
      <c r="C22" s="8">
        <f t="shared" si="1"/>
        <v>19</v>
      </c>
      <c r="D22" s="12">
        <f>176+80+22</f>
        <v>278</v>
      </c>
    </row>
    <row r="23" spans="1:6">
      <c r="A23" s="6">
        <f t="shared" si="0"/>
        <v>42934</v>
      </c>
      <c r="B23" s="7">
        <v>42934</v>
      </c>
      <c r="C23" s="8">
        <f t="shared" si="1"/>
        <v>30</v>
      </c>
      <c r="D23" s="12">
        <f>198+86+24</f>
        <v>308</v>
      </c>
    </row>
    <row r="24" spans="1:6">
      <c r="A24" s="6">
        <f t="shared" si="0"/>
        <v>42935</v>
      </c>
      <c r="B24" s="7">
        <v>42935</v>
      </c>
      <c r="C24" s="8">
        <f t="shared" si="1"/>
        <v>38</v>
      </c>
      <c r="D24" s="12">
        <f>227+93+26</f>
        <v>346</v>
      </c>
    </row>
    <row r="25" spans="1:6">
      <c r="A25" s="6">
        <f t="shared" si="0"/>
        <v>42936</v>
      </c>
      <c r="B25" s="7">
        <v>42936</v>
      </c>
      <c r="C25" s="8">
        <f t="shared" si="1"/>
        <v>22</v>
      </c>
      <c r="D25" s="12">
        <f>341+27</f>
        <v>368</v>
      </c>
    </row>
    <row r="26" spans="1:6">
      <c r="A26" s="6">
        <f t="shared" si="0"/>
        <v>42937</v>
      </c>
      <c r="B26" s="7">
        <v>42937</v>
      </c>
      <c r="C26" s="8">
        <f t="shared" si="1"/>
        <v>16</v>
      </c>
      <c r="D26" s="12">
        <f>250+105+29</f>
        <v>384</v>
      </c>
    </row>
    <row r="27" spans="1:6">
      <c r="A27" s="6">
        <f t="shared" si="0"/>
        <v>42938</v>
      </c>
      <c r="B27" s="7">
        <v>42938</v>
      </c>
      <c r="C27" s="8">
        <f t="shared" si="1"/>
        <v>13</v>
      </c>
      <c r="D27" s="12">
        <f>260+107+30</f>
        <v>397</v>
      </c>
      <c r="E27" s="10" t="s">
        <v>9</v>
      </c>
      <c r="F27" s="11">
        <f>AVERAGE(C27:C33)</f>
        <v>7</v>
      </c>
    </row>
    <row r="28" spans="1:6">
      <c r="A28" s="6">
        <f t="shared" si="0"/>
        <v>42939</v>
      </c>
      <c r="B28" s="7">
        <v>42939</v>
      </c>
      <c r="C28" s="8">
        <f t="shared" si="1"/>
        <v>9</v>
      </c>
      <c r="D28" s="12">
        <f>266+110+30</f>
        <v>406</v>
      </c>
    </row>
    <row r="29" spans="1:6">
      <c r="A29" s="6">
        <f t="shared" si="0"/>
        <v>42940</v>
      </c>
      <c r="B29" s="7">
        <v>42940</v>
      </c>
      <c r="C29" s="8">
        <f t="shared" si="1"/>
        <v>9</v>
      </c>
      <c r="D29" s="12">
        <f>273+112+30</f>
        <v>415</v>
      </c>
    </row>
    <row r="30" spans="1:6">
      <c r="A30" s="6">
        <f t="shared" si="0"/>
        <v>42941</v>
      </c>
      <c r="B30" s="7">
        <v>42941</v>
      </c>
      <c r="C30" s="8">
        <f t="shared" si="1"/>
        <v>6</v>
      </c>
      <c r="D30" s="12">
        <f>275+114+32</f>
        <v>421</v>
      </c>
    </row>
    <row r="31" spans="1:6">
      <c r="A31" s="6">
        <f t="shared" si="0"/>
        <v>42942</v>
      </c>
      <c r="B31" s="7">
        <v>42942</v>
      </c>
      <c r="C31" s="8">
        <f t="shared" si="1"/>
        <v>4</v>
      </c>
      <c r="D31" s="12">
        <f>277+115+33</f>
        <v>425</v>
      </c>
    </row>
    <row r="32" spans="1:6">
      <c r="A32" s="6">
        <f t="shared" si="0"/>
        <v>42943</v>
      </c>
      <c r="B32" s="7">
        <v>42943</v>
      </c>
      <c r="C32" s="8">
        <f t="shared" si="1"/>
        <v>4</v>
      </c>
      <c r="D32" s="12">
        <f>281+115+33</f>
        <v>429</v>
      </c>
    </row>
    <row r="33" spans="1:6">
      <c r="A33" s="6">
        <f t="shared" si="0"/>
        <v>42944</v>
      </c>
      <c r="B33" s="7">
        <v>42944</v>
      </c>
      <c r="C33" s="8">
        <f t="shared" si="1"/>
        <v>4</v>
      </c>
      <c r="D33" s="12">
        <f>285+115+33</f>
        <v>433</v>
      </c>
    </row>
    <row r="34" spans="1:6">
      <c r="A34" s="6">
        <f t="shared" si="0"/>
        <v>42945</v>
      </c>
      <c r="B34" s="7">
        <v>42945</v>
      </c>
      <c r="C34" s="8">
        <f t="shared" si="1"/>
        <v>3</v>
      </c>
      <c r="D34" s="12">
        <f>288+115+33</f>
        <v>436</v>
      </c>
    </row>
    <row r="35" spans="1:6">
      <c r="A35" s="6">
        <f t="shared" si="0"/>
        <v>42946</v>
      </c>
      <c r="B35" s="7">
        <v>42946</v>
      </c>
      <c r="C35" s="8">
        <f t="shared" si="1"/>
        <v>5</v>
      </c>
      <c r="D35" s="12">
        <f>292+115+34</f>
        <v>441</v>
      </c>
    </row>
    <row r="36" spans="1:6">
      <c r="A36" s="6">
        <f t="shared" si="0"/>
        <v>42947</v>
      </c>
      <c r="B36" s="7">
        <v>42947</v>
      </c>
      <c r="C36" s="8">
        <f t="shared" si="1"/>
        <v>4</v>
      </c>
      <c r="D36" s="12">
        <f>294+117+34</f>
        <v>445</v>
      </c>
      <c r="F36" s="14"/>
    </row>
    <row r="37" spans="1:6" ht="15" customHeight="1">
      <c r="B37" s="15" t="s">
        <v>10</v>
      </c>
      <c r="C37" s="16">
        <f>SUM(C6:C36)</f>
        <v>445</v>
      </c>
      <c r="D37" s="17"/>
    </row>
    <row r="38" spans="1:6">
      <c r="C38" s="18"/>
    </row>
    <row r="39" spans="1:6">
      <c r="B39" s="10" t="s">
        <v>11</v>
      </c>
      <c r="C39" s="11">
        <v>200</v>
      </c>
    </row>
    <row r="40" spans="1:6">
      <c r="B40" s="10" t="s">
        <v>12</v>
      </c>
      <c r="C40" s="11">
        <f>C37</f>
        <v>445</v>
      </c>
    </row>
    <row r="41" spans="1:6">
      <c r="B41" s="10" t="s">
        <v>13</v>
      </c>
      <c r="C41" s="11">
        <f>C39-C40</f>
        <v>-245</v>
      </c>
    </row>
    <row r="42" spans="1:6">
      <c r="B42" s="10" t="s">
        <v>14</v>
      </c>
      <c r="C42" s="19">
        <f>C40/C39</f>
        <v>2.2250000000000001</v>
      </c>
    </row>
    <row r="43" spans="1:6">
      <c r="B43" s="10" t="s">
        <v>15</v>
      </c>
      <c r="C43" s="11">
        <f>IF(C40&lt;C39,0,C40-C39)</f>
        <v>245</v>
      </c>
    </row>
    <row r="44" spans="1:6">
      <c r="B44" s="20" t="s">
        <v>16</v>
      </c>
      <c r="C44" s="11">
        <f ca="1">(C39-C37)/C48</f>
        <v>-7.903225806451613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B31" workbookViewId="0">
      <selection activeCell="D36" sqref="D36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16</v>
      </c>
      <c r="D6" s="9">
        <f>6+10</f>
        <v>16</v>
      </c>
      <c r="E6" s="10" t="s">
        <v>6</v>
      </c>
      <c r="F6" s="11">
        <f>AVERAGE(C6:C12)</f>
        <v>11.571428571428571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11</v>
      </c>
      <c r="D7" s="9">
        <f>12+9+6</f>
        <v>27</v>
      </c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5</v>
      </c>
      <c r="D8" s="9">
        <f>14+11+7</f>
        <v>32</v>
      </c>
    </row>
    <row r="9" spans="1:6">
      <c r="A9" s="6">
        <f t="shared" si="0"/>
        <v>42920</v>
      </c>
      <c r="B9" s="7">
        <v>42920</v>
      </c>
      <c r="C9" s="8">
        <f t="shared" si="1"/>
        <v>10</v>
      </c>
      <c r="D9" s="9">
        <f>18+17+7</f>
        <v>42</v>
      </c>
    </row>
    <row r="10" spans="1:6">
      <c r="A10" s="6">
        <f t="shared" si="0"/>
        <v>42921</v>
      </c>
      <c r="B10" s="7">
        <v>42921</v>
      </c>
      <c r="C10" s="8">
        <f t="shared" si="1"/>
        <v>17</v>
      </c>
      <c r="D10" s="9">
        <f>27+24+8</f>
        <v>59</v>
      </c>
    </row>
    <row r="11" spans="1:6">
      <c r="A11" s="6">
        <f t="shared" si="0"/>
        <v>42922</v>
      </c>
      <c r="B11" s="7">
        <v>42922</v>
      </c>
      <c r="C11" s="8">
        <f t="shared" si="1"/>
        <v>7</v>
      </c>
      <c r="D11" s="9">
        <f>31+26+9</f>
        <v>66</v>
      </c>
    </row>
    <row r="12" spans="1:6">
      <c r="A12" s="6">
        <f t="shared" si="0"/>
        <v>42923</v>
      </c>
      <c r="B12" s="7">
        <v>42923</v>
      </c>
      <c r="C12" s="8">
        <f t="shared" si="1"/>
        <v>15</v>
      </c>
      <c r="D12" s="9">
        <f>38+32+11</f>
        <v>81</v>
      </c>
    </row>
    <row r="13" spans="1:6">
      <c r="A13" s="6">
        <f t="shared" si="0"/>
        <v>42924</v>
      </c>
      <c r="B13" s="7">
        <v>42924</v>
      </c>
      <c r="C13" s="8">
        <f t="shared" si="1"/>
        <v>5</v>
      </c>
      <c r="D13" s="9">
        <f>41+33+12</f>
        <v>86</v>
      </c>
      <c r="E13" s="10" t="s">
        <v>7</v>
      </c>
      <c r="F13" s="11">
        <f>AVERAGE(C13:C19)</f>
        <v>23.285714285714285</v>
      </c>
    </row>
    <row r="14" spans="1:6">
      <c r="A14" s="6">
        <f t="shared" si="0"/>
        <v>42925</v>
      </c>
      <c r="B14" s="7">
        <v>42925</v>
      </c>
      <c r="C14" s="8">
        <f t="shared" si="1"/>
        <v>2</v>
      </c>
      <c r="D14" s="9">
        <f>43+33+12</f>
        <v>88</v>
      </c>
    </row>
    <row r="15" spans="1:6">
      <c r="A15" s="6">
        <f t="shared" si="0"/>
        <v>42926</v>
      </c>
      <c r="B15" s="7">
        <v>42926</v>
      </c>
      <c r="C15" s="8">
        <f t="shared" si="1"/>
        <v>33</v>
      </c>
      <c r="D15" s="12">
        <f>55+52+14</f>
        <v>121</v>
      </c>
    </row>
    <row r="16" spans="1:6">
      <c r="A16" s="6">
        <f t="shared" si="0"/>
        <v>42927</v>
      </c>
      <c r="B16" s="7">
        <v>42927</v>
      </c>
      <c r="C16" s="8">
        <f t="shared" si="1"/>
        <v>27</v>
      </c>
      <c r="D16" s="12">
        <f>66+65+17</f>
        <v>148</v>
      </c>
    </row>
    <row r="17" spans="1:6">
      <c r="A17" s="6">
        <f t="shared" si="0"/>
        <v>42928</v>
      </c>
      <c r="B17" s="7">
        <v>42928</v>
      </c>
      <c r="C17" s="8">
        <f t="shared" si="1"/>
        <v>26</v>
      </c>
      <c r="D17" s="12">
        <f>78+77+19</f>
        <v>174</v>
      </c>
    </row>
    <row r="18" spans="1:6">
      <c r="A18" s="6">
        <f t="shared" si="0"/>
        <v>42929</v>
      </c>
      <c r="B18" s="7">
        <v>42929</v>
      </c>
      <c r="C18" s="8">
        <f t="shared" si="1"/>
        <v>34</v>
      </c>
      <c r="D18" s="12">
        <f>96+91+21</f>
        <v>208</v>
      </c>
    </row>
    <row r="19" spans="1:6">
      <c r="A19" s="6">
        <f t="shared" si="0"/>
        <v>42930</v>
      </c>
      <c r="B19" s="7">
        <v>42930</v>
      </c>
      <c r="C19" s="8">
        <f t="shared" si="1"/>
        <v>36</v>
      </c>
      <c r="D19" s="12">
        <f>112+109+23</f>
        <v>244</v>
      </c>
    </row>
    <row r="20" spans="1:6">
      <c r="A20" s="6">
        <f t="shared" si="0"/>
        <v>42931</v>
      </c>
      <c r="B20" s="7">
        <v>42931</v>
      </c>
      <c r="C20" s="8">
        <f t="shared" si="1"/>
        <v>25</v>
      </c>
      <c r="D20" s="12">
        <f>122+122+25</f>
        <v>269</v>
      </c>
      <c r="E20" s="10" t="s">
        <v>8</v>
      </c>
      <c r="F20" s="11">
        <f>AVERAGE(C20:C26)</f>
        <v>24.714285714285715</v>
      </c>
    </row>
    <row r="21" spans="1:6">
      <c r="A21" s="6">
        <f t="shared" si="0"/>
        <v>42932</v>
      </c>
      <c r="B21" s="7">
        <v>42932</v>
      </c>
      <c r="C21" s="8">
        <f t="shared" si="1"/>
        <v>23</v>
      </c>
      <c r="D21" s="12">
        <f>133+133+26</f>
        <v>292</v>
      </c>
    </row>
    <row r="22" spans="1:6">
      <c r="A22" s="6">
        <f t="shared" si="0"/>
        <v>42933</v>
      </c>
      <c r="B22" s="7">
        <v>42933</v>
      </c>
      <c r="C22" s="8">
        <f t="shared" si="1"/>
        <v>33</v>
      </c>
      <c r="D22" s="12">
        <f>151+147+27</f>
        <v>325</v>
      </c>
    </row>
    <row r="23" spans="1:6">
      <c r="A23" s="6">
        <f t="shared" si="0"/>
        <v>42934</v>
      </c>
      <c r="B23" s="7">
        <v>42934</v>
      </c>
      <c r="C23" s="8">
        <f t="shared" si="1"/>
        <v>0</v>
      </c>
      <c r="D23" s="12">
        <f>151+147+27</f>
        <v>325</v>
      </c>
    </row>
    <row r="24" spans="1:6">
      <c r="A24" s="6">
        <f t="shared" si="0"/>
        <v>42935</v>
      </c>
      <c r="B24" s="7">
        <v>42935</v>
      </c>
      <c r="C24" s="8">
        <f t="shared" si="1"/>
        <v>0</v>
      </c>
      <c r="D24" s="12">
        <f>151+147+27</f>
        <v>325</v>
      </c>
    </row>
    <row r="25" spans="1:6">
      <c r="A25" s="6">
        <f t="shared" si="0"/>
        <v>42936</v>
      </c>
      <c r="B25" s="7">
        <v>42936</v>
      </c>
      <c r="C25" s="8">
        <f t="shared" si="1"/>
        <v>45</v>
      </c>
      <c r="D25" s="12">
        <f>172+168+30</f>
        <v>370</v>
      </c>
    </row>
    <row r="26" spans="1:6">
      <c r="A26" s="6">
        <f t="shared" si="0"/>
        <v>42937</v>
      </c>
      <c r="B26" s="7">
        <v>42937</v>
      </c>
      <c r="C26" s="8">
        <f t="shared" si="1"/>
        <v>47</v>
      </c>
      <c r="D26" s="12">
        <f>195+191+31</f>
        <v>417</v>
      </c>
    </row>
    <row r="27" spans="1:6">
      <c r="A27" s="6">
        <f t="shared" si="0"/>
        <v>42938</v>
      </c>
      <c r="B27" s="7">
        <v>42938</v>
      </c>
      <c r="C27" s="8">
        <f t="shared" si="1"/>
        <v>59</v>
      </c>
      <c r="D27" s="12">
        <f>227+215+34</f>
        <v>476</v>
      </c>
      <c r="E27" s="10" t="s">
        <v>9</v>
      </c>
      <c r="F27" s="11">
        <f>AVERAGE(C27:C33)</f>
        <v>45.571428571428569</v>
      </c>
    </row>
    <row r="28" spans="1:6">
      <c r="A28" s="6">
        <f t="shared" si="0"/>
        <v>42939</v>
      </c>
      <c r="B28" s="7">
        <v>42939</v>
      </c>
      <c r="C28" s="8">
        <f t="shared" si="1"/>
        <v>48</v>
      </c>
      <c r="D28" s="12">
        <f>256+232+36</f>
        <v>524</v>
      </c>
    </row>
    <row r="29" spans="1:6">
      <c r="A29" s="6">
        <f t="shared" si="0"/>
        <v>42940</v>
      </c>
      <c r="B29" s="7">
        <v>42940</v>
      </c>
      <c r="C29" s="8">
        <f t="shared" si="1"/>
        <v>38</v>
      </c>
      <c r="D29" s="12">
        <f>275+248+39</f>
        <v>562</v>
      </c>
    </row>
    <row r="30" spans="1:6">
      <c r="A30" s="6">
        <f t="shared" si="0"/>
        <v>42941</v>
      </c>
      <c r="B30" s="7">
        <v>42941</v>
      </c>
      <c r="C30" s="8">
        <f t="shared" si="1"/>
        <v>62</v>
      </c>
      <c r="D30" s="12">
        <f>305+277+42</f>
        <v>624</v>
      </c>
    </row>
    <row r="31" spans="1:6">
      <c r="A31" s="6">
        <f t="shared" si="0"/>
        <v>42942</v>
      </c>
      <c r="B31" s="7">
        <v>42942</v>
      </c>
      <c r="C31" s="8">
        <f t="shared" si="1"/>
        <v>35</v>
      </c>
      <c r="D31" s="12">
        <f>321+291+47</f>
        <v>659</v>
      </c>
    </row>
    <row r="32" spans="1:6">
      <c r="A32" s="6">
        <f t="shared" si="0"/>
        <v>42943</v>
      </c>
      <c r="B32" s="7">
        <v>42943</v>
      </c>
      <c r="C32" s="8">
        <f t="shared" si="1"/>
        <v>30</v>
      </c>
      <c r="D32" s="12">
        <f>329+309+51</f>
        <v>689</v>
      </c>
    </row>
    <row r="33" spans="1:6">
      <c r="A33" s="6">
        <f t="shared" si="0"/>
        <v>42944</v>
      </c>
      <c r="B33" s="7">
        <v>42944</v>
      </c>
      <c r="C33" s="8">
        <f t="shared" si="1"/>
        <v>47</v>
      </c>
      <c r="D33" s="12">
        <f>352+331+53</f>
        <v>736</v>
      </c>
    </row>
    <row r="34" spans="1:6">
      <c r="A34" s="6">
        <f t="shared" si="0"/>
        <v>42945</v>
      </c>
      <c r="B34" s="7">
        <v>42945</v>
      </c>
      <c r="C34" s="8">
        <f t="shared" si="1"/>
        <v>42</v>
      </c>
      <c r="D34" s="12">
        <f>370+351+57</f>
        <v>778</v>
      </c>
    </row>
    <row r="35" spans="1:6">
      <c r="A35" s="6">
        <f t="shared" si="0"/>
        <v>42946</v>
      </c>
      <c r="B35" s="7">
        <v>42946</v>
      </c>
      <c r="C35" s="8">
        <f t="shared" si="1"/>
        <v>39</v>
      </c>
      <c r="D35" s="12">
        <f>390+367+60</f>
        <v>817</v>
      </c>
    </row>
    <row r="36" spans="1:6">
      <c r="A36" s="6">
        <f t="shared" si="0"/>
        <v>42947</v>
      </c>
      <c r="B36" s="7">
        <v>42947</v>
      </c>
      <c r="C36" s="8">
        <f t="shared" si="1"/>
        <v>45</v>
      </c>
      <c r="D36" s="12">
        <f>414+384+64</f>
        <v>862</v>
      </c>
      <c r="F36" s="14"/>
    </row>
    <row r="37" spans="1:6" ht="15" customHeight="1">
      <c r="B37" s="15" t="s">
        <v>10</v>
      </c>
      <c r="C37" s="16">
        <f>SUM(C6:C36)</f>
        <v>862</v>
      </c>
      <c r="D37" s="17"/>
    </row>
    <row r="38" spans="1:6">
      <c r="C38" s="18"/>
    </row>
    <row r="39" spans="1:6">
      <c r="B39" s="10" t="s">
        <v>11</v>
      </c>
      <c r="C39" s="11">
        <v>1000</v>
      </c>
    </row>
    <row r="40" spans="1:6">
      <c r="B40" s="10" t="s">
        <v>12</v>
      </c>
      <c r="C40" s="11">
        <f>C37</f>
        <v>862</v>
      </c>
    </row>
    <row r="41" spans="1:6">
      <c r="B41" s="10" t="s">
        <v>13</v>
      </c>
      <c r="C41" s="11">
        <f>C39-C40</f>
        <v>138</v>
      </c>
    </row>
    <row r="42" spans="1:6">
      <c r="B42" s="10" t="s">
        <v>14</v>
      </c>
      <c r="C42" s="19">
        <f>C40/C39</f>
        <v>0.86199999999999999</v>
      </c>
    </row>
    <row r="43" spans="1:6">
      <c r="B43" s="10" t="s">
        <v>15</v>
      </c>
      <c r="C43" s="11">
        <f>IF(C40&lt;C39,0,C40-C39)</f>
        <v>0</v>
      </c>
    </row>
    <row r="44" spans="1:6">
      <c r="B44" s="20" t="s">
        <v>16</v>
      </c>
      <c r="C44" s="11">
        <f ca="1">(C39-C37)/C48</f>
        <v>4.4516129032258061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opLeftCell="A27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26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0</v>
      </c>
      <c r="D6" s="41">
        <v>0</v>
      </c>
      <c r="E6" s="10" t="s">
        <v>6</v>
      </c>
      <c r="F6" s="11">
        <f>AVERAGE(C6:C12)</f>
        <v>0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0</v>
      </c>
      <c r="D7" s="41">
        <v>0</v>
      </c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0</v>
      </c>
      <c r="D8" s="41">
        <v>0</v>
      </c>
    </row>
    <row r="9" spans="1:6">
      <c r="A9" s="6">
        <f t="shared" si="0"/>
        <v>42920</v>
      </c>
      <c r="B9" s="7">
        <v>42920</v>
      </c>
      <c r="C9" s="8">
        <f t="shared" si="1"/>
        <v>0</v>
      </c>
      <c r="D9" s="41">
        <v>0</v>
      </c>
    </row>
    <row r="10" spans="1:6">
      <c r="A10" s="6">
        <f t="shared" si="0"/>
        <v>42921</v>
      </c>
      <c r="B10" s="7">
        <v>42921</v>
      </c>
      <c r="C10" s="8">
        <f t="shared" si="1"/>
        <v>0</v>
      </c>
      <c r="D10" s="41">
        <v>0</v>
      </c>
    </row>
    <row r="11" spans="1:6">
      <c r="A11" s="6">
        <f t="shared" si="0"/>
        <v>42922</v>
      </c>
      <c r="B11" s="7">
        <v>42922</v>
      </c>
      <c r="C11" s="8">
        <f t="shared" si="1"/>
        <v>0</v>
      </c>
      <c r="D11" s="41"/>
    </row>
    <row r="12" spans="1:6">
      <c r="A12" s="6">
        <f t="shared" si="0"/>
        <v>42923</v>
      </c>
      <c r="B12" s="7">
        <v>42923</v>
      </c>
      <c r="C12" s="8">
        <f t="shared" si="1"/>
        <v>0</v>
      </c>
      <c r="D12" s="41"/>
    </row>
    <row r="13" spans="1:6">
      <c r="A13" s="6">
        <f t="shared" si="0"/>
        <v>42924</v>
      </c>
      <c r="B13" s="7">
        <v>42924</v>
      </c>
      <c r="C13" s="8">
        <f t="shared" si="1"/>
        <v>0</v>
      </c>
      <c r="D13" s="41"/>
      <c r="E13" s="10" t="s">
        <v>7</v>
      </c>
      <c r="F13" s="11">
        <f>AVERAGE(C13:C19)</f>
        <v>0</v>
      </c>
    </row>
    <row r="14" spans="1:6">
      <c r="A14" s="6">
        <f t="shared" si="0"/>
        <v>42925</v>
      </c>
      <c r="B14" s="7">
        <v>42925</v>
      </c>
      <c r="C14" s="8">
        <f t="shared" si="1"/>
        <v>0</v>
      </c>
      <c r="D14" s="41"/>
    </row>
    <row r="15" spans="1:6">
      <c r="A15" s="6">
        <f t="shared" si="0"/>
        <v>42926</v>
      </c>
      <c r="B15" s="7">
        <v>42926</v>
      </c>
      <c r="C15" s="8">
        <f t="shared" si="1"/>
        <v>0</v>
      </c>
      <c r="D15" s="42"/>
    </row>
    <row r="16" spans="1:6">
      <c r="A16" s="6">
        <f t="shared" si="0"/>
        <v>42927</v>
      </c>
      <c r="B16" s="7">
        <v>42927</v>
      </c>
      <c r="C16" s="8">
        <f t="shared" si="1"/>
        <v>0</v>
      </c>
      <c r="D16" s="42"/>
    </row>
    <row r="17" spans="1:6">
      <c r="A17" s="6">
        <f t="shared" si="0"/>
        <v>42928</v>
      </c>
      <c r="B17" s="7">
        <v>42928</v>
      </c>
      <c r="C17" s="8">
        <f t="shared" si="1"/>
        <v>0</v>
      </c>
      <c r="D17" s="42"/>
    </row>
    <row r="18" spans="1:6">
      <c r="A18" s="6">
        <f t="shared" si="0"/>
        <v>42929</v>
      </c>
      <c r="B18" s="7">
        <v>42929</v>
      </c>
      <c r="C18" s="8">
        <f t="shared" si="1"/>
        <v>0</v>
      </c>
      <c r="D18" s="42"/>
    </row>
    <row r="19" spans="1:6">
      <c r="A19" s="6">
        <f t="shared" si="0"/>
        <v>42930</v>
      </c>
      <c r="B19" s="7">
        <v>42930</v>
      </c>
      <c r="C19" s="8">
        <f t="shared" si="1"/>
        <v>0</v>
      </c>
      <c r="D19" s="42"/>
    </row>
    <row r="20" spans="1:6">
      <c r="A20" s="6">
        <f t="shared" si="0"/>
        <v>42931</v>
      </c>
      <c r="B20" s="7">
        <v>42931</v>
      </c>
      <c r="C20" s="8">
        <f t="shared" si="1"/>
        <v>0</v>
      </c>
      <c r="D20" s="42"/>
      <c r="E20" s="10" t="s">
        <v>8</v>
      </c>
      <c r="F20" s="11">
        <f>AVERAGE(C20:C26)</f>
        <v>0</v>
      </c>
    </row>
    <row r="21" spans="1:6">
      <c r="A21" s="6">
        <f t="shared" si="0"/>
        <v>42932</v>
      </c>
      <c r="B21" s="7">
        <v>42932</v>
      </c>
      <c r="C21" s="8">
        <f t="shared" si="1"/>
        <v>0</v>
      </c>
      <c r="D21" s="42"/>
    </row>
    <row r="22" spans="1:6">
      <c r="A22" s="6">
        <f t="shared" si="0"/>
        <v>42933</v>
      </c>
      <c r="B22" s="7">
        <v>42933</v>
      </c>
      <c r="C22" s="8">
        <f t="shared" si="1"/>
        <v>0</v>
      </c>
      <c r="D22" s="42"/>
    </row>
    <row r="23" spans="1:6">
      <c r="A23" s="6">
        <f t="shared" si="0"/>
        <v>42934</v>
      </c>
      <c r="B23" s="7">
        <v>42934</v>
      </c>
      <c r="C23" s="8">
        <f t="shared" si="1"/>
        <v>0</v>
      </c>
      <c r="D23" s="42"/>
    </row>
    <row r="24" spans="1:6">
      <c r="A24" s="6">
        <f t="shared" si="0"/>
        <v>42935</v>
      </c>
      <c r="B24" s="7">
        <v>42935</v>
      </c>
      <c r="C24" s="8">
        <f t="shared" si="1"/>
        <v>0</v>
      </c>
      <c r="D24" s="42"/>
    </row>
    <row r="25" spans="1:6">
      <c r="A25" s="6">
        <f t="shared" si="0"/>
        <v>42936</v>
      </c>
      <c r="B25" s="7">
        <v>42936</v>
      </c>
      <c r="C25" s="8">
        <f t="shared" si="1"/>
        <v>0</v>
      </c>
      <c r="D25" s="42"/>
    </row>
    <row r="26" spans="1:6">
      <c r="A26" s="6">
        <f t="shared" si="0"/>
        <v>42937</v>
      </c>
      <c r="B26" s="7">
        <v>42937</v>
      </c>
      <c r="C26" s="8">
        <f t="shared" si="1"/>
        <v>0</v>
      </c>
      <c r="D26" s="42"/>
    </row>
    <row r="27" spans="1:6">
      <c r="A27" s="6">
        <f t="shared" si="0"/>
        <v>42938</v>
      </c>
      <c r="B27" s="7">
        <v>42938</v>
      </c>
      <c r="C27" s="8">
        <f t="shared" si="1"/>
        <v>0</v>
      </c>
      <c r="D27" s="42"/>
      <c r="E27" s="10" t="s">
        <v>9</v>
      </c>
      <c r="F27" s="11">
        <f>AVERAGE(C27:C33)</f>
        <v>0.2857142857142857</v>
      </c>
    </row>
    <row r="28" spans="1:6">
      <c r="A28" s="6">
        <f t="shared" si="0"/>
        <v>42939</v>
      </c>
      <c r="B28" s="7">
        <v>42939</v>
      </c>
      <c r="C28" s="8">
        <f t="shared" si="1"/>
        <v>0</v>
      </c>
      <c r="D28" s="42"/>
    </row>
    <row r="29" spans="1:6">
      <c r="A29" s="6">
        <f t="shared" si="0"/>
        <v>42940</v>
      </c>
      <c r="B29" s="7">
        <v>42940</v>
      </c>
      <c r="C29" s="8">
        <f t="shared" si="1"/>
        <v>0</v>
      </c>
      <c r="D29" s="42"/>
    </row>
    <row r="30" spans="1:6">
      <c r="A30" s="6">
        <f t="shared" si="0"/>
        <v>42941</v>
      </c>
      <c r="B30" s="7">
        <v>42941</v>
      </c>
      <c r="C30" s="8">
        <f t="shared" si="1"/>
        <v>0</v>
      </c>
      <c r="D30" s="42"/>
    </row>
    <row r="31" spans="1:6">
      <c r="A31" s="6">
        <f t="shared" si="0"/>
        <v>42942</v>
      </c>
      <c r="B31" s="7">
        <v>42942</v>
      </c>
      <c r="C31" s="8">
        <f t="shared" si="1"/>
        <v>2</v>
      </c>
      <c r="D31" s="12">
        <v>2</v>
      </c>
    </row>
    <row r="32" spans="1:6">
      <c r="A32" s="6">
        <f t="shared" si="0"/>
        <v>42943</v>
      </c>
      <c r="B32" s="7">
        <v>42943</v>
      </c>
      <c r="C32" s="8">
        <f t="shared" si="1"/>
        <v>0</v>
      </c>
      <c r="D32" s="12">
        <v>2</v>
      </c>
    </row>
    <row r="33" spans="1:6">
      <c r="A33" s="6">
        <f t="shared" si="0"/>
        <v>42944</v>
      </c>
      <c r="B33" s="7">
        <v>42944</v>
      </c>
      <c r="C33" s="8">
        <f t="shared" si="1"/>
        <v>0</v>
      </c>
      <c r="D33" s="12">
        <v>2</v>
      </c>
    </row>
    <row r="34" spans="1:6">
      <c r="A34" s="6">
        <f t="shared" si="0"/>
        <v>42945</v>
      </c>
      <c r="B34" s="7">
        <v>42945</v>
      </c>
      <c r="C34" s="8">
        <f t="shared" si="1"/>
        <v>1</v>
      </c>
      <c r="D34" s="12">
        <v>3</v>
      </c>
    </row>
    <row r="35" spans="1:6">
      <c r="A35" s="6">
        <f t="shared" si="0"/>
        <v>42946</v>
      </c>
      <c r="B35" s="7">
        <v>42946</v>
      </c>
      <c r="C35" s="8">
        <f t="shared" si="1"/>
        <v>1</v>
      </c>
      <c r="D35" s="12">
        <v>4</v>
      </c>
    </row>
    <row r="36" spans="1:6">
      <c r="A36" s="6">
        <f t="shared" si="0"/>
        <v>42947</v>
      </c>
      <c r="B36" s="7">
        <v>42947</v>
      </c>
      <c r="C36" s="8">
        <f t="shared" si="1"/>
        <v>4</v>
      </c>
      <c r="D36" s="12">
        <v>8</v>
      </c>
      <c r="F36" s="14"/>
    </row>
    <row r="37" spans="1:6" ht="15" customHeight="1">
      <c r="B37" s="15" t="s">
        <v>10</v>
      </c>
      <c r="C37" s="16">
        <f>SUM(C6:C36)</f>
        <v>8</v>
      </c>
      <c r="D37" s="17"/>
    </row>
    <row r="38" spans="1:6">
      <c r="C38" s="18"/>
    </row>
    <row r="39" spans="1:6">
      <c r="B39" s="10" t="s">
        <v>11</v>
      </c>
      <c r="C39" s="11">
        <v>250</v>
      </c>
    </row>
    <row r="40" spans="1:6">
      <c r="B40" s="10" t="s">
        <v>12</v>
      </c>
      <c r="C40" s="11">
        <f>C37</f>
        <v>8</v>
      </c>
    </row>
    <row r="41" spans="1:6">
      <c r="B41" s="10" t="s">
        <v>13</v>
      </c>
      <c r="C41" s="11">
        <f>C39-C40</f>
        <v>242</v>
      </c>
    </row>
    <row r="42" spans="1:6">
      <c r="B42" s="10" t="s">
        <v>14</v>
      </c>
      <c r="C42" s="19">
        <f>C40/C39</f>
        <v>3.2000000000000001E-2</v>
      </c>
    </row>
    <row r="43" spans="1:6">
      <c r="B43" s="10" t="s">
        <v>15</v>
      </c>
      <c r="C43" s="11">
        <f>IF(C40&lt;C39,0,C40-C39)</f>
        <v>0</v>
      </c>
    </row>
    <row r="44" spans="1:6">
      <c r="B44" s="20" t="s">
        <v>16</v>
      </c>
      <c r="C44" s="11">
        <f ca="1">(C39-C37)/C48</f>
        <v>7.806451612903226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showGridLines="0" tabSelected="1" topLeftCell="B33" workbookViewId="0">
      <selection activeCell="D37" sqref="D37"/>
    </sheetView>
  </sheetViews>
  <sheetFormatPr baseColWidth="10" defaultColWidth="8.83203125" defaultRowHeight="14" x14ac:dyDescent="0"/>
  <cols>
    <col min="1" max="1" width="13.33203125" customWidth="1"/>
    <col min="2" max="2" width="20.83203125" customWidth="1"/>
    <col min="3" max="3" width="14.6640625" bestFit="1" customWidth="1"/>
    <col min="4" max="4" width="14.83203125" customWidth="1"/>
    <col min="5" max="5" width="11.5" bestFit="1" customWidth="1"/>
    <col min="6" max="6" width="7.83203125" bestFit="1" customWidth="1"/>
  </cols>
  <sheetData>
    <row r="2" spans="1:6">
      <c r="B2" s="1" t="s">
        <v>25</v>
      </c>
    </row>
    <row r="4" spans="1:6">
      <c r="B4" s="2" t="s">
        <v>1</v>
      </c>
      <c r="C4" s="2"/>
    </row>
    <row r="5" spans="1:6">
      <c r="A5" s="3" t="s">
        <v>2</v>
      </c>
      <c r="B5" s="4" t="s">
        <v>3</v>
      </c>
      <c r="C5" s="4" t="s">
        <v>4</v>
      </c>
      <c r="D5" s="5" t="s">
        <v>5</v>
      </c>
    </row>
    <row r="6" spans="1:6">
      <c r="A6" s="6">
        <f>B6</f>
        <v>42917</v>
      </c>
      <c r="B6" s="7">
        <v>42917</v>
      </c>
      <c r="C6" s="8">
        <f>D6</f>
        <v>0</v>
      </c>
      <c r="D6" s="41"/>
      <c r="E6" s="10" t="s">
        <v>6</v>
      </c>
      <c r="F6" s="11">
        <f>AVERAGE(C6:C12)</f>
        <v>0</v>
      </c>
    </row>
    <row r="7" spans="1:6">
      <c r="A7" s="6">
        <f t="shared" ref="A7:A36" si="0">B7</f>
        <v>42918</v>
      </c>
      <c r="B7" s="7">
        <v>42918</v>
      </c>
      <c r="C7" s="8">
        <f>IF(D7-D6&lt;0,0,D7-D6)</f>
        <v>0</v>
      </c>
      <c r="D7" s="41"/>
    </row>
    <row r="8" spans="1:6">
      <c r="A8" s="6">
        <f t="shared" si="0"/>
        <v>42919</v>
      </c>
      <c r="B8" s="7">
        <v>42919</v>
      </c>
      <c r="C8" s="8">
        <f t="shared" ref="C8:C36" si="1">IF(D8-D7&lt;0,0,D8-D7)</f>
        <v>0</v>
      </c>
      <c r="D8" s="41"/>
    </row>
    <row r="9" spans="1:6">
      <c r="A9" s="6">
        <f t="shared" si="0"/>
        <v>42920</v>
      </c>
      <c r="B9" s="7">
        <v>42920</v>
      </c>
      <c r="C9" s="8">
        <f t="shared" si="1"/>
        <v>0</v>
      </c>
      <c r="D9" s="41"/>
    </row>
    <row r="10" spans="1:6">
      <c r="A10" s="6">
        <f t="shared" si="0"/>
        <v>42921</v>
      </c>
      <c r="B10" s="7">
        <v>42921</v>
      </c>
      <c r="C10" s="8">
        <f t="shared" si="1"/>
        <v>0</v>
      </c>
      <c r="D10" s="41"/>
    </row>
    <row r="11" spans="1:6">
      <c r="A11" s="6">
        <f t="shared" si="0"/>
        <v>42922</v>
      </c>
      <c r="B11" s="7">
        <v>42922</v>
      </c>
      <c r="C11" s="8">
        <f t="shared" si="1"/>
        <v>0</v>
      </c>
      <c r="D11" s="41"/>
    </row>
    <row r="12" spans="1:6">
      <c r="A12" s="6">
        <f t="shared" si="0"/>
        <v>42923</v>
      </c>
      <c r="B12" s="7">
        <v>42923</v>
      </c>
      <c r="C12" s="8">
        <f t="shared" si="1"/>
        <v>0</v>
      </c>
      <c r="D12" s="41"/>
    </row>
    <row r="13" spans="1:6">
      <c r="A13" s="6">
        <f t="shared" si="0"/>
        <v>42924</v>
      </c>
      <c r="B13" s="7">
        <v>42924</v>
      </c>
      <c r="C13" s="8">
        <f t="shared" si="1"/>
        <v>0</v>
      </c>
      <c r="D13" s="41"/>
      <c r="E13" s="10" t="s">
        <v>7</v>
      </c>
      <c r="F13" s="11">
        <f>AVERAGE(C13:C19)</f>
        <v>0</v>
      </c>
    </row>
    <row r="14" spans="1:6">
      <c r="A14" s="6">
        <f t="shared" si="0"/>
        <v>42925</v>
      </c>
      <c r="B14" s="7">
        <v>42925</v>
      </c>
      <c r="C14" s="8">
        <f t="shared" si="1"/>
        <v>0</v>
      </c>
      <c r="D14" s="41"/>
    </row>
    <row r="15" spans="1:6">
      <c r="A15" s="6">
        <f t="shared" si="0"/>
        <v>42926</v>
      </c>
      <c r="B15" s="7">
        <v>42926</v>
      </c>
      <c r="C15" s="8">
        <f t="shared" si="1"/>
        <v>0</v>
      </c>
      <c r="D15" s="42"/>
    </row>
    <row r="16" spans="1:6">
      <c r="A16" s="6">
        <f t="shared" si="0"/>
        <v>42927</v>
      </c>
      <c r="B16" s="7">
        <v>42927</v>
      </c>
      <c r="C16" s="8">
        <f t="shared" si="1"/>
        <v>0</v>
      </c>
      <c r="D16" s="42"/>
    </row>
    <row r="17" spans="1:6">
      <c r="A17" s="6">
        <f t="shared" si="0"/>
        <v>42928</v>
      </c>
      <c r="B17" s="7">
        <v>42928</v>
      </c>
      <c r="C17" s="8">
        <f t="shared" si="1"/>
        <v>0</v>
      </c>
      <c r="D17" s="12">
        <v>0</v>
      </c>
    </row>
    <row r="18" spans="1:6">
      <c r="A18" s="6">
        <f t="shared" si="0"/>
        <v>42929</v>
      </c>
      <c r="B18" s="7">
        <v>42929</v>
      </c>
      <c r="C18" s="8">
        <f t="shared" si="1"/>
        <v>0</v>
      </c>
      <c r="D18" s="12">
        <v>0</v>
      </c>
    </row>
    <row r="19" spans="1:6">
      <c r="A19" s="6">
        <f t="shared" si="0"/>
        <v>42930</v>
      </c>
      <c r="B19" s="7">
        <v>42930</v>
      </c>
      <c r="C19" s="8">
        <f t="shared" si="1"/>
        <v>0</v>
      </c>
      <c r="D19" s="12">
        <v>0</v>
      </c>
    </row>
    <row r="20" spans="1:6">
      <c r="A20" s="6">
        <f t="shared" si="0"/>
        <v>42931</v>
      </c>
      <c r="B20" s="7">
        <v>42931</v>
      </c>
      <c r="C20" s="8">
        <f t="shared" si="1"/>
        <v>0</v>
      </c>
      <c r="D20" s="12">
        <v>0</v>
      </c>
      <c r="E20" s="10" t="s">
        <v>8</v>
      </c>
      <c r="F20" s="11">
        <f>AVERAGE(C20:C26)</f>
        <v>0</v>
      </c>
    </row>
    <row r="21" spans="1:6">
      <c r="A21" s="6">
        <f t="shared" si="0"/>
        <v>42932</v>
      </c>
      <c r="B21" s="7">
        <v>42932</v>
      </c>
      <c r="C21" s="8">
        <f t="shared" si="1"/>
        <v>0</v>
      </c>
      <c r="D21" s="12">
        <v>0</v>
      </c>
    </row>
    <row r="22" spans="1:6">
      <c r="A22" s="6">
        <f t="shared" si="0"/>
        <v>42933</v>
      </c>
      <c r="B22" s="7">
        <v>42933</v>
      </c>
      <c r="C22" s="8">
        <f t="shared" si="1"/>
        <v>0</v>
      </c>
      <c r="D22" s="12">
        <v>0</v>
      </c>
    </row>
    <row r="23" spans="1:6">
      <c r="A23" s="6">
        <f t="shared" si="0"/>
        <v>42934</v>
      </c>
      <c r="B23" s="7">
        <v>42934</v>
      </c>
      <c r="C23" s="8">
        <f t="shared" si="1"/>
        <v>0</v>
      </c>
      <c r="D23" s="12">
        <v>0</v>
      </c>
    </row>
    <row r="24" spans="1:6">
      <c r="A24" s="6">
        <f t="shared" si="0"/>
        <v>42935</v>
      </c>
      <c r="B24" s="7">
        <v>42935</v>
      </c>
      <c r="C24" s="8">
        <f t="shared" si="1"/>
        <v>0</v>
      </c>
      <c r="D24" s="12">
        <v>0</v>
      </c>
    </row>
    <row r="25" spans="1:6">
      <c r="A25" s="6">
        <f t="shared" si="0"/>
        <v>42936</v>
      </c>
      <c r="B25" s="7">
        <v>42936</v>
      </c>
      <c r="C25" s="8">
        <f t="shared" si="1"/>
        <v>0</v>
      </c>
      <c r="D25" s="12">
        <v>0</v>
      </c>
    </row>
    <row r="26" spans="1:6">
      <c r="A26" s="6">
        <f t="shared" si="0"/>
        <v>42937</v>
      </c>
      <c r="B26" s="7">
        <v>42937</v>
      </c>
      <c r="C26" s="8">
        <f t="shared" si="1"/>
        <v>0</v>
      </c>
      <c r="D26" s="12">
        <v>0</v>
      </c>
    </row>
    <row r="27" spans="1:6">
      <c r="A27" s="6">
        <f t="shared" si="0"/>
        <v>42938</v>
      </c>
      <c r="B27" s="7">
        <v>42938</v>
      </c>
      <c r="C27" s="8">
        <f t="shared" si="1"/>
        <v>0</v>
      </c>
      <c r="D27" s="12">
        <v>0</v>
      </c>
      <c r="E27" s="10" t="s">
        <v>9</v>
      </c>
      <c r="F27" s="11">
        <f>AVERAGE(C27:C33)</f>
        <v>47.571428571428569</v>
      </c>
    </row>
    <row r="28" spans="1:6">
      <c r="A28" s="6">
        <f t="shared" si="0"/>
        <v>42939</v>
      </c>
      <c r="B28" s="7">
        <v>42939</v>
      </c>
      <c r="C28" s="8">
        <f t="shared" si="1"/>
        <v>0</v>
      </c>
      <c r="D28" s="12">
        <v>0</v>
      </c>
    </row>
    <row r="29" spans="1:6">
      <c r="A29" s="6">
        <f t="shared" si="0"/>
        <v>42940</v>
      </c>
      <c r="B29" s="7">
        <v>42940</v>
      </c>
      <c r="C29" s="8">
        <f t="shared" si="1"/>
        <v>1</v>
      </c>
      <c r="D29" s="12">
        <v>1</v>
      </c>
    </row>
    <row r="30" spans="1:6">
      <c r="A30" s="6">
        <f t="shared" si="0"/>
        <v>42941</v>
      </c>
      <c r="B30" s="7">
        <v>42941</v>
      </c>
      <c r="C30" s="8">
        <f t="shared" si="1"/>
        <v>62</v>
      </c>
      <c r="D30" s="12">
        <f>30+29+4</f>
        <v>63</v>
      </c>
    </row>
    <row r="31" spans="1:6">
      <c r="A31" s="6">
        <f t="shared" si="0"/>
        <v>42942</v>
      </c>
      <c r="B31" s="7">
        <v>42942</v>
      </c>
      <c r="C31" s="8">
        <f t="shared" si="1"/>
        <v>42</v>
      </c>
      <c r="D31" s="12">
        <f>54+40+11</f>
        <v>105</v>
      </c>
    </row>
    <row r="32" spans="1:6">
      <c r="A32" s="6">
        <f t="shared" si="0"/>
        <v>42943</v>
      </c>
      <c r="B32" s="7">
        <v>42943</v>
      </c>
      <c r="C32" s="8">
        <f t="shared" si="1"/>
        <v>140</v>
      </c>
      <c r="D32" s="12">
        <f>126+96+23</f>
        <v>245</v>
      </c>
    </row>
    <row r="33" spans="1:6">
      <c r="A33" s="6">
        <f t="shared" si="0"/>
        <v>42944</v>
      </c>
      <c r="B33" s="7">
        <v>42944</v>
      </c>
      <c r="C33" s="8">
        <f t="shared" si="1"/>
        <v>88</v>
      </c>
      <c r="D33" s="12">
        <f>174+133+26</f>
        <v>333</v>
      </c>
    </row>
    <row r="34" spans="1:6">
      <c r="A34" s="6">
        <f t="shared" si="0"/>
        <v>42945</v>
      </c>
      <c r="B34" s="7">
        <v>42945</v>
      </c>
      <c r="C34" s="8">
        <f t="shared" si="1"/>
        <v>200</v>
      </c>
      <c r="D34" s="12">
        <f>304+178+51</f>
        <v>533</v>
      </c>
    </row>
    <row r="35" spans="1:6">
      <c r="A35" s="6">
        <f t="shared" si="0"/>
        <v>42946</v>
      </c>
      <c r="B35" s="7">
        <v>42946</v>
      </c>
      <c r="C35" s="8">
        <f t="shared" si="1"/>
        <v>114</v>
      </c>
      <c r="D35" s="12">
        <f>361+219+67</f>
        <v>647</v>
      </c>
    </row>
    <row r="36" spans="1:6">
      <c r="A36" s="6">
        <f t="shared" si="0"/>
        <v>42947</v>
      </c>
      <c r="B36" s="7">
        <v>42947</v>
      </c>
      <c r="C36" s="8">
        <f t="shared" si="1"/>
        <v>91</v>
      </c>
      <c r="D36" s="12">
        <f>422+242+74</f>
        <v>738</v>
      </c>
      <c r="F36" s="14"/>
    </row>
    <row r="37" spans="1:6" ht="15" customHeight="1">
      <c r="B37" s="15" t="s">
        <v>10</v>
      </c>
      <c r="C37" s="16">
        <f>SUM(C6:C36)</f>
        <v>738</v>
      </c>
      <c r="D37" s="17"/>
    </row>
    <row r="38" spans="1:6">
      <c r="C38" s="18"/>
    </row>
    <row r="39" spans="1:6">
      <c r="B39" s="10" t="s">
        <v>11</v>
      </c>
      <c r="C39" s="11">
        <v>250</v>
      </c>
    </row>
    <row r="40" spans="1:6">
      <c r="B40" s="10" t="s">
        <v>12</v>
      </c>
      <c r="C40" s="11">
        <f>C37</f>
        <v>738</v>
      </c>
    </row>
    <row r="41" spans="1:6">
      <c r="B41" s="10" t="s">
        <v>13</v>
      </c>
      <c r="C41" s="11">
        <f>C39-C40</f>
        <v>-488</v>
      </c>
    </row>
    <row r="42" spans="1:6">
      <c r="B42" s="10" t="s">
        <v>14</v>
      </c>
      <c r="C42" s="19">
        <f>C40/C39</f>
        <v>2.952</v>
      </c>
    </row>
    <row r="43" spans="1:6">
      <c r="B43" s="10" t="s">
        <v>15</v>
      </c>
      <c r="C43" s="11">
        <f>IF(C40&lt;C39,0,C40-C39)</f>
        <v>488</v>
      </c>
    </row>
    <row r="44" spans="1:6">
      <c r="B44" s="20" t="s">
        <v>16</v>
      </c>
      <c r="C44" s="11">
        <f ca="1">(C39-C37)/C48</f>
        <v>-15.741935483870968</v>
      </c>
    </row>
    <row r="45" spans="1:6" ht="15" thickBot="1"/>
    <row r="46" spans="1:6">
      <c r="B46" s="21" t="s">
        <v>17</v>
      </c>
      <c r="C46" s="22">
        <f ca="1">C50-C49</f>
        <v>0</v>
      </c>
      <c r="D46" s="23"/>
    </row>
    <row r="47" spans="1:6">
      <c r="B47" s="24" t="s">
        <v>18</v>
      </c>
      <c r="C47" s="25">
        <f ca="1">D49-C49+1</f>
        <v>31</v>
      </c>
      <c r="D47" s="26"/>
    </row>
    <row r="48" spans="1:6">
      <c r="B48" s="24" t="s">
        <v>19</v>
      </c>
      <c r="C48" s="25">
        <f ca="1">+C47-C46</f>
        <v>31</v>
      </c>
      <c r="D48" s="26"/>
    </row>
    <row r="49" spans="2:4">
      <c r="B49" s="27">
        <f ca="1">NOW()</f>
        <v>42948.391605324075</v>
      </c>
      <c r="C49" s="28">
        <f ca="1">EOMONTH(TODAY(),-1)+1</f>
        <v>42948</v>
      </c>
      <c r="D49" s="29">
        <f ca="1">EOMONTH(NOW(),0)</f>
        <v>42978</v>
      </c>
    </row>
    <row r="50" spans="2:4">
      <c r="B50" s="24" t="s">
        <v>20</v>
      </c>
      <c r="C50" s="28">
        <f ca="1">TODAY()</f>
        <v>42948</v>
      </c>
      <c r="D50" s="26"/>
    </row>
    <row r="51" spans="2:4">
      <c r="B51" s="24"/>
      <c r="C51" s="30"/>
      <c r="D51" s="31"/>
    </row>
    <row r="52" spans="2:4">
      <c r="B52" s="32" t="s">
        <v>21</v>
      </c>
      <c r="C52" s="33"/>
      <c r="D52" s="34">
        <f ca="1">TODAY()-1</f>
        <v>42947</v>
      </c>
    </row>
    <row r="53" spans="2:4">
      <c r="B53" s="32" t="s">
        <v>22</v>
      </c>
      <c r="C53" s="33"/>
      <c r="D53" s="35">
        <f ca="1">C46/C47</f>
        <v>0</v>
      </c>
    </row>
    <row r="54" spans="2:4" ht="15" thickBot="1">
      <c r="B54" s="36" t="s">
        <v>23</v>
      </c>
      <c r="C54" s="37"/>
      <c r="D54" s="38">
        <f ca="1">C48/C47</f>
        <v>1</v>
      </c>
    </row>
    <row r="57" spans="2:4">
      <c r="B57" s="39" t="s">
        <v>24</v>
      </c>
    </row>
    <row r="58" spans="2:4">
      <c r="B58" s="40"/>
    </row>
    <row r="59" spans="2:4">
      <c r="B59" s="40"/>
    </row>
    <row r="60" spans="2:4">
      <c r="B60" s="40"/>
    </row>
    <row r="61" spans="2:4">
      <c r="B61" s="40"/>
    </row>
    <row r="62" spans="2:4">
      <c r="B62" s="40"/>
    </row>
    <row r="63" spans="2:4">
      <c r="B63" s="40"/>
    </row>
    <row r="64" spans="2:4">
      <c r="B64" s="40"/>
    </row>
    <row r="65" spans="2:2">
      <c r="B65" s="40"/>
    </row>
    <row r="66" spans="2:2">
      <c r="B66" s="40"/>
    </row>
    <row r="67" spans="2:2">
      <c r="B67" s="40"/>
    </row>
    <row r="68" spans="2:2">
      <c r="B68" s="40"/>
    </row>
    <row r="69" spans="2:2">
      <c r="B69" s="40"/>
    </row>
    <row r="70" spans="2:2">
      <c r="B70" s="40"/>
    </row>
    <row r="71" spans="2:2">
      <c r="B71" s="40"/>
    </row>
    <row r="72" spans="2:2">
      <c r="B72" s="40"/>
    </row>
    <row r="73" spans="2:2">
      <c r="B73" s="40"/>
    </row>
    <row r="74" spans="2:2">
      <c r="B74" s="40"/>
    </row>
    <row r="75" spans="2:2">
      <c r="B75" s="40"/>
    </row>
    <row r="76" spans="2:2">
      <c r="B76" s="40"/>
    </row>
    <row r="77" spans="2:2">
      <c r="B77" s="4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Humira AS</vt:lpstr>
      <vt:lpstr>Humira CD</vt:lpstr>
      <vt:lpstr>Humira PSA</vt:lpstr>
      <vt:lpstr>Humira Pso</vt:lpstr>
      <vt:lpstr>Humira UC</vt:lpstr>
      <vt:lpstr>Synthroid</vt:lpstr>
    </vt:vector>
  </TitlesOfParts>
  <Company>Healthline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Casey Cronin</cp:lastModifiedBy>
  <dcterms:created xsi:type="dcterms:W3CDTF">2017-05-02T18:14:15Z</dcterms:created>
  <dcterms:modified xsi:type="dcterms:W3CDTF">2017-08-01T16:31:12Z</dcterms:modified>
</cp:coreProperties>
</file>