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980" yWindow="0" windowWidth="19100" windowHeight="15580" tabRatio="830" activeTab="3"/>
  </bookViews>
  <sheets>
    <sheet name="Humira CD" sheetId="1" r:id="rId1"/>
    <sheet name="Humira PSA" sheetId="3" r:id="rId2"/>
    <sheet name="Humira UC" sheetId="4" state="hidden" r:id="rId3"/>
    <sheet name="Humira Pso" sheetId="2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D35" i="3"/>
  <c r="D35" i="2"/>
  <c r="D34" i="2"/>
  <c r="D34" i="3"/>
  <c r="D34" i="1"/>
  <c r="D33" i="2"/>
  <c r="D33" i="3"/>
  <c r="D33" i="1"/>
  <c r="D32" i="2"/>
  <c r="D32" i="3"/>
  <c r="D32" i="1"/>
  <c r="D31" i="2"/>
  <c r="D31" i="3"/>
  <c r="D31" i="1"/>
  <c r="D30" i="3"/>
  <c r="D29" i="3"/>
  <c r="D28" i="3"/>
  <c r="D28" i="1"/>
  <c r="D29" i="1"/>
  <c r="D30" i="1"/>
  <c r="D27" i="1"/>
  <c r="D28" i="2"/>
  <c r="D29" i="2"/>
  <c r="D30" i="2"/>
  <c r="D27" i="2"/>
  <c r="D27" i="3"/>
  <c r="D26" i="1"/>
  <c r="D26" i="2"/>
  <c r="D26" i="3"/>
  <c r="D25" i="1"/>
  <c r="D25" i="2"/>
  <c r="D25" i="3"/>
  <c r="D24" i="1"/>
  <c r="D24" i="3"/>
  <c r="D24" i="2"/>
  <c r="D23" i="2"/>
  <c r="D22" i="2"/>
  <c r="D21" i="2"/>
  <c r="D21" i="3"/>
  <c r="D22" i="3"/>
  <c r="D23" i="3"/>
  <c r="D23" i="1"/>
  <c r="D22" i="1"/>
  <c r="D21" i="1"/>
  <c r="D20" i="3"/>
  <c r="D19" i="2"/>
  <c r="D19" i="3"/>
  <c r="D19" i="1"/>
  <c r="D18" i="2"/>
  <c r="D18" i="3"/>
  <c r="D18" i="1"/>
  <c r="D17" i="1"/>
  <c r="D17" i="3"/>
  <c r="D17" i="2"/>
  <c r="D14" i="2"/>
  <c r="D15" i="2"/>
  <c r="D16" i="2"/>
  <c r="D16" i="3"/>
  <c r="D15" i="3"/>
  <c r="D14" i="3"/>
  <c r="D14" i="1"/>
  <c r="D15" i="1"/>
  <c r="D16" i="1"/>
  <c r="D13" i="2"/>
  <c r="D13" i="3"/>
  <c r="D13" i="1"/>
  <c r="D12" i="2"/>
  <c r="D12" i="3"/>
  <c r="D12" i="1"/>
  <c r="D11" i="2"/>
  <c r="D11" i="3"/>
  <c r="D11" i="1"/>
  <c r="D10" i="2"/>
  <c r="D10" i="3"/>
  <c r="D10" i="1"/>
  <c r="D7" i="1"/>
  <c r="D8" i="1"/>
  <c r="D9" i="1"/>
  <c r="D9" i="3"/>
  <c r="D8" i="3"/>
  <c r="D7" i="3"/>
  <c r="D7" i="2"/>
  <c r="D8" i="2"/>
  <c r="D9" i="2"/>
  <c r="C6" i="2"/>
  <c r="C7" i="2"/>
  <c r="C9" i="2"/>
  <c r="C10" i="2"/>
  <c r="C8" i="2"/>
  <c r="C11" i="2"/>
  <c r="C12" i="2"/>
  <c r="C13" i="2"/>
  <c r="C14" i="2"/>
  <c r="C16" i="2"/>
  <c r="C17" i="2"/>
  <c r="C15" i="2"/>
  <c r="C18" i="2"/>
  <c r="C19" i="2"/>
  <c r="C20" i="2"/>
  <c r="C21" i="2"/>
  <c r="C22" i="2"/>
  <c r="C23" i="2"/>
  <c r="C24" i="2"/>
  <c r="C25" i="2"/>
  <c r="C26" i="2"/>
  <c r="C27" i="2"/>
  <c r="C28" i="2"/>
  <c r="C30" i="2"/>
  <c r="C31" i="2"/>
  <c r="C32" i="2"/>
  <c r="C29" i="2"/>
  <c r="C33" i="2"/>
  <c r="C34" i="2"/>
  <c r="C35" i="2"/>
  <c r="C37" i="2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7" i="3"/>
  <c r="C6" i="1"/>
  <c r="C7" i="1"/>
  <c r="C9" i="1"/>
  <c r="C10" i="1"/>
  <c r="C8" i="1"/>
  <c r="C11" i="1"/>
  <c r="C12" i="1"/>
  <c r="C13" i="1"/>
  <c r="C14" i="1"/>
  <c r="C16" i="1"/>
  <c r="C17" i="1"/>
  <c r="C15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7" i="1"/>
  <c r="D49" i="4"/>
  <c r="C49" i="4"/>
  <c r="C47" i="4"/>
  <c r="C50" i="4"/>
  <c r="C46" i="4"/>
  <c r="C48" i="4"/>
  <c r="D54" i="4"/>
  <c r="D53" i="4"/>
  <c r="D52" i="4"/>
  <c r="B49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7" i="4"/>
  <c r="C44" i="4"/>
  <c r="C40" i="4"/>
  <c r="C43" i="4"/>
  <c r="C42" i="4"/>
  <c r="C41" i="4"/>
  <c r="C36" i="4"/>
  <c r="A36" i="4"/>
  <c r="A35" i="4"/>
  <c r="A34" i="4"/>
  <c r="A33" i="4"/>
  <c r="A32" i="4"/>
  <c r="A31" i="4"/>
  <c r="A30" i="4"/>
  <c r="A29" i="4"/>
  <c r="A28" i="4"/>
  <c r="F27" i="4"/>
  <c r="A27" i="4"/>
  <c r="A26" i="4"/>
  <c r="A25" i="4"/>
  <c r="A24" i="4"/>
  <c r="A23" i="4"/>
  <c r="A22" i="4"/>
  <c r="A21" i="4"/>
  <c r="F20" i="4"/>
  <c r="A20" i="4"/>
  <c r="A19" i="4"/>
  <c r="A18" i="4"/>
  <c r="A17" i="4"/>
  <c r="A16" i="4"/>
  <c r="A15" i="4"/>
  <c r="A14" i="4"/>
  <c r="F13" i="4"/>
  <c r="A13" i="4"/>
  <c r="A12" i="4"/>
  <c r="A11" i="4"/>
  <c r="A10" i="4"/>
  <c r="A9" i="4"/>
  <c r="A8" i="4"/>
  <c r="A7" i="4"/>
  <c r="F6" i="4"/>
  <c r="A6" i="4"/>
  <c r="D49" i="3"/>
  <c r="C49" i="3"/>
  <c r="C47" i="3"/>
  <c r="C50" i="3"/>
  <c r="C46" i="3"/>
  <c r="C48" i="3"/>
  <c r="D54" i="3"/>
  <c r="D53" i="3"/>
  <c r="D52" i="3"/>
  <c r="B49" i="3"/>
  <c r="C44" i="3"/>
  <c r="C40" i="3"/>
  <c r="C43" i="3"/>
  <c r="C42" i="3"/>
  <c r="C41" i="3"/>
  <c r="C36" i="3"/>
  <c r="A36" i="3"/>
  <c r="A35" i="3"/>
  <c r="A34" i="3"/>
  <c r="A33" i="3"/>
  <c r="A32" i="3"/>
  <c r="A31" i="3"/>
  <c r="A30" i="3"/>
  <c r="A29" i="3"/>
  <c r="A28" i="3"/>
  <c r="F27" i="3"/>
  <c r="A27" i="3"/>
  <c r="A26" i="3"/>
  <c r="A25" i="3"/>
  <c r="A24" i="3"/>
  <c r="A23" i="3"/>
  <c r="A22" i="3"/>
  <c r="A21" i="3"/>
  <c r="F20" i="3"/>
  <c r="A20" i="3"/>
  <c r="A19" i="3"/>
  <c r="A18" i="3"/>
  <c r="A17" i="3"/>
  <c r="A16" i="3"/>
  <c r="A15" i="3"/>
  <c r="A14" i="3"/>
  <c r="F13" i="3"/>
  <c r="A13" i="3"/>
  <c r="A12" i="3"/>
  <c r="A11" i="3"/>
  <c r="A10" i="3"/>
  <c r="A9" i="3"/>
  <c r="A8" i="3"/>
  <c r="A7" i="3"/>
  <c r="F6" i="3"/>
  <c r="A6" i="3"/>
  <c r="D49" i="2"/>
  <c r="C49" i="2"/>
  <c r="C47" i="2"/>
  <c r="C50" i="2"/>
  <c r="C46" i="2"/>
  <c r="C48" i="2"/>
  <c r="D54" i="2"/>
  <c r="D53" i="2"/>
  <c r="D52" i="2"/>
  <c r="B49" i="2"/>
  <c r="C44" i="2"/>
  <c r="C40" i="2"/>
  <c r="C43" i="2"/>
  <c r="C42" i="2"/>
  <c r="C41" i="2"/>
  <c r="C36" i="2"/>
  <c r="A36" i="2"/>
  <c r="A35" i="2"/>
  <c r="A34" i="2"/>
  <c r="A33" i="2"/>
  <c r="A32" i="2"/>
  <c r="A31" i="2"/>
  <c r="A30" i="2"/>
  <c r="A29" i="2"/>
  <c r="A28" i="2"/>
  <c r="F27" i="2"/>
  <c r="A27" i="2"/>
  <c r="A26" i="2"/>
  <c r="A25" i="2"/>
  <c r="A24" i="2"/>
  <c r="A23" i="2"/>
  <c r="A22" i="2"/>
  <c r="A21" i="2"/>
  <c r="F20" i="2"/>
  <c r="A20" i="2"/>
  <c r="A19" i="2"/>
  <c r="A18" i="2"/>
  <c r="A17" i="2"/>
  <c r="A16" i="2"/>
  <c r="A15" i="2"/>
  <c r="A14" i="2"/>
  <c r="F13" i="2"/>
  <c r="A13" i="2"/>
  <c r="A12" i="2"/>
  <c r="A11" i="2"/>
  <c r="A10" i="2"/>
  <c r="A9" i="2"/>
  <c r="A8" i="2"/>
  <c r="A7" i="2"/>
  <c r="F6" i="2"/>
  <c r="A6" i="2"/>
  <c r="D49" i="1"/>
  <c r="C49" i="1"/>
  <c r="C47" i="1"/>
  <c r="C50" i="1"/>
  <c r="C46" i="1"/>
  <c r="C48" i="1"/>
  <c r="D54" i="1"/>
  <c r="D53" i="1"/>
  <c r="D52" i="1"/>
  <c r="B49" i="1"/>
  <c r="C44" i="1"/>
  <c r="C40" i="1"/>
  <c r="C43" i="1"/>
  <c r="C42" i="1"/>
  <c r="C41" i="1"/>
  <c r="C36" i="1"/>
  <c r="A36" i="1"/>
  <c r="A35" i="1"/>
  <c r="A34" i="1"/>
  <c r="A33" i="1"/>
  <c r="A32" i="1"/>
  <c r="A31" i="1"/>
  <c r="A30" i="1"/>
  <c r="A29" i="1"/>
  <c r="A28" i="1"/>
  <c r="F27" i="1"/>
  <c r="A27" i="1"/>
  <c r="A26" i="1"/>
  <c r="A25" i="1"/>
  <c r="A24" i="1"/>
  <c r="A23" i="1"/>
  <c r="A22" i="1"/>
  <c r="A21" i="1"/>
  <c r="F20" i="1"/>
  <c r="A20" i="1"/>
  <c r="A19" i="1"/>
  <c r="A18" i="1"/>
  <c r="A17" i="1"/>
  <c r="A16" i="1"/>
  <c r="A15" i="1"/>
  <c r="A14" i="1"/>
  <c r="F13" i="1"/>
  <c r="A13" i="1"/>
  <c r="A12" i="1"/>
  <c r="A11" i="1"/>
  <c r="A10" i="1"/>
  <c r="A9" i="1"/>
  <c r="A8" i="1"/>
  <c r="A7" i="1"/>
  <c r="F6" i="1"/>
  <c r="A6" i="1"/>
</calcChain>
</file>

<file path=xl/sharedStrings.xml><?xml version="1.0" encoding="utf-8"?>
<sst xmlns="http://schemas.openxmlformats.org/spreadsheetml/2006/main" count="100" uniqueCount="27">
  <si>
    <t>Empowher test Microsite</t>
  </si>
  <si>
    <t>June</t>
  </si>
  <si>
    <t>Day</t>
  </si>
  <si>
    <t>Date</t>
  </si>
  <si>
    <t>Unique Visitors</t>
  </si>
  <si>
    <t xml:space="preserve">MTD UVs </t>
  </si>
  <si>
    <t>Week 1 Ave</t>
  </si>
  <si>
    <t>Week 2 Ave</t>
  </si>
  <si>
    <t>Week 3 Ave</t>
  </si>
  <si>
    <t>Week 4 Ave</t>
  </si>
  <si>
    <t>Total</t>
  </si>
  <si>
    <t>CPUV Goal</t>
  </si>
  <si>
    <t>MTD</t>
  </si>
  <si>
    <t>MTD Remaining</t>
  </si>
  <si>
    <t>% of Goal</t>
  </si>
  <si>
    <t>Over-delivery</t>
  </si>
  <si>
    <t>Daily UVs needed</t>
  </si>
  <si>
    <t>MTD Days</t>
  </si>
  <si>
    <t>Number of days</t>
  </si>
  <si>
    <t>Days Remaining</t>
  </si>
  <si>
    <t>Today</t>
  </si>
  <si>
    <t>Yesterday's Date:</t>
  </si>
  <si>
    <t>% of Month Complete:</t>
  </si>
  <si>
    <t>% of Month Remaining:</t>
  </si>
  <si>
    <t>URLs</t>
  </si>
  <si>
    <t>Empowher Microsite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</si>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</sst>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dddd"/>
    <numFmt numFmtId="165" formatCode="_(* #,##0_);_(* \(#,##0\);_(* &quot;-&quot;??_);_(@_)"/>
    <numFmt numFmtId="166" formatCode="0.0%"/>
    <numFmt numFmtId="167" formatCode="_([$$-409]* #,##0.00_);_([$$-409]* \(#,##0.00\);_([$$-409]* &quot;-&quot;??_);_(@_)"/>
    <numFmt numFmtId="168" formatCode="[$-409]m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3" fillId="4" borderId="1" xfId="0" applyFont="1" applyFill="1" applyBorder="1"/>
    <xf numFmtId="164" fontId="0" fillId="0" borderId="1" xfId="0" applyNumberFormat="1" applyBorder="1" applyAlignment="1">
      <alignment horizontal="right"/>
    </xf>
    <xf numFmtId="14" fontId="0" fillId="0" borderId="1" xfId="0" applyNumberFormat="1" applyBorder="1"/>
    <xf numFmtId="165" fontId="0" fillId="5" borderId="1" xfId="0" applyNumberFormat="1" applyFill="1" applyBorder="1"/>
    <xf numFmtId="165" fontId="1" fillId="5" borderId="1" xfId="1" applyNumberFormat="1" applyFont="1" applyFill="1" applyBorder="1"/>
    <xf numFmtId="0" fontId="0" fillId="0" borderId="1" xfId="0" applyBorder="1"/>
    <xf numFmtId="165" fontId="1" fillId="0" borderId="1" xfId="1" applyNumberFormat="1" applyFont="1" applyBorder="1"/>
    <xf numFmtId="165" fontId="3" fillId="5" borderId="2" xfId="0" applyNumberFormat="1" applyFont="1" applyFill="1" applyBorder="1"/>
    <xf numFmtId="165" fontId="3" fillId="6" borderId="2" xfId="0" applyNumberFormat="1" applyFont="1" applyFill="1" applyBorder="1"/>
    <xf numFmtId="0" fontId="0" fillId="0" borderId="0" xfId="0" applyBorder="1"/>
    <xf numFmtId="14" fontId="0" fillId="7" borderId="1" xfId="0" applyNumberFormat="1" applyFill="1" applyBorder="1"/>
    <xf numFmtId="165" fontId="1" fillId="7" borderId="1" xfId="1" applyNumberFormat="1" applyFont="1" applyFill="1" applyBorder="1"/>
    <xf numFmtId="165" fontId="0" fillId="0" borderId="0" xfId="0" applyNumberFormat="1"/>
    <xf numFmtId="165" fontId="1" fillId="0" borderId="0" xfId="1" applyNumberFormat="1" applyFont="1"/>
    <xf numFmtId="166" fontId="1" fillId="0" borderId="1" xfId="2" applyNumberFormat="1" applyFont="1" applyBorder="1"/>
    <xf numFmtId="0" fontId="0" fillId="0" borderId="1" xfId="0" applyFill="1" applyBorder="1"/>
    <xf numFmtId="0" fontId="0" fillId="8" borderId="3" xfId="0" applyFill="1" applyBorder="1"/>
    <xf numFmtId="0" fontId="0" fillId="8" borderId="4" xfId="0" applyNumberFormat="1" applyFill="1" applyBorder="1"/>
    <xf numFmtId="167" fontId="0" fillId="8" borderId="5" xfId="0" applyNumberFormat="1" applyFill="1" applyBorder="1"/>
    <xf numFmtId="0" fontId="0" fillId="8" borderId="6" xfId="0" applyFill="1" applyBorder="1"/>
    <xf numFmtId="0" fontId="0" fillId="8" borderId="0" xfId="0" applyNumberFormat="1" applyFill="1" applyBorder="1"/>
    <xf numFmtId="167" fontId="0" fillId="8" borderId="7" xfId="0" applyNumberFormat="1" applyFill="1" applyBorder="1"/>
    <xf numFmtId="168" fontId="4" fillId="8" borderId="6" xfId="0" applyNumberFormat="1" applyFont="1" applyFill="1" applyBorder="1"/>
    <xf numFmtId="14" fontId="0" fillId="8" borderId="0" xfId="0" applyNumberFormat="1" applyFill="1" applyBorder="1"/>
    <xf numFmtId="14" fontId="4" fillId="8" borderId="7" xfId="0" applyNumberFormat="1" applyFont="1" applyFill="1" applyBorder="1"/>
    <xf numFmtId="0" fontId="0" fillId="8" borderId="0" xfId="0" applyFill="1" applyBorder="1"/>
    <xf numFmtId="0" fontId="0" fillId="8" borderId="7" xfId="0" applyFill="1" applyBorder="1"/>
    <xf numFmtId="167" fontId="5" fillId="8" borderId="6" xfId="0" applyNumberFormat="1" applyFont="1" applyFill="1" applyBorder="1"/>
    <xf numFmtId="167" fontId="6" fillId="8" borderId="0" xfId="0" applyNumberFormat="1" applyFont="1" applyFill="1" applyBorder="1"/>
    <xf numFmtId="14" fontId="6" fillId="8" borderId="7" xfId="0" applyNumberFormat="1" applyFont="1" applyFill="1" applyBorder="1"/>
    <xf numFmtId="166" fontId="6" fillId="8" borderId="7" xfId="2" applyNumberFormat="1" applyFont="1" applyFill="1" applyBorder="1"/>
    <xf numFmtId="167" fontId="5" fillId="8" borderId="8" xfId="0" applyNumberFormat="1" applyFont="1" applyFill="1" applyBorder="1"/>
    <xf numFmtId="167" fontId="6" fillId="8" borderId="9" xfId="0" applyNumberFormat="1" applyFont="1" applyFill="1" applyBorder="1"/>
    <xf numFmtId="166" fontId="6" fillId="8" borderId="10" xfId="2" applyNumberFormat="1" applyFont="1" applyFill="1" applyBorder="1"/>
    <xf numFmtId="167" fontId="5" fillId="8" borderId="1" xfId="0" applyNumberFormat="1" applyFont="1" applyFill="1" applyBorder="1"/>
    <xf numFmtId="0" fontId="7" fillId="0" borderId="0" xfId="3"/>
  </cellXfs>
  <cellStyles count="5">
    <cellStyle name="Comma" xfId="1" builtinId="3"/>
    <cellStyle name="Followed Hyperlink" xfId="4" builtinId="9" hidden="1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7"/>
  <sheetViews>
    <sheetView showGridLines="0" topLeftCell="A24" workbookViewId="0">
      <selection activeCell="D37" sqref="D37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0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>B6</f>
        <v>42887</v>
      </c>
      <c r="B6" s="7">
        <v>42887</v>
      </c>
      <c r="C6" s="8">
        <f>D6</f>
        <v>12</v>
      </c>
      <c r="D6" s="9">
        <v>12</v>
      </c>
      <c r="E6" s="10" t="s">
        <v>6</v>
      </c>
      <c r="F6" s="11">
        <f>AVERAGE(C6:C12)</f>
        <v>9.2857142857142865</v>
      </c>
    </row>
    <row r="7" spans="1:6">
      <c r="A7" s="6">
        <f t="shared" ref="A7:A36" si="0">B7</f>
        <v>42888</v>
      </c>
      <c r="B7" s="7">
        <v>42888</v>
      </c>
      <c r="C7" s="8">
        <f>IF(D7-D6&lt;0,0,D7-D6)</f>
        <v>9</v>
      </c>
      <c r="D7" s="9">
        <f>14+7</f>
        <v>21</v>
      </c>
    </row>
    <row r="8" spans="1:6">
      <c r="A8" s="6">
        <f t="shared" si="0"/>
        <v>42889</v>
      </c>
      <c r="B8" s="7">
        <v>42889</v>
      </c>
      <c r="C8" s="8">
        <f t="shared" ref="C8:C36" si="1">IF(D8-D7&lt;0,0,D8-D7)</f>
        <v>9</v>
      </c>
      <c r="D8" s="9">
        <f>19+11</f>
        <v>30</v>
      </c>
    </row>
    <row r="9" spans="1:6">
      <c r="A9" s="6">
        <f t="shared" si="0"/>
        <v>42890</v>
      </c>
      <c r="B9" s="7">
        <v>42890</v>
      </c>
      <c r="C9" s="8">
        <f t="shared" si="1"/>
        <v>9</v>
      </c>
      <c r="D9" s="9">
        <f>23+16</f>
        <v>39</v>
      </c>
    </row>
    <row r="10" spans="1:6">
      <c r="A10" s="6">
        <f t="shared" si="0"/>
        <v>42891</v>
      </c>
      <c r="B10" s="7">
        <v>42891</v>
      </c>
      <c r="C10" s="8">
        <f t="shared" si="1"/>
        <v>11</v>
      </c>
      <c r="D10" s="9">
        <f>31+19</f>
        <v>50</v>
      </c>
    </row>
    <row r="11" spans="1:6">
      <c r="A11" s="6">
        <f t="shared" si="0"/>
        <v>42892</v>
      </c>
      <c r="B11" s="7">
        <v>42892</v>
      </c>
      <c r="C11" s="8">
        <f t="shared" si="1"/>
        <v>8</v>
      </c>
      <c r="D11" s="9">
        <f>35+23</f>
        <v>58</v>
      </c>
    </row>
    <row r="12" spans="1:6">
      <c r="A12" s="6">
        <f t="shared" si="0"/>
        <v>42893</v>
      </c>
      <c r="B12" s="7">
        <v>42893</v>
      </c>
      <c r="C12" s="8">
        <f t="shared" si="1"/>
        <v>7</v>
      </c>
      <c r="D12" s="9">
        <f>38+27</f>
        <v>65</v>
      </c>
    </row>
    <row r="13" spans="1:6">
      <c r="A13" s="6">
        <f t="shared" si="0"/>
        <v>42894</v>
      </c>
      <c r="B13" s="7">
        <v>42894</v>
      </c>
      <c r="C13" s="8">
        <f t="shared" si="1"/>
        <v>26</v>
      </c>
      <c r="D13" s="9">
        <f>53+38</f>
        <v>91</v>
      </c>
      <c r="E13" s="10" t="s">
        <v>7</v>
      </c>
      <c r="F13" s="11">
        <f>AVERAGE(C13:C19)</f>
        <v>50.285714285714285</v>
      </c>
    </row>
    <row r="14" spans="1:6">
      <c r="A14" s="6">
        <f t="shared" si="0"/>
        <v>42895</v>
      </c>
      <c r="B14" s="7">
        <v>42895</v>
      </c>
      <c r="C14" s="8">
        <f t="shared" si="1"/>
        <v>57</v>
      </c>
      <c r="D14" s="9">
        <f>84+64</f>
        <v>148</v>
      </c>
    </row>
    <row r="15" spans="1:6">
      <c r="A15" s="6">
        <f t="shared" si="0"/>
        <v>42896</v>
      </c>
      <c r="B15" s="7">
        <v>42896</v>
      </c>
      <c r="C15" s="8">
        <f t="shared" si="1"/>
        <v>61</v>
      </c>
      <c r="D15" s="12">
        <f>129+80</f>
        <v>209</v>
      </c>
    </row>
    <row r="16" spans="1:6">
      <c r="A16" s="6">
        <f t="shared" si="0"/>
        <v>42897</v>
      </c>
      <c r="B16" s="7">
        <v>42897</v>
      </c>
      <c r="C16" s="8">
        <f t="shared" si="1"/>
        <v>71</v>
      </c>
      <c r="D16" s="12">
        <f>188+92</f>
        <v>280</v>
      </c>
    </row>
    <row r="17" spans="1:6">
      <c r="A17" s="6">
        <f t="shared" si="0"/>
        <v>42898</v>
      </c>
      <c r="B17" s="7">
        <v>42898</v>
      </c>
      <c r="C17" s="8">
        <f t="shared" si="1"/>
        <v>42</v>
      </c>
      <c r="D17" s="12">
        <f>218+98+6</f>
        <v>322</v>
      </c>
    </row>
    <row r="18" spans="1:6">
      <c r="A18" s="6">
        <f t="shared" si="0"/>
        <v>42899</v>
      </c>
      <c r="B18" s="7">
        <v>42899</v>
      </c>
      <c r="C18" s="8">
        <f t="shared" si="1"/>
        <v>49</v>
      </c>
      <c r="D18" s="12">
        <f>248+116+7</f>
        <v>371</v>
      </c>
    </row>
    <row r="19" spans="1:6">
      <c r="A19" s="6">
        <f t="shared" si="0"/>
        <v>42900</v>
      </c>
      <c r="B19" s="7">
        <v>42900</v>
      </c>
      <c r="C19" s="8">
        <f t="shared" si="1"/>
        <v>46</v>
      </c>
      <c r="D19" s="12">
        <f>284+123+10</f>
        <v>417</v>
      </c>
    </row>
    <row r="20" spans="1:6">
      <c r="A20" s="6">
        <f t="shared" si="0"/>
        <v>42901</v>
      </c>
      <c r="B20" s="7">
        <v>42901</v>
      </c>
      <c r="C20" s="8">
        <f t="shared" si="1"/>
        <v>48</v>
      </c>
      <c r="D20" s="12">
        <v>465</v>
      </c>
      <c r="E20" s="10" t="s">
        <v>8</v>
      </c>
      <c r="F20" s="11">
        <f>AVERAGE(C20:C26)</f>
        <v>35</v>
      </c>
    </row>
    <row r="21" spans="1:6">
      <c r="A21" s="6">
        <f t="shared" si="0"/>
        <v>42902</v>
      </c>
      <c r="B21" s="7">
        <v>42902</v>
      </c>
      <c r="C21" s="8">
        <f t="shared" si="1"/>
        <v>44</v>
      </c>
      <c r="D21" s="12">
        <f>345+146+18</f>
        <v>509</v>
      </c>
    </row>
    <row r="22" spans="1:6">
      <c r="A22" s="6">
        <f t="shared" si="0"/>
        <v>42903</v>
      </c>
      <c r="B22" s="7">
        <v>42903</v>
      </c>
      <c r="C22" s="8">
        <f t="shared" si="1"/>
        <v>35</v>
      </c>
      <c r="D22" s="12">
        <f>369+155+20</f>
        <v>544</v>
      </c>
    </row>
    <row r="23" spans="1:6">
      <c r="A23" s="6">
        <f t="shared" si="0"/>
        <v>42904</v>
      </c>
      <c r="B23" s="7">
        <v>42904</v>
      </c>
      <c r="C23" s="8">
        <f t="shared" si="1"/>
        <v>30</v>
      </c>
      <c r="D23" s="12">
        <f>392+160+22</f>
        <v>574</v>
      </c>
    </row>
    <row r="24" spans="1:6">
      <c r="A24" s="6">
        <f t="shared" si="0"/>
        <v>42905</v>
      </c>
      <c r="B24" s="7">
        <v>42905</v>
      </c>
      <c r="C24" s="8">
        <f t="shared" si="1"/>
        <v>76</v>
      </c>
      <c r="D24" s="12">
        <f>454+173+23</f>
        <v>650</v>
      </c>
    </row>
    <row r="25" spans="1:6">
      <c r="A25" s="6">
        <f t="shared" si="0"/>
        <v>42906</v>
      </c>
      <c r="B25" s="7">
        <v>42906</v>
      </c>
      <c r="C25" s="8">
        <f t="shared" si="1"/>
        <v>10</v>
      </c>
      <c r="D25" s="12">
        <f>459+178+23</f>
        <v>660</v>
      </c>
    </row>
    <row r="26" spans="1:6">
      <c r="A26" s="6">
        <f t="shared" si="0"/>
        <v>42907</v>
      </c>
      <c r="B26" s="7">
        <v>42907</v>
      </c>
      <c r="C26" s="8">
        <f t="shared" si="1"/>
        <v>2</v>
      </c>
      <c r="D26" s="12">
        <f>460+179+23</f>
        <v>662</v>
      </c>
    </row>
    <row r="27" spans="1:6">
      <c r="A27" s="6">
        <f t="shared" si="0"/>
        <v>42908</v>
      </c>
      <c r="B27" s="7">
        <v>42908</v>
      </c>
      <c r="C27" s="8">
        <f t="shared" si="1"/>
        <v>0</v>
      </c>
      <c r="D27" s="12">
        <f>460+179+23</f>
        <v>662</v>
      </c>
      <c r="E27" s="10" t="s">
        <v>9</v>
      </c>
      <c r="F27" s="11">
        <f>AVERAGE(C27:C33)</f>
        <v>0.7142857142857143</v>
      </c>
    </row>
    <row r="28" spans="1:6">
      <c r="A28" s="6">
        <f t="shared" si="0"/>
        <v>42909</v>
      </c>
      <c r="B28" s="7">
        <v>42909</v>
      </c>
      <c r="C28" s="8">
        <f t="shared" si="1"/>
        <v>0</v>
      </c>
      <c r="D28" s="12">
        <f>460+179+23</f>
        <v>662</v>
      </c>
    </row>
    <row r="29" spans="1:6">
      <c r="A29" s="6">
        <f t="shared" si="0"/>
        <v>42910</v>
      </c>
      <c r="B29" s="7">
        <v>42910</v>
      </c>
      <c r="C29" s="8">
        <f t="shared" si="1"/>
        <v>1</v>
      </c>
      <c r="D29" s="12">
        <f>461+179+23</f>
        <v>663</v>
      </c>
    </row>
    <row r="30" spans="1:6">
      <c r="A30" s="6">
        <f t="shared" si="0"/>
        <v>42911</v>
      </c>
      <c r="B30" s="7">
        <v>42911</v>
      </c>
      <c r="C30" s="8">
        <f t="shared" si="1"/>
        <v>1</v>
      </c>
      <c r="D30" s="12">
        <f>462+179+23</f>
        <v>664</v>
      </c>
    </row>
    <row r="31" spans="1:6">
      <c r="A31" s="6">
        <f t="shared" si="0"/>
        <v>42912</v>
      </c>
      <c r="B31" s="7">
        <v>42912</v>
      </c>
      <c r="C31" s="8">
        <f t="shared" si="1"/>
        <v>1</v>
      </c>
      <c r="D31" s="12">
        <f>462+179+24</f>
        <v>665</v>
      </c>
    </row>
    <row r="32" spans="1:6">
      <c r="A32" s="6">
        <f t="shared" si="0"/>
        <v>42913</v>
      </c>
      <c r="B32" s="7">
        <v>42913</v>
      </c>
      <c r="C32" s="8">
        <f t="shared" si="1"/>
        <v>0</v>
      </c>
      <c r="D32" s="12">
        <f>462+179+24</f>
        <v>665</v>
      </c>
    </row>
    <row r="33" spans="1:6">
      <c r="A33" s="6">
        <f t="shared" si="0"/>
        <v>42914</v>
      </c>
      <c r="B33" s="7">
        <v>42914</v>
      </c>
      <c r="C33" s="8">
        <f t="shared" si="1"/>
        <v>2</v>
      </c>
      <c r="D33" s="12">
        <f>463+179+25</f>
        <v>667</v>
      </c>
    </row>
    <row r="34" spans="1:6">
      <c r="A34" s="6">
        <f t="shared" si="0"/>
        <v>42915</v>
      </c>
      <c r="B34" s="7">
        <v>42915</v>
      </c>
      <c r="C34" s="8">
        <f t="shared" si="1"/>
        <v>0</v>
      </c>
      <c r="D34" s="12">
        <f>463+179+25</f>
        <v>667</v>
      </c>
    </row>
    <row r="35" spans="1:6">
      <c r="A35" s="6">
        <f t="shared" si="0"/>
        <v>42916</v>
      </c>
      <c r="B35" s="7">
        <v>42916</v>
      </c>
      <c r="C35" s="8">
        <f t="shared" si="1"/>
        <v>0</v>
      </c>
      <c r="D35" s="13">
        <f>463+179+25</f>
        <v>667</v>
      </c>
    </row>
    <row r="36" spans="1:6" hidden="1">
      <c r="A36" s="6">
        <f t="shared" si="0"/>
        <v>42886</v>
      </c>
      <c r="B36" s="7">
        <v>42886</v>
      </c>
      <c r="C36" s="8">
        <f t="shared" si="1"/>
        <v>0</v>
      </c>
      <c r="D36" s="12"/>
      <c r="F36" s="14"/>
    </row>
    <row r="37" spans="1:6" ht="15" customHeight="1">
      <c r="B37" s="15" t="s">
        <v>10</v>
      </c>
      <c r="C37" s="16">
        <f>SUM(C6:C35)</f>
        <v>667</v>
      </c>
      <c r="D37" s="17"/>
    </row>
    <row r="38" spans="1:6">
      <c r="C38" s="18"/>
    </row>
    <row r="39" spans="1:6">
      <c r="B39" s="10" t="s">
        <v>11</v>
      </c>
      <c r="C39" s="11">
        <v>200</v>
      </c>
    </row>
    <row r="40" spans="1:6">
      <c r="B40" s="10" t="s">
        <v>12</v>
      </c>
      <c r="C40" s="11">
        <f>C37</f>
        <v>667</v>
      </c>
    </row>
    <row r="41" spans="1:6">
      <c r="B41" s="10" t="s">
        <v>13</v>
      </c>
      <c r="C41" s="11">
        <f>C39-C40</f>
        <v>-467</v>
      </c>
    </row>
    <row r="42" spans="1:6">
      <c r="B42" s="10" t="s">
        <v>14</v>
      </c>
      <c r="C42" s="19">
        <f>C40/C39</f>
        <v>3.335</v>
      </c>
    </row>
    <row r="43" spans="1:6">
      <c r="B43" s="10" t="s">
        <v>15</v>
      </c>
      <c r="C43" s="11">
        <f>IF(C40&lt;C39,0,C40-C39)</f>
        <v>467</v>
      </c>
    </row>
    <row r="44" spans="1:6">
      <c r="B44" s="20" t="s">
        <v>16</v>
      </c>
      <c r="C44" s="11">
        <f ca="1">(C39-C37)/C48</f>
        <v>-17.296296296296298</v>
      </c>
    </row>
    <row r="45" spans="1:6" ht="15" thickBot="1"/>
    <row r="46" spans="1:6">
      <c r="B46" s="21" t="s">
        <v>17</v>
      </c>
      <c r="C46" s="22">
        <f ca="1">C50-C49</f>
        <v>4</v>
      </c>
      <c r="D46" s="23"/>
    </row>
    <row r="47" spans="1:6">
      <c r="B47" s="24" t="s">
        <v>18</v>
      </c>
      <c r="C47" s="25">
        <f ca="1">D49-C49+1</f>
        <v>31</v>
      </c>
      <c r="D47" s="26"/>
    </row>
    <row r="48" spans="1:6">
      <c r="B48" s="24" t="s">
        <v>19</v>
      </c>
      <c r="C48" s="25">
        <f ca="1">+C47-C46</f>
        <v>27</v>
      </c>
      <c r="D48" s="26"/>
    </row>
    <row r="49" spans="2:4">
      <c r="B49" s="27">
        <f ca="1">NOW()</f>
        <v>42921.462916435186</v>
      </c>
      <c r="C49" s="28">
        <f ca="1">EOMONTH(TODAY(),-1)+1</f>
        <v>42917</v>
      </c>
      <c r="D49" s="29">
        <f ca="1">EOMONTH(NOW(),0)</f>
        <v>42947</v>
      </c>
    </row>
    <row r="50" spans="2:4">
      <c r="B50" s="24" t="s">
        <v>20</v>
      </c>
      <c r="C50" s="28">
        <f ca="1">TODAY()</f>
        <v>42921</v>
      </c>
      <c r="D50" s="26"/>
    </row>
    <row r="51" spans="2:4">
      <c r="B51" s="24"/>
      <c r="C51" s="30"/>
      <c r="D51" s="31"/>
    </row>
    <row r="52" spans="2:4">
      <c r="B52" s="32" t="s">
        <v>21</v>
      </c>
      <c r="C52" s="33"/>
      <c r="D52" s="34">
        <f ca="1">TODAY()-1</f>
        <v>42920</v>
      </c>
    </row>
    <row r="53" spans="2:4">
      <c r="B53" s="32" t="s">
        <v>22</v>
      </c>
      <c r="C53" s="33"/>
      <c r="D53" s="35">
        <f ca="1">C46/C47</f>
        <v>0.12903225806451613</v>
      </c>
    </row>
    <row r="54" spans="2:4" ht="15" thickBot="1">
      <c r="B54" s="36" t="s">
        <v>23</v>
      </c>
      <c r="C54" s="37"/>
      <c r="D54" s="38">
        <f ca="1">C48/C47</f>
        <v>0.87096774193548387</v>
      </c>
    </row>
    <row r="57" spans="2:4">
      <c r="B57" s="39" t="s">
        <v>24</v>
      </c>
    </row>
    <row r="58" spans="2:4">
      <c r="B58" s="40"/>
    </row>
    <row r="59" spans="2:4">
      <c r="B59" s="40"/>
    </row>
    <row r="60" spans="2:4">
      <c r="B60" s="40"/>
    </row>
    <row r="61" spans="2:4">
      <c r="B61" s="40"/>
    </row>
    <row r="62" spans="2:4">
      <c r="B62" s="40"/>
    </row>
    <row r="63" spans="2:4">
      <c r="B63" s="40"/>
    </row>
    <row r="64" spans="2:4">
      <c r="B64" s="40"/>
    </row>
    <row r="65" spans="2:2">
      <c r="B65" s="40"/>
    </row>
    <row r="66" spans="2:2">
      <c r="B66" s="40"/>
    </row>
    <row r="67" spans="2:2">
      <c r="B67" s="40"/>
    </row>
    <row r="68" spans="2:2">
      <c r="B68" s="40"/>
    </row>
    <row r="69" spans="2:2">
      <c r="B69" s="40"/>
    </row>
    <row r="70" spans="2:2">
      <c r="B70" s="40"/>
    </row>
    <row r="71" spans="2:2">
      <c r="B71" s="40"/>
    </row>
    <row r="72" spans="2:2">
      <c r="B72" s="40"/>
    </row>
    <row r="73" spans="2:2">
      <c r="B73" s="40"/>
    </row>
    <row r="74" spans="2:2">
      <c r="B74" s="40"/>
    </row>
    <row r="75" spans="2:2">
      <c r="B75" s="40"/>
    </row>
    <row r="76" spans="2:2">
      <c r="B76" s="40"/>
    </row>
    <row r="77" spans="2:2">
      <c r="B77" s="4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7"/>
  <sheetViews>
    <sheetView showGridLines="0" topLeftCell="A18" workbookViewId="0">
      <selection activeCell="D37" sqref="D37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0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>B6</f>
        <v>42887</v>
      </c>
      <c r="B6" s="7">
        <v>42887</v>
      </c>
      <c r="C6" s="8">
        <f>D6</f>
        <v>7</v>
      </c>
      <c r="D6" s="9">
        <v>7</v>
      </c>
      <c r="E6" s="10" t="s">
        <v>6</v>
      </c>
      <c r="F6" s="11">
        <f>AVERAGE(C6:C12)</f>
        <v>9.2857142857142865</v>
      </c>
    </row>
    <row r="7" spans="1:6">
      <c r="A7" s="6">
        <f t="shared" ref="A7:A36" si="0">B7</f>
        <v>42888</v>
      </c>
      <c r="B7" s="7">
        <v>42888</v>
      </c>
      <c r="C7" s="8">
        <f>IF(D7-D6&lt;0,0,D7-D6)</f>
        <v>9</v>
      </c>
      <c r="D7" s="9">
        <f>9+7</f>
        <v>16</v>
      </c>
    </row>
    <row r="8" spans="1:6">
      <c r="A8" s="6">
        <f t="shared" si="0"/>
        <v>42889</v>
      </c>
      <c r="B8" s="7">
        <v>42889</v>
      </c>
      <c r="C8" s="8">
        <f t="shared" ref="C8:C36" si="1">IF(D8-D7&lt;0,0,D8-D7)</f>
        <v>9</v>
      </c>
      <c r="D8" s="9">
        <f>16+9</f>
        <v>25</v>
      </c>
    </row>
    <row r="9" spans="1:6">
      <c r="A9" s="6">
        <f t="shared" si="0"/>
        <v>42890</v>
      </c>
      <c r="B9" s="7">
        <v>42890</v>
      </c>
      <c r="C9" s="8">
        <f t="shared" si="1"/>
        <v>11</v>
      </c>
      <c r="D9" s="9">
        <f>17+19</f>
        <v>36</v>
      </c>
    </row>
    <row r="10" spans="1:6">
      <c r="A10" s="6">
        <f t="shared" si="0"/>
        <v>42891</v>
      </c>
      <c r="B10" s="7">
        <v>42891</v>
      </c>
      <c r="C10" s="8">
        <f t="shared" si="1"/>
        <v>10</v>
      </c>
      <c r="D10" s="9">
        <f>24+22</f>
        <v>46</v>
      </c>
    </row>
    <row r="11" spans="1:6">
      <c r="A11" s="6">
        <f t="shared" si="0"/>
        <v>42892</v>
      </c>
      <c r="B11" s="7">
        <v>42892</v>
      </c>
      <c r="C11" s="8">
        <f t="shared" si="1"/>
        <v>11</v>
      </c>
      <c r="D11" s="9">
        <f>29+23+5</f>
        <v>57</v>
      </c>
    </row>
    <row r="12" spans="1:6">
      <c r="A12" s="6">
        <f t="shared" si="0"/>
        <v>42893</v>
      </c>
      <c r="B12" s="7">
        <v>42893</v>
      </c>
      <c r="C12" s="8">
        <f t="shared" si="1"/>
        <v>8</v>
      </c>
      <c r="D12" s="9">
        <f>33+27+5</f>
        <v>65</v>
      </c>
    </row>
    <row r="13" spans="1:6">
      <c r="A13" s="6">
        <f t="shared" si="0"/>
        <v>42894</v>
      </c>
      <c r="B13" s="7">
        <v>42894</v>
      </c>
      <c r="C13" s="8">
        <f t="shared" si="1"/>
        <v>12</v>
      </c>
      <c r="D13" s="9">
        <f>36+36+5</f>
        <v>77</v>
      </c>
      <c r="E13" s="10" t="s">
        <v>7</v>
      </c>
      <c r="F13" s="11">
        <f>AVERAGE(C13:C19)</f>
        <v>35</v>
      </c>
    </row>
    <row r="14" spans="1:6">
      <c r="A14" s="6">
        <f t="shared" si="0"/>
        <v>42895</v>
      </c>
      <c r="B14" s="7">
        <v>42895</v>
      </c>
      <c r="C14" s="8">
        <f t="shared" si="1"/>
        <v>71</v>
      </c>
      <c r="D14" s="9">
        <f>87+48+13</f>
        <v>148</v>
      </c>
    </row>
    <row r="15" spans="1:6">
      <c r="A15" s="6">
        <f t="shared" si="0"/>
        <v>42896</v>
      </c>
      <c r="B15" s="7">
        <v>42896</v>
      </c>
      <c r="C15" s="8">
        <f t="shared" si="1"/>
        <v>46</v>
      </c>
      <c r="D15" s="12">
        <f>123+56+15</f>
        <v>194</v>
      </c>
    </row>
    <row r="16" spans="1:6">
      <c r="A16" s="6">
        <f t="shared" si="0"/>
        <v>42897</v>
      </c>
      <c r="B16" s="7">
        <v>42897</v>
      </c>
      <c r="C16" s="8">
        <f t="shared" si="1"/>
        <v>36</v>
      </c>
      <c r="D16" s="12">
        <f>152+61+17</f>
        <v>230</v>
      </c>
    </row>
    <row r="17" spans="1:6">
      <c r="A17" s="6">
        <f t="shared" si="0"/>
        <v>42898</v>
      </c>
      <c r="B17" s="7">
        <v>42898</v>
      </c>
      <c r="C17" s="8">
        <f t="shared" si="1"/>
        <v>22</v>
      </c>
      <c r="D17" s="12">
        <f>161+72+19</f>
        <v>252</v>
      </c>
    </row>
    <row r="18" spans="1:6">
      <c r="A18" s="6">
        <f t="shared" si="0"/>
        <v>42899</v>
      </c>
      <c r="B18" s="7">
        <v>42899</v>
      </c>
      <c r="C18" s="8">
        <f t="shared" si="1"/>
        <v>20</v>
      </c>
      <c r="D18" s="12">
        <f>167+84+21</f>
        <v>272</v>
      </c>
    </row>
    <row r="19" spans="1:6">
      <c r="A19" s="6">
        <f t="shared" si="0"/>
        <v>42900</v>
      </c>
      <c r="B19" s="7">
        <v>42900</v>
      </c>
      <c r="C19" s="8">
        <f t="shared" si="1"/>
        <v>38</v>
      </c>
      <c r="D19" s="12">
        <f>189+96+25</f>
        <v>310</v>
      </c>
    </row>
    <row r="20" spans="1:6">
      <c r="A20" s="6">
        <f t="shared" si="0"/>
        <v>42901</v>
      </c>
      <c r="B20" s="7">
        <v>42901</v>
      </c>
      <c r="C20" s="8">
        <f t="shared" si="1"/>
        <v>28</v>
      </c>
      <c r="D20" s="12">
        <f>203+27+108</f>
        <v>338</v>
      </c>
      <c r="E20" s="10" t="s">
        <v>8</v>
      </c>
      <c r="F20" s="11">
        <f>AVERAGE(C20:C26)</f>
        <v>24.571428571428573</v>
      </c>
    </row>
    <row r="21" spans="1:6">
      <c r="A21" s="6">
        <f t="shared" si="0"/>
        <v>42902</v>
      </c>
      <c r="B21" s="7">
        <v>42902</v>
      </c>
      <c r="C21" s="8">
        <f t="shared" si="1"/>
        <v>16</v>
      </c>
      <c r="D21" s="12">
        <f>216+110+28</f>
        <v>354</v>
      </c>
    </row>
    <row r="22" spans="1:6">
      <c r="A22" s="6">
        <f t="shared" si="0"/>
        <v>42903</v>
      </c>
      <c r="B22" s="7">
        <v>42903</v>
      </c>
      <c r="C22" s="8">
        <f t="shared" si="1"/>
        <v>20</v>
      </c>
      <c r="D22" s="12">
        <f>227+119+28</f>
        <v>374</v>
      </c>
    </row>
    <row r="23" spans="1:6">
      <c r="A23" s="6">
        <f t="shared" si="0"/>
        <v>42904</v>
      </c>
      <c r="B23" s="7">
        <v>42904</v>
      </c>
      <c r="C23" s="8">
        <f t="shared" si="1"/>
        <v>20</v>
      </c>
      <c r="D23" s="12">
        <f>239+127+28</f>
        <v>394</v>
      </c>
    </row>
    <row r="24" spans="1:6">
      <c r="A24" s="6">
        <f t="shared" si="0"/>
        <v>42905</v>
      </c>
      <c r="B24" s="7">
        <v>42905</v>
      </c>
      <c r="C24" s="8">
        <f t="shared" si="1"/>
        <v>84</v>
      </c>
      <c r="D24" s="12">
        <f>311+139+28</f>
        <v>478</v>
      </c>
    </row>
    <row r="25" spans="1:6">
      <c r="A25" s="6">
        <f t="shared" si="0"/>
        <v>42906</v>
      </c>
      <c r="B25" s="7">
        <v>42906</v>
      </c>
      <c r="C25" s="8">
        <f t="shared" si="1"/>
        <v>3</v>
      </c>
      <c r="D25" s="12">
        <f>313+139+29</f>
        <v>481</v>
      </c>
    </row>
    <row r="26" spans="1:6">
      <c r="A26" s="6">
        <f t="shared" si="0"/>
        <v>42907</v>
      </c>
      <c r="B26" s="7">
        <v>42907</v>
      </c>
      <c r="C26" s="8">
        <f t="shared" si="1"/>
        <v>1</v>
      </c>
      <c r="D26" s="12">
        <f>314+139+29</f>
        <v>482</v>
      </c>
    </row>
    <row r="27" spans="1:6">
      <c r="A27" s="6">
        <f t="shared" si="0"/>
        <v>42908</v>
      </c>
      <c r="B27" s="7">
        <v>42908</v>
      </c>
      <c r="C27" s="8">
        <f t="shared" si="1"/>
        <v>2</v>
      </c>
      <c r="D27" s="12">
        <f>316+139+29</f>
        <v>484</v>
      </c>
      <c r="E27" s="10" t="s">
        <v>9</v>
      </c>
      <c r="F27" s="11">
        <f>AVERAGE(C27:C33)</f>
        <v>3.1428571428571428</v>
      </c>
    </row>
    <row r="28" spans="1:6">
      <c r="A28" s="6">
        <f t="shared" si="0"/>
        <v>42909</v>
      </c>
      <c r="B28" s="7">
        <v>42909</v>
      </c>
      <c r="C28" s="8">
        <f t="shared" si="1"/>
        <v>3</v>
      </c>
      <c r="D28" s="12">
        <f>318+139+30</f>
        <v>487</v>
      </c>
    </row>
    <row r="29" spans="1:6">
      <c r="A29" s="6">
        <f t="shared" si="0"/>
        <v>42910</v>
      </c>
      <c r="B29" s="7">
        <v>42910</v>
      </c>
      <c r="C29" s="8">
        <f t="shared" si="1"/>
        <v>6</v>
      </c>
      <c r="D29" s="12">
        <f>322+141+30</f>
        <v>493</v>
      </c>
    </row>
    <row r="30" spans="1:6">
      <c r="A30" s="6">
        <f t="shared" si="0"/>
        <v>42911</v>
      </c>
      <c r="B30" s="7">
        <v>42911</v>
      </c>
      <c r="C30" s="8">
        <f t="shared" si="1"/>
        <v>0</v>
      </c>
      <c r="D30" s="12">
        <f>322+141+30</f>
        <v>493</v>
      </c>
    </row>
    <row r="31" spans="1:6">
      <c r="A31" s="6">
        <f t="shared" si="0"/>
        <v>42912</v>
      </c>
      <c r="B31" s="7">
        <v>42912</v>
      </c>
      <c r="C31" s="8">
        <f t="shared" si="1"/>
        <v>4</v>
      </c>
      <c r="D31" s="12">
        <f>325+141+31</f>
        <v>497</v>
      </c>
    </row>
    <row r="32" spans="1:6">
      <c r="A32" s="6">
        <f t="shared" si="0"/>
        <v>42913</v>
      </c>
      <c r="B32" s="7">
        <v>42913</v>
      </c>
      <c r="C32" s="8">
        <f t="shared" si="1"/>
        <v>0</v>
      </c>
      <c r="D32" s="12">
        <f>325+141+31</f>
        <v>497</v>
      </c>
    </row>
    <row r="33" spans="1:6">
      <c r="A33" s="6">
        <f t="shared" si="0"/>
        <v>42914</v>
      </c>
      <c r="B33" s="7">
        <v>42914</v>
      </c>
      <c r="C33" s="8">
        <f t="shared" si="1"/>
        <v>7</v>
      </c>
      <c r="D33" s="12">
        <f>328+142+34</f>
        <v>504</v>
      </c>
    </row>
    <row r="34" spans="1:6">
      <c r="A34" s="6">
        <f t="shared" si="0"/>
        <v>42915</v>
      </c>
      <c r="B34" s="7">
        <v>42915</v>
      </c>
      <c r="C34" s="8">
        <f t="shared" si="1"/>
        <v>12</v>
      </c>
      <c r="D34" s="12">
        <f>334+144+38</f>
        <v>516</v>
      </c>
    </row>
    <row r="35" spans="1:6">
      <c r="A35" s="6">
        <f t="shared" si="0"/>
        <v>42916</v>
      </c>
      <c r="B35" s="7">
        <v>42916</v>
      </c>
      <c r="C35" s="8">
        <f t="shared" si="1"/>
        <v>9</v>
      </c>
      <c r="D35" s="12">
        <f>336+149+40</f>
        <v>525</v>
      </c>
    </row>
    <row r="36" spans="1:6" hidden="1">
      <c r="A36" s="6">
        <f t="shared" si="0"/>
        <v>42886</v>
      </c>
      <c r="B36" s="7">
        <v>42886</v>
      </c>
      <c r="C36" s="8">
        <f t="shared" si="1"/>
        <v>0</v>
      </c>
      <c r="D36" s="12"/>
      <c r="F36" s="14"/>
    </row>
    <row r="37" spans="1:6" ht="15" customHeight="1">
      <c r="B37" s="15" t="s">
        <v>10</v>
      </c>
      <c r="C37" s="16">
        <f>SUM(C6:C35)</f>
        <v>525</v>
      </c>
      <c r="D37" s="17"/>
    </row>
    <row r="38" spans="1:6">
      <c r="C38" s="18"/>
    </row>
    <row r="39" spans="1:6">
      <c r="B39" s="10" t="s">
        <v>11</v>
      </c>
      <c r="C39" s="11">
        <v>200</v>
      </c>
    </row>
    <row r="40" spans="1:6">
      <c r="B40" s="10" t="s">
        <v>12</v>
      </c>
      <c r="C40" s="11">
        <f>C37</f>
        <v>525</v>
      </c>
    </row>
    <row r="41" spans="1:6">
      <c r="B41" s="10" t="s">
        <v>13</v>
      </c>
      <c r="C41" s="11">
        <f>C39-C40</f>
        <v>-325</v>
      </c>
    </row>
    <row r="42" spans="1:6">
      <c r="B42" s="10" t="s">
        <v>14</v>
      </c>
      <c r="C42" s="19">
        <f>C40/C39</f>
        <v>2.625</v>
      </c>
    </row>
    <row r="43" spans="1:6">
      <c r="B43" s="10" t="s">
        <v>15</v>
      </c>
      <c r="C43" s="11">
        <f>IF(C40&lt;C39,0,C40-C39)</f>
        <v>325</v>
      </c>
    </row>
    <row r="44" spans="1:6">
      <c r="B44" s="20" t="s">
        <v>16</v>
      </c>
      <c r="C44" s="11">
        <f ca="1">(C39-C37)/C48</f>
        <v>-12.037037037037036</v>
      </c>
    </row>
    <row r="45" spans="1:6" ht="15" thickBot="1"/>
    <row r="46" spans="1:6">
      <c r="B46" s="21" t="s">
        <v>17</v>
      </c>
      <c r="C46" s="22">
        <f ca="1">C50-C49</f>
        <v>4</v>
      </c>
      <c r="D46" s="23"/>
    </row>
    <row r="47" spans="1:6">
      <c r="B47" s="24" t="s">
        <v>18</v>
      </c>
      <c r="C47" s="25">
        <f ca="1">D49-C49+1</f>
        <v>31</v>
      </c>
      <c r="D47" s="26"/>
    </row>
    <row r="48" spans="1:6">
      <c r="B48" s="24" t="s">
        <v>19</v>
      </c>
      <c r="C48" s="25">
        <f ca="1">+C47-C46</f>
        <v>27</v>
      </c>
      <c r="D48" s="26"/>
    </row>
    <row r="49" spans="2:4">
      <c r="B49" s="27">
        <f ca="1">NOW()</f>
        <v>42921.462916435186</v>
      </c>
      <c r="C49" s="28">
        <f ca="1">EOMONTH(TODAY(),-1)+1</f>
        <v>42917</v>
      </c>
      <c r="D49" s="29">
        <f ca="1">EOMONTH(NOW(),0)</f>
        <v>42947</v>
      </c>
    </row>
    <row r="50" spans="2:4">
      <c r="B50" s="24" t="s">
        <v>20</v>
      </c>
      <c r="C50" s="28">
        <f ca="1">TODAY()</f>
        <v>42921</v>
      </c>
      <c r="D50" s="26"/>
    </row>
    <row r="51" spans="2:4">
      <c r="B51" s="24"/>
      <c r="C51" s="30"/>
      <c r="D51" s="31"/>
    </row>
    <row r="52" spans="2:4">
      <c r="B52" s="32" t="s">
        <v>21</v>
      </c>
      <c r="C52" s="33"/>
      <c r="D52" s="34">
        <f ca="1">TODAY()-1</f>
        <v>42920</v>
      </c>
    </row>
    <row r="53" spans="2:4">
      <c r="B53" s="32" t="s">
        <v>22</v>
      </c>
      <c r="C53" s="33"/>
      <c r="D53" s="35">
        <f ca="1">C46/C47</f>
        <v>0.12903225806451613</v>
      </c>
    </row>
    <row r="54" spans="2:4" ht="15" thickBot="1">
      <c r="B54" s="36" t="s">
        <v>23</v>
      </c>
      <c r="C54" s="37"/>
      <c r="D54" s="38">
        <f ca="1">C48/C47</f>
        <v>0.87096774193548387</v>
      </c>
    </row>
    <row r="57" spans="2:4">
      <c r="B57" s="39" t="s">
        <v>24</v>
      </c>
    </row>
    <row r="58" spans="2:4">
      <c r="B58" s="40"/>
    </row>
    <row r="59" spans="2:4">
      <c r="B59" s="40"/>
    </row>
    <row r="60" spans="2:4">
      <c r="B60" s="40"/>
    </row>
    <row r="61" spans="2:4">
      <c r="B61" s="40"/>
    </row>
    <row r="62" spans="2:4">
      <c r="B62" s="40"/>
    </row>
    <row r="63" spans="2:4">
      <c r="B63" s="40"/>
    </row>
    <row r="64" spans="2:4">
      <c r="B64" s="40"/>
    </row>
    <row r="65" spans="2:2">
      <c r="B65" s="40"/>
    </row>
    <row r="66" spans="2:2">
      <c r="B66" s="40"/>
    </row>
    <row r="67" spans="2:2">
      <c r="B67" s="40"/>
    </row>
    <row r="68" spans="2:2">
      <c r="B68" s="40"/>
    </row>
    <row r="69" spans="2:2">
      <c r="B69" s="40"/>
    </row>
    <row r="70" spans="2:2">
      <c r="B70" s="40"/>
    </row>
    <row r="71" spans="2:2">
      <c r="B71" s="40"/>
    </row>
    <row r="72" spans="2:2">
      <c r="B72" s="40"/>
    </row>
    <row r="73" spans="2:2">
      <c r="B73" s="40"/>
    </row>
    <row r="74" spans="2:2">
      <c r="B74" s="40"/>
    </row>
    <row r="75" spans="2:2">
      <c r="B75" s="40"/>
    </row>
    <row r="76" spans="2:2">
      <c r="B76" s="40"/>
    </row>
    <row r="77" spans="2:2">
      <c r="B77" s="4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7"/>
  <sheetViews>
    <sheetView showGridLines="0" workbookViewId="0">
      <selection activeCell="D6" sqref="D6:D35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25</v>
      </c>
    </row>
    <row r="4" spans="1:6">
      <c r="B4" s="2" t="s">
        <v>26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>B6</f>
        <v>42856</v>
      </c>
      <c r="B6" s="7">
        <v>42856</v>
      </c>
      <c r="C6" s="8">
        <f>D6</f>
        <v>0</v>
      </c>
      <c r="D6" s="9"/>
      <c r="E6" s="10" t="s">
        <v>6</v>
      </c>
      <c r="F6" s="11">
        <f>AVERAGE(C6:C12)</f>
        <v>0</v>
      </c>
    </row>
    <row r="7" spans="1:6">
      <c r="A7" s="6">
        <f t="shared" ref="A7:A36" si="0">B7</f>
        <v>42857</v>
      </c>
      <c r="B7" s="7">
        <v>42857</v>
      </c>
      <c r="C7" s="8">
        <f>IF(D7-D6&lt;0,0,D7-D6)</f>
        <v>0</v>
      </c>
      <c r="D7" s="9"/>
    </row>
    <row r="8" spans="1:6">
      <c r="A8" s="6">
        <f t="shared" si="0"/>
        <v>42858</v>
      </c>
      <c r="B8" s="7">
        <v>42858</v>
      </c>
      <c r="C8" s="8">
        <f t="shared" ref="C8:C36" si="1">IF(D8-D7&lt;0,0,D8-D7)</f>
        <v>0</v>
      </c>
      <c r="D8" s="9"/>
    </row>
    <row r="9" spans="1:6">
      <c r="A9" s="6">
        <f t="shared" si="0"/>
        <v>42859</v>
      </c>
      <c r="B9" s="7">
        <v>42859</v>
      </c>
      <c r="C9" s="8">
        <f t="shared" si="1"/>
        <v>0</v>
      </c>
      <c r="D9" s="9"/>
    </row>
    <row r="10" spans="1:6">
      <c r="A10" s="6">
        <f t="shared" si="0"/>
        <v>42860</v>
      </c>
      <c r="B10" s="7">
        <v>42860</v>
      </c>
      <c r="C10" s="8">
        <f t="shared" si="1"/>
        <v>0</v>
      </c>
      <c r="D10" s="9"/>
    </row>
    <row r="11" spans="1:6">
      <c r="A11" s="6">
        <f t="shared" si="0"/>
        <v>42861</v>
      </c>
      <c r="B11" s="7">
        <v>42861</v>
      </c>
      <c r="C11" s="8">
        <f t="shared" si="1"/>
        <v>0</v>
      </c>
      <c r="D11" s="9"/>
    </row>
    <row r="12" spans="1:6">
      <c r="A12" s="6">
        <f t="shared" si="0"/>
        <v>42862</v>
      </c>
      <c r="B12" s="7">
        <v>42862</v>
      </c>
      <c r="C12" s="8">
        <f t="shared" si="1"/>
        <v>0</v>
      </c>
      <c r="D12" s="9"/>
    </row>
    <row r="13" spans="1:6">
      <c r="A13" s="6">
        <f t="shared" si="0"/>
        <v>42863</v>
      </c>
      <c r="B13" s="7">
        <v>42863</v>
      </c>
      <c r="C13" s="8">
        <f t="shared" si="1"/>
        <v>0</v>
      </c>
      <c r="D13" s="9"/>
      <c r="E13" s="10" t="s">
        <v>7</v>
      </c>
      <c r="F13" s="11">
        <f>AVERAGE(C13:C19)</f>
        <v>0</v>
      </c>
    </row>
    <row r="14" spans="1:6">
      <c r="A14" s="6">
        <f t="shared" si="0"/>
        <v>42864</v>
      </c>
      <c r="B14" s="7">
        <v>42864</v>
      </c>
      <c r="C14" s="8">
        <f t="shared" si="1"/>
        <v>0</v>
      </c>
      <c r="D14" s="9"/>
    </row>
    <row r="15" spans="1:6">
      <c r="A15" s="6">
        <f t="shared" si="0"/>
        <v>42865</v>
      </c>
      <c r="B15" s="7">
        <v>42865</v>
      </c>
      <c r="C15" s="8">
        <f t="shared" si="1"/>
        <v>0</v>
      </c>
      <c r="D15" s="12"/>
    </row>
    <row r="16" spans="1:6">
      <c r="A16" s="6">
        <f t="shared" si="0"/>
        <v>42866</v>
      </c>
      <c r="B16" s="7">
        <v>42866</v>
      </c>
      <c r="C16" s="8">
        <f t="shared" si="1"/>
        <v>0</v>
      </c>
      <c r="D16" s="12"/>
    </row>
    <row r="17" spans="1:6">
      <c r="A17" s="6">
        <f t="shared" si="0"/>
        <v>42867</v>
      </c>
      <c r="B17" s="7">
        <v>42867</v>
      </c>
      <c r="C17" s="8">
        <f t="shared" si="1"/>
        <v>0</v>
      </c>
      <c r="D17" s="12"/>
    </row>
    <row r="18" spans="1:6">
      <c r="A18" s="6">
        <f t="shared" si="0"/>
        <v>42868</v>
      </c>
      <c r="B18" s="7">
        <v>42868</v>
      </c>
      <c r="C18" s="8">
        <f t="shared" si="1"/>
        <v>0</v>
      </c>
      <c r="D18" s="12"/>
    </row>
    <row r="19" spans="1:6">
      <c r="A19" s="6">
        <f t="shared" si="0"/>
        <v>42869</v>
      </c>
      <c r="B19" s="7">
        <v>42869</v>
      </c>
      <c r="C19" s="8">
        <f t="shared" si="1"/>
        <v>0</v>
      </c>
      <c r="D19" s="12"/>
    </row>
    <row r="20" spans="1:6">
      <c r="A20" s="6">
        <f t="shared" si="0"/>
        <v>42870</v>
      </c>
      <c r="B20" s="7">
        <v>42870</v>
      </c>
      <c r="C20" s="8">
        <f t="shared" si="1"/>
        <v>0</v>
      </c>
      <c r="D20" s="12"/>
      <c r="E20" s="10" t="s">
        <v>8</v>
      </c>
      <c r="F20" s="11">
        <f>AVERAGE(C20:C26)</f>
        <v>0</v>
      </c>
    </row>
    <row r="21" spans="1:6">
      <c r="A21" s="6">
        <f t="shared" si="0"/>
        <v>42871</v>
      </c>
      <c r="B21" s="7">
        <v>42871</v>
      </c>
      <c r="C21" s="8">
        <f t="shared" si="1"/>
        <v>0</v>
      </c>
      <c r="D21" s="12"/>
    </row>
    <row r="22" spans="1:6">
      <c r="A22" s="6">
        <f t="shared" si="0"/>
        <v>42872</v>
      </c>
      <c r="B22" s="7">
        <v>42872</v>
      </c>
      <c r="C22" s="8">
        <f t="shared" si="1"/>
        <v>0</v>
      </c>
      <c r="D22" s="12"/>
    </row>
    <row r="23" spans="1:6">
      <c r="A23" s="6">
        <f t="shared" si="0"/>
        <v>42873</v>
      </c>
      <c r="B23" s="7">
        <v>42873</v>
      </c>
      <c r="C23" s="8">
        <f t="shared" si="1"/>
        <v>0</v>
      </c>
      <c r="D23" s="12"/>
    </row>
    <row r="24" spans="1:6">
      <c r="A24" s="6">
        <f t="shared" si="0"/>
        <v>42874</v>
      </c>
      <c r="B24" s="7">
        <v>42874</v>
      </c>
      <c r="C24" s="8">
        <f t="shared" si="1"/>
        <v>0</v>
      </c>
      <c r="D24" s="12"/>
    </row>
    <row r="25" spans="1:6">
      <c r="A25" s="6">
        <f t="shared" si="0"/>
        <v>42875</v>
      </c>
      <c r="B25" s="7">
        <v>42875</v>
      </c>
      <c r="C25" s="8">
        <f t="shared" si="1"/>
        <v>0</v>
      </c>
      <c r="D25" s="12"/>
    </row>
    <row r="26" spans="1:6">
      <c r="A26" s="6">
        <f t="shared" si="0"/>
        <v>42876</v>
      </c>
      <c r="B26" s="7">
        <v>42876</v>
      </c>
      <c r="C26" s="8">
        <f t="shared" si="1"/>
        <v>0</v>
      </c>
      <c r="D26" s="12"/>
    </row>
    <row r="27" spans="1:6">
      <c r="A27" s="6">
        <f t="shared" si="0"/>
        <v>42877</v>
      </c>
      <c r="B27" s="7">
        <v>42877</v>
      </c>
      <c r="C27" s="8">
        <f t="shared" si="1"/>
        <v>0</v>
      </c>
      <c r="D27" s="12"/>
      <c r="E27" s="10" t="s">
        <v>9</v>
      </c>
      <c r="F27" s="11">
        <f>AVERAGE(C27:C33)</f>
        <v>0</v>
      </c>
    </row>
    <row r="28" spans="1:6">
      <c r="A28" s="6">
        <f t="shared" si="0"/>
        <v>42878</v>
      </c>
      <c r="B28" s="7">
        <v>42878</v>
      </c>
      <c r="C28" s="8">
        <f t="shared" si="1"/>
        <v>0</v>
      </c>
      <c r="D28" s="12"/>
    </row>
    <row r="29" spans="1:6">
      <c r="A29" s="6">
        <f t="shared" si="0"/>
        <v>42879</v>
      </c>
      <c r="B29" s="7">
        <v>42879</v>
      </c>
      <c r="C29" s="8">
        <f t="shared" si="1"/>
        <v>0</v>
      </c>
      <c r="D29" s="12"/>
    </row>
    <row r="30" spans="1:6">
      <c r="A30" s="6">
        <f t="shared" si="0"/>
        <v>42880</v>
      </c>
      <c r="B30" s="7">
        <v>42880</v>
      </c>
      <c r="C30" s="8">
        <f t="shared" si="1"/>
        <v>0</v>
      </c>
      <c r="D30" s="12"/>
    </row>
    <row r="31" spans="1:6">
      <c r="A31" s="6">
        <f t="shared" si="0"/>
        <v>42881</v>
      </c>
      <c r="B31" s="7">
        <v>42881</v>
      </c>
      <c r="C31" s="8">
        <f t="shared" si="1"/>
        <v>0</v>
      </c>
      <c r="D31" s="12"/>
    </row>
    <row r="32" spans="1:6">
      <c r="A32" s="6">
        <f t="shared" si="0"/>
        <v>42882</v>
      </c>
      <c r="B32" s="7">
        <v>42882</v>
      </c>
      <c r="C32" s="8">
        <f t="shared" si="1"/>
        <v>0</v>
      </c>
      <c r="D32" s="12"/>
    </row>
    <row r="33" spans="1:6">
      <c r="A33" s="6">
        <f t="shared" si="0"/>
        <v>42883</v>
      </c>
      <c r="B33" s="7">
        <v>42883</v>
      </c>
      <c r="C33" s="8">
        <f t="shared" si="1"/>
        <v>0</v>
      </c>
      <c r="D33" s="12"/>
    </row>
    <row r="34" spans="1:6">
      <c r="A34" s="6">
        <f t="shared" si="0"/>
        <v>42884</v>
      </c>
      <c r="B34" s="7">
        <v>42884</v>
      </c>
      <c r="C34" s="8">
        <f t="shared" si="1"/>
        <v>0</v>
      </c>
      <c r="D34" s="12"/>
    </row>
    <row r="35" spans="1:6">
      <c r="A35" s="6">
        <f t="shared" si="0"/>
        <v>42885</v>
      </c>
      <c r="B35" s="7">
        <v>42885</v>
      </c>
      <c r="C35" s="8">
        <f t="shared" si="1"/>
        <v>0</v>
      </c>
      <c r="D35" s="12"/>
    </row>
    <row r="36" spans="1:6" hidden="1">
      <c r="A36" s="6">
        <f t="shared" si="0"/>
        <v>42825</v>
      </c>
      <c r="B36" s="7">
        <v>42825</v>
      </c>
      <c r="C36" s="8">
        <f t="shared" si="1"/>
        <v>0</v>
      </c>
      <c r="D36" s="12"/>
      <c r="F36" s="14"/>
    </row>
    <row r="37" spans="1:6" ht="15" customHeight="1">
      <c r="B37" s="15" t="s">
        <v>10</v>
      </c>
      <c r="C37" s="16">
        <f>SUM(C6:C35)</f>
        <v>0</v>
      </c>
      <c r="D37" s="17"/>
    </row>
    <row r="38" spans="1:6">
      <c r="C38" s="18"/>
    </row>
    <row r="39" spans="1:6">
      <c r="B39" s="10" t="s">
        <v>11</v>
      </c>
      <c r="C39" s="11">
        <v>500</v>
      </c>
    </row>
    <row r="40" spans="1:6">
      <c r="B40" s="10" t="s">
        <v>12</v>
      </c>
      <c r="C40" s="11">
        <f>C37</f>
        <v>0</v>
      </c>
    </row>
    <row r="41" spans="1:6">
      <c r="B41" s="10" t="s">
        <v>13</v>
      </c>
      <c r="C41" s="11">
        <f>C39-C40</f>
        <v>500</v>
      </c>
    </row>
    <row r="42" spans="1:6">
      <c r="B42" s="10" t="s">
        <v>14</v>
      </c>
      <c r="C42" s="19">
        <f>C40/C39</f>
        <v>0</v>
      </c>
    </row>
    <row r="43" spans="1:6">
      <c r="B43" s="10" t="s">
        <v>15</v>
      </c>
      <c r="C43" s="11">
        <f>IF(C40&lt;C39,0,C40-C39)</f>
        <v>0</v>
      </c>
    </row>
    <row r="44" spans="1:6">
      <c r="B44" s="20" t="s">
        <v>16</v>
      </c>
      <c r="C44" s="11">
        <f ca="1">(C39-C37)/C48</f>
        <v>18.518518518518519</v>
      </c>
    </row>
    <row r="45" spans="1:6" ht="15" thickBot="1"/>
    <row r="46" spans="1:6">
      <c r="B46" s="21" t="s">
        <v>17</v>
      </c>
      <c r="C46" s="22">
        <f ca="1">C50-C49</f>
        <v>4</v>
      </c>
      <c r="D46" s="23"/>
    </row>
    <row r="47" spans="1:6">
      <c r="B47" s="24" t="s">
        <v>18</v>
      </c>
      <c r="C47" s="25">
        <f ca="1">D49-C49+1</f>
        <v>31</v>
      </c>
      <c r="D47" s="26"/>
    </row>
    <row r="48" spans="1:6">
      <c r="B48" s="24" t="s">
        <v>19</v>
      </c>
      <c r="C48" s="25">
        <f ca="1">+C47-C46</f>
        <v>27</v>
      </c>
      <c r="D48" s="26"/>
    </row>
    <row r="49" spans="2:4">
      <c r="B49" s="27">
        <f ca="1">NOW()</f>
        <v>42921.462916435186</v>
      </c>
      <c r="C49" s="28">
        <f ca="1">EOMONTH(TODAY(),-1)+1</f>
        <v>42917</v>
      </c>
      <c r="D49" s="29">
        <f ca="1">EOMONTH(NOW(),0)</f>
        <v>42947</v>
      </c>
    </row>
    <row r="50" spans="2:4">
      <c r="B50" s="24" t="s">
        <v>20</v>
      </c>
      <c r="C50" s="28">
        <f ca="1">TODAY()</f>
        <v>42921</v>
      </c>
      <c r="D50" s="26"/>
    </row>
    <row r="51" spans="2:4">
      <c r="B51" s="24"/>
      <c r="C51" s="30"/>
      <c r="D51" s="31"/>
    </row>
    <row r="52" spans="2:4">
      <c r="B52" s="32" t="s">
        <v>21</v>
      </c>
      <c r="C52" s="33"/>
      <c r="D52" s="34">
        <f ca="1">TODAY()-1</f>
        <v>42920</v>
      </c>
    </row>
    <row r="53" spans="2:4">
      <c r="B53" s="32" t="s">
        <v>22</v>
      </c>
      <c r="C53" s="33"/>
      <c r="D53" s="35">
        <f ca="1">C46/C47</f>
        <v>0.12903225806451613</v>
      </c>
    </row>
    <row r="54" spans="2:4" ht="15" thickBot="1">
      <c r="B54" s="36" t="s">
        <v>23</v>
      </c>
      <c r="C54" s="37"/>
      <c r="D54" s="38">
        <f ca="1">C48/C47</f>
        <v>0.87096774193548387</v>
      </c>
    </row>
    <row r="57" spans="2:4">
      <c r="B57" s="39" t="s">
        <v>24</v>
      </c>
    </row>
    <row r="58" spans="2:4">
      <c r="B58" s="40"/>
    </row>
    <row r="59" spans="2:4">
      <c r="B59" s="40"/>
    </row>
    <row r="60" spans="2:4">
      <c r="B60" s="40"/>
    </row>
    <row r="61" spans="2:4">
      <c r="B61" s="40"/>
    </row>
    <row r="62" spans="2:4">
      <c r="B62" s="40"/>
    </row>
    <row r="63" spans="2:4">
      <c r="B63" s="40"/>
    </row>
    <row r="64" spans="2:4">
      <c r="B64" s="40"/>
    </row>
    <row r="65" spans="2:2">
      <c r="B65" s="40"/>
    </row>
    <row r="66" spans="2:2">
      <c r="B66" s="40"/>
    </row>
    <row r="67" spans="2:2">
      <c r="B67" s="40"/>
    </row>
    <row r="68" spans="2:2">
      <c r="B68" s="40"/>
    </row>
    <row r="69" spans="2:2">
      <c r="B69" s="40"/>
    </row>
    <row r="70" spans="2:2">
      <c r="B70" s="40"/>
    </row>
    <row r="71" spans="2:2">
      <c r="B71" s="40"/>
    </row>
    <row r="72" spans="2:2">
      <c r="B72" s="40"/>
    </row>
    <row r="73" spans="2:2">
      <c r="B73" s="40"/>
    </row>
    <row r="74" spans="2:2">
      <c r="B74" s="40"/>
    </row>
    <row r="75" spans="2:2">
      <c r="B75" s="40"/>
    </row>
    <row r="76" spans="2:2">
      <c r="B76" s="40"/>
    </row>
    <row r="77" spans="2:2">
      <c r="B77" s="4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7"/>
  <sheetViews>
    <sheetView showGridLines="0" tabSelected="1" topLeftCell="A15" workbookViewId="0">
      <selection activeCell="G30" sqref="G30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25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>B6</f>
        <v>42887</v>
      </c>
      <c r="B6" s="7">
        <v>42887</v>
      </c>
      <c r="C6" s="8">
        <f>D6</f>
        <v>77</v>
      </c>
      <c r="D6" s="9">
        <v>77</v>
      </c>
      <c r="E6" s="10" t="s">
        <v>6</v>
      </c>
      <c r="F6" s="11">
        <f>AVERAGE(C6:C12)</f>
        <v>61</v>
      </c>
    </row>
    <row r="7" spans="1:6">
      <c r="A7" s="6">
        <f t="shared" ref="A7:A36" si="0">B7</f>
        <v>42888</v>
      </c>
      <c r="B7" s="7">
        <v>42888</v>
      </c>
      <c r="C7" s="8">
        <f>IF(D7-D6&lt;0,0,D7-D6)</f>
        <v>47</v>
      </c>
      <c r="D7" s="9">
        <f>99+25</f>
        <v>124</v>
      </c>
    </row>
    <row r="8" spans="1:6">
      <c r="A8" s="6">
        <f t="shared" si="0"/>
        <v>42889</v>
      </c>
      <c r="B8" s="7">
        <v>42889</v>
      </c>
      <c r="C8" s="8">
        <f t="shared" ref="C8:C36" si="1">IF(D8-D7&lt;0,0,D8-D7)</f>
        <v>62</v>
      </c>
      <c r="D8" s="9">
        <f>129+54+3</f>
        <v>186</v>
      </c>
    </row>
    <row r="9" spans="1:6">
      <c r="A9" s="6">
        <f t="shared" si="0"/>
        <v>42890</v>
      </c>
      <c r="B9" s="7">
        <v>42890</v>
      </c>
      <c r="C9" s="8">
        <f t="shared" si="1"/>
        <v>60</v>
      </c>
      <c r="D9" s="9">
        <f>150+89+7</f>
        <v>246</v>
      </c>
    </row>
    <row r="10" spans="1:6">
      <c r="A10" s="6">
        <f t="shared" si="0"/>
        <v>42891</v>
      </c>
      <c r="B10" s="7">
        <v>42891</v>
      </c>
      <c r="C10" s="8">
        <f t="shared" si="1"/>
        <v>65</v>
      </c>
      <c r="D10" s="9">
        <f>183+112+16</f>
        <v>311</v>
      </c>
    </row>
    <row r="11" spans="1:6">
      <c r="A11" s="6">
        <f t="shared" si="0"/>
        <v>42892</v>
      </c>
      <c r="B11" s="7">
        <v>42892</v>
      </c>
      <c r="C11" s="8">
        <f t="shared" si="1"/>
        <v>63</v>
      </c>
      <c r="D11" s="9">
        <f>214+139+21</f>
        <v>374</v>
      </c>
    </row>
    <row r="12" spans="1:6">
      <c r="A12" s="6">
        <f t="shared" si="0"/>
        <v>42893</v>
      </c>
      <c r="B12" s="7">
        <v>42893</v>
      </c>
      <c r="C12" s="8">
        <f t="shared" si="1"/>
        <v>53</v>
      </c>
      <c r="D12" s="9">
        <f>245+159+23</f>
        <v>427</v>
      </c>
    </row>
    <row r="13" spans="1:6">
      <c r="A13" s="6">
        <f t="shared" si="0"/>
        <v>42894</v>
      </c>
      <c r="B13" s="7">
        <v>42894</v>
      </c>
      <c r="C13" s="8">
        <f t="shared" si="1"/>
        <v>77</v>
      </c>
      <c r="D13" s="9">
        <f>300+204</f>
        <v>504</v>
      </c>
      <c r="E13" s="10" t="s">
        <v>7</v>
      </c>
      <c r="F13" s="11">
        <f>AVERAGE(C13:C19)</f>
        <v>48.571428571428569</v>
      </c>
    </row>
    <row r="14" spans="1:6">
      <c r="A14" s="6">
        <f t="shared" si="0"/>
        <v>42895</v>
      </c>
      <c r="B14" s="7">
        <v>42895</v>
      </c>
      <c r="C14" s="8">
        <f t="shared" si="1"/>
        <v>58</v>
      </c>
      <c r="D14" s="9">
        <f>281+241+40</f>
        <v>562</v>
      </c>
    </row>
    <row r="15" spans="1:6">
      <c r="A15" s="6">
        <f t="shared" si="0"/>
        <v>42896</v>
      </c>
      <c r="B15" s="7">
        <v>42896</v>
      </c>
      <c r="C15" s="8">
        <f t="shared" si="1"/>
        <v>37</v>
      </c>
      <c r="D15" s="12">
        <f>285+272+42</f>
        <v>599</v>
      </c>
    </row>
    <row r="16" spans="1:6">
      <c r="A16" s="6">
        <f t="shared" si="0"/>
        <v>42897</v>
      </c>
      <c r="B16" s="7">
        <v>42897</v>
      </c>
      <c r="C16" s="8">
        <f t="shared" si="1"/>
        <v>59</v>
      </c>
      <c r="D16" s="12">
        <f>310+303+45</f>
        <v>658</v>
      </c>
    </row>
    <row r="17" spans="1:6">
      <c r="A17" s="6">
        <f t="shared" si="0"/>
        <v>42898</v>
      </c>
      <c r="B17" s="7">
        <v>42898</v>
      </c>
      <c r="C17" s="8">
        <f t="shared" si="1"/>
        <v>46</v>
      </c>
      <c r="D17" s="12">
        <f>336+322+46</f>
        <v>704</v>
      </c>
    </row>
    <row r="18" spans="1:6">
      <c r="A18" s="6">
        <f t="shared" si="0"/>
        <v>42899</v>
      </c>
      <c r="B18" s="7">
        <v>42899</v>
      </c>
      <c r="C18" s="8">
        <f t="shared" si="1"/>
        <v>26</v>
      </c>
      <c r="D18" s="12">
        <f>347+336+47</f>
        <v>730</v>
      </c>
    </row>
    <row r="19" spans="1:6">
      <c r="A19" s="6">
        <f t="shared" si="0"/>
        <v>42900</v>
      </c>
      <c r="B19" s="7">
        <v>42900</v>
      </c>
      <c r="C19" s="8">
        <f t="shared" si="1"/>
        <v>37</v>
      </c>
      <c r="D19" s="12">
        <f>366+351+50</f>
        <v>767</v>
      </c>
    </row>
    <row r="20" spans="1:6">
      <c r="A20" s="6">
        <f t="shared" si="0"/>
        <v>42901</v>
      </c>
      <c r="B20" s="7">
        <v>42901</v>
      </c>
      <c r="C20" s="8">
        <f t="shared" si="1"/>
        <v>35</v>
      </c>
      <c r="D20" s="12">
        <v>802</v>
      </c>
      <c r="E20" s="10" t="s">
        <v>8</v>
      </c>
      <c r="F20" s="11">
        <f>AVERAGE(C20:C26)</f>
        <v>31.571428571428573</v>
      </c>
    </row>
    <row r="21" spans="1:6">
      <c r="A21" s="6">
        <f t="shared" si="0"/>
        <v>42902</v>
      </c>
      <c r="B21" s="7">
        <v>42902</v>
      </c>
      <c r="C21" s="8">
        <f t="shared" si="1"/>
        <v>41</v>
      </c>
      <c r="D21" s="12">
        <f>402+386+55</f>
        <v>843</v>
      </c>
    </row>
    <row r="22" spans="1:6">
      <c r="A22" s="6">
        <f t="shared" si="0"/>
        <v>42903</v>
      </c>
      <c r="B22" s="7">
        <v>42903</v>
      </c>
      <c r="C22" s="8">
        <f t="shared" si="1"/>
        <v>30</v>
      </c>
      <c r="D22" s="12">
        <f>412+406+55</f>
        <v>873</v>
      </c>
    </row>
    <row r="23" spans="1:6">
      <c r="A23" s="6">
        <f t="shared" si="0"/>
        <v>42904</v>
      </c>
      <c r="B23" s="7">
        <v>42904</v>
      </c>
      <c r="C23" s="8">
        <f t="shared" si="1"/>
        <v>28</v>
      </c>
      <c r="D23" s="12">
        <f>426+419+56</f>
        <v>901</v>
      </c>
    </row>
    <row r="24" spans="1:6">
      <c r="A24" s="6">
        <f t="shared" si="0"/>
        <v>42905</v>
      </c>
      <c r="B24" s="7">
        <v>42905</v>
      </c>
      <c r="C24" s="8">
        <f t="shared" si="1"/>
        <v>26</v>
      </c>
      <c r="D24" s="12">
        <f>443+427+57</f>
        <v>927</v>
      </c>
    </row>
    <row r="25" spans="1:6">
      <c r="A25" s="6">
        <f t="shared" si="0"/>
        <v>42906</v>
      </c>
      <c r="B25" s="7">
        <v>42906</v>
      </c>
      <c r="C25" s="8">
        <f t="shared" si="1"/>
        <v>34</v>
      </c>
      <c r="D25" s="12">
        <f>454+450+57</f>
        <v>961</v>
      </c>
    </row>
    <row r="26" spans="1:6">
      <c r="A26" s="6">
        <f t="shared" si="0"/>
        <v>42907</v>
      </c>
      <c r="B26" s="7">
        <v>42907</v>
      </c>
      <c r="C26" s="8">
        <f t="shared" si="1"/>
        <v>27</v>
      </c>
      <c r="D26" s="12">
        <f>466+464+58</f>
        <v>988</v>
      </c>
    </row>
    <row r="27" spans="1:6">
      <c r="A27" s="6">
        <f t="shared" si="0"/>
        <v>42908</v>
      </c>
      <c r="B27" s="7">
        <v>42908</v>
      </c>
      <c r="C27" s="8">
        <f t="shared" si="1"/>
        <v>30</v>
      </c>
      <c r="D27" s="12">
        <f>482+478+58</f>
        <v>1018</v>
      </c>
      <c r="E27" s="10" t="s">
        <v>9</v>
      </c>
      <c r="F27" s="11">
        <f>AVERAGE(C27:C33)</f>
        <v>30.857142857142858</v>
      </c>
    </row>
    <row r="28" spans="1:6">
      <c r="A28" s="6">
        <f t="shared" si="0"/>
        <v>42909</v>
      </c>
      <c r="B28" s="7">
        <v>42909</v>
      </c>
      <c r="C28" s="8">
        <f t="shared" si="1"/>
        <v>78</v>
      </c>
      <c r="D28" s="12">
        <f>537+499+60</f>
        <v>1096</v>
      </c>
    </row>
    <row r="29" spans="1:6">
      <c r="A29" s="6">
        <f t="shared" si="0"/>
        <v>42910</v>
      </c>
      <c r="B29" s="7">
        <v>42910</v>
      </c>
      <c r="C29" s="8">
        <f t="shared" si="1"/>
        <v>32</v>
      </c>
      <c r="D29" s="12">
        <f>552+516+60</f>
        <v>1128</v>
      </c>
    </row>
    <row r="30" spans="1:6">
      <c r="A30" s="6">
        <f t="shared" si="0"/>
        <v>42911</v>
      </c>
      <c r="B30" s="7">
        <v>42911</v>
      </c>
      <c r="C30" s="8">
        <f t="shared" si="1"/>
        <v>33</v>
      </c>
      <c r="D30" s="12">
        <f>570+531+60</f>
        <v>1161</v>
      </c>
    </row>
    <row r="31" spans="1:6">
      <c r="A31" s="6">
        <f t="shared" si="0"/>
        <v>42912</v>
      </c>
      <c r="B31" s="7">
        <v>42912</v>
      </c>
      <c r="C31" s="8">
        <f t="shared" si="1"/>
        <v>21</v>
      </c>
      <c r="D31" s="12">
        <f>582+539+61</f>
        <v>1182</v>
      </c>
    </row>
    <row r="32" spans="1:6">
      <c r="A32" s="6">
        <f t="shared" si="0"/>
        <v>42913</v>
      </c>
      <c r="B32" s="7">
        <v>42913</v>
      </c>
      <c r="C32" s="8">
        <f t="shared" si="1"/>
        <v>11</v>
      </c>
      <c r="D32" s="12">
        <f>586+61+546</f>
        <v>1193</v>
      </c>
    </row>
    <row r="33" spans="1:6">
      <c r="A33" s="6">
        <f t="shared" si="0"/>
        <v>42914</v>
      </c>
      <c r="B33" s="7">
        <v>42914</v>
      </c>
      <c r="C33" s="8">
        <f t="shared" si="1"/>
        <v>11</v>
      </c>
      <c r="D33" s="12">
        <f>592+551+61</f>
        <v>1204</v>
      </c>
    </row>
    <row r="34" spans="1:6">
      <c r="A34" s="6">
        <f t="shared" si="0"/>
        <v>42915</v>
      </c>
      <c r="B34" s="7">
        <v>42915</v>
      </c>
      <c r="C34" s="8">
        <f t="shared" si="1"/>
        <v>29</v>
      </c>
      <c r="D34" s="12">
        <f>602+569+62</f>
        <v>1233</v>
      </c>
    </row>
    <row r="35" spans="1:6">
      <c r="A35" s="6">
        <f t="shared" si="0"/>
        <v>42916</v>
      </c>
      <c r="B35" s="7">
        <v>42916</v>
      </c>
      <c r="C35" s="8">
        <f t="shared" si="1"/>
        <v>18</v>
      </c>
      <c r="D35" s="12">
        <f>611+574+66</f>
        <v>1251</v>
      </c>
    </row>
    <row r="36" spans="1:6" hidden="1">
      <c r="A36" s="6">
        <f t="shared" si="0"/>
        <v>42886</v>
      </c>
      <c r="B36" s="7">
        <v>42886</v>
      </c>
      <c r="C36" s="8">
        <f t="shared" si="1"/>
        <v>0</v>
      </c>
      <c r="D36" s="12"/>
      <c r="F36" s="14"/>
    </row>
    <row r="37" spans="1:6" ht="15" customHeight="1">
      <c r="B37" s="15" t="s">
        <v>10</v>
      </c>
      <c r="C37" s="16">
        <f>SUM(C6:C35)</f>
        <v>1251</v>
      </c>
      <c r="D37" s="17"/>
    </row>
    <row r="38" spans="1:6">
      <c r="C38" s="18"/>
    </row>
    <row r="39" spans="1:6">
      <c r="B39" s="10" t="s">
        <v>11</v>
      </c>
      <c r="C39" s="11">
        <v>1000</v>
      </c>
    </row>
    <row r="40" spans="1:6">
      <c r="B40" s="10" t="s">
        <v>12</v>
      </c>
      <c r="C40" s="11">
        <f>C37</f>
        <v>1251</v>
      </c>
    </row>
    <row r="41" spans="1:6">
      <c r="B41" s="10" t="s">
        <v>13</v>
      </c>
      <c r="C41" s="11">
        <f>C39-C40</f>
        <v>-251</v>
      </c>
    </row>
    <row r="42" spans="1:6">
      <c r="B42" s="10" t="s">
        <v>14</v>
      </c>
      <c r="C42" s="19">
        <f>C40/C39</f>
        <v>1.2509999999999999</v>
      </c>
    </row>
    <row r="43" spans="1:6">
      <c r="B43" s="10" t="s">
        <v>15</v>
      </c>
      <c r="C43" s="11">
        <f>IF(C40&lt;C39,0,C40-C39)</f>
        <v>251</v>
      </c>
    </row>
    <row r="44" spans="1:6">
      <c r="B44" s="20" t="s">
        <v>16</v>
      </c>
      <c r="C44" s="11">
        <f ca="1">(C39-C37)/C48</f>
        <v>-9.2962962962962958</v>
      </c>
    </row>
    <row r="45" spans="1:6" ht="15" thickBot="1"/>
    <row r="46" spans="1:6">
      <c r="B46" s="21" t="s">
        <v>17</v>
      </c>
      <c r="C46" s="22">
        <f ca="1">C50-C49</f>
        <v>4</v>
      </c>
      <c r="D46" s="23"/>
    </row>
    <row r="47" spans="1:6">
      <c r="B47" s="24" t="s">
        <v>18</v>
      </c>
      <c r="C47" s="25">
        <f ca="1">D49-C49+1</f>
        <v>31</v>
      </c>
      <c r="D47" s="26"/>
    </row>
    <row r="48" spans="1:6">
      <c r="B48" s="24" t="s">
        <v>19</v>
      </c>
      <c r="C48" s="25">
        <f ca="1">+C47-C46</f>
        <v>27</v>
      </c>
      <c r="D48" s="26"/>
    </row>
    <row r="49" spans="2:4">
      <c r="B49" s="27">
        <f ca="1">NOW()</f>
        <v>42921.462916435186</v>
      </c>
      <c r="C49" s="28">
        <f ca="1">EOMONTH(TODAY(),-1)+1</f>
        <v>42917</v>
      </c>
      <c r="D49" s="29">
        <f ca="1">EOMONTH(NOW(),0)</f>
        <v>42947</v>
      </c>
    </row>
    <row r="50" spans="2:4">
      <c r="B50" s="24" t="s">
        <v>20</v>
      </c>
      <c r="C50" s="28">
        <f ca="1">TODAY()</f>
        <v>42921</v>
      </c>
      <c r="D50" s="26"/>
    </row>
    <row r="51" spans="2:4">
      <c r="B51" s="24"/>
      <c r="C51" s="30"/>
      <c r="D51" s="31"/>
    </row>
    <row r="52" spans="2:4">
      <c r="B52" s="32" t="s">
        <v>21</v>
      </c>
      <c r="C52" s="33"/>
      <c r="D52" s="34">
        <f ca="1">TODAY()-1</f>
        <v>42920</v>
      </c>
    </row>
    <row r="53" spans="2:4">
      <c r="B53" s="32" t="s">
        <v>22</v>
      </c>
      <c r="C53" s="33"/>
      <c r="D53" s="35">
        <f ca="1">C46/C47</f>
        <v>0.12903225806451613</v>
      </c>
    </row>
    <row r="54" spans="2:4" ht="15" thickBot="1">
      <c r="B54" s="36" t="s">
        <v>23</v>
      </c>
      <c r="C54" s="37"/>
      <c r="D54" s="38">
        <f ca="1">C48/C47</f>
        <v>0.87096774193548387</v>
      </c>
    </row>
    <row r="57" spans="2:4">
      <c r="B57" s="39" t="s">
        <v>24</v>
      </c>
    </row>
    <row r="58" spans="2:4">
      <c r="B58" s="40"/>
    </row>
    <row r="59" spans="2:4">
      <c r="B59" s="40"/>
    </row>
    <row r="60" spans="2:4">
      <c r="B60" s="40"/>
    </row>
    <row r="61" spans="2:4">
      <c r="B61" s="40"/>
    </row>
    <row r="62" spans="2:4">
      <c r="B62" s="40"/>
    </row>
    <row r="63" spans="2:4">
      <c r="B63" s="40"/>
    </row>
    <row r="64" spans="2:4">
      <c r="B64" s="40"/>
    </row>
    <row r="65" spans="2:2">
      <c r="B65" s="40"/>
    </row>
    <row r="66" spans="2:2">
      <c r="B66" s="40"/>
    </row>
    <row r="67" spans="2:2">
      <c r="B67" s="40"/>
    </row>
    <row r="68" spans="2:2">
      <c r="B68" s="40"/>
    </row>
    <row r="69" spans="2:2">
      <c r="B69" s="40"/>
    </row>
    <row r="70" spans="2:2">
      <c r="B70" s="40"/>
    </row>
    <row r="71" spans="2:2">
      <c r="B71" s="40"/>
    </row>
    <row r="72" spans="2:2">
      <c r="B72" s="40"/>
    </row>
    <row r="73" spans="2:2">
      <c r="B73" s="40"/>
    </row>
    <row r="74" spans="2:2">
      <c r="B74" s="40"/>
    </row>
    <row r="75" spans="2:2">
      <c r="B75" s="40"/>
    </row>
    <row r="76" spans="2:2">
      <c r="B76" s="40"/>
    </row>
    <row r="77" spans="2:2">
      <c r="B77" s="4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Humira CD</vt:lpstr>
      <vt:lpstr>Humira PSA</vt:lpstr>
      <vt:lpstr>Humira UC</vt:lpstr>
      <vt:lpstr>Humira Pso</vt:lpstr>
    </vt:vector>
  </TitlesOfParts>
  <Company>Healthline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Cronin</dc:creator>
  <cp:lastModifiedBy>Casey Cronin</cp:lastModifiedBy>
  <dcterms:created xsi:type="dcterms:W3CDTF">2017-05-02T18:14:15Z</dcterms:created>
  <dcterms:modified xsi:type="dcterms:W3CDTF">2017-07-05T18:07:25Z</dcterms:modified>
</cp:coreProperties>
</file>