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bertlleidaestival/Projects/TNT-Shipment-Tracker/Shipment_Data/"/>
    </mc:Choice>
  </mc:AlternateContent>
  <xr:revisionPtr revIDLastSave="0" documentId="13_ncr:1_{31BC6B18-7FED-984D-92B3-E7282DC867E3}" xr6:coauthVersionLast="47" xr6:coauthVersionMax="47" xr10:uidLastSave="{00000000-0000-0000-0000-000000000000}"/>
  <bookViews>
    <workbookView xWindow="0" yWindow="760" windowWidth="20740" windowHeight="11160" xr2:uid="{97DB20AC-F926-4DBA-8206-BA49BDC938BA}"/>
  </bookViews>
  <sheets>
    <sheet name="Report data" sheetId="1" r:id="rId1"/>
    <sheet name="Dinamic Grafic" sheetId="9" r:id="rId2"/>
    <sheet name="CONTACTOS" sheetId="10" r:id="rId3"/>
  </sheets>
  <definedNames>
    <definedName name="_xlnm._FilterDatabase" localSheetId="0" hidden="1">'Report data'!$A$1:$Q$994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8" i="1" l="1"/>
  <c r="K993" i="1"/>
  <c r="H993" i="1"/>
  <c r="E993" i="1"/>
  <c r="D993" i="1"/>
  <c r="C993" i="1"/>
  <c r="K992" i="1" l="1"/>
  <c r="H992" i="1"/>
  <c r="E992" i="1"/>
  <c r="D992" i="1"/>
  <c r="C992" i="1"/>
  <c r="K991" i="1"/>
  <c r="H991" i="1"/>
  <c r="E991" i="1"/>
  <c r="D991" i="1"/>
  <c r="C991" i="1"/>
  <c r="K990" i="1"/>
  <c r="H990" i="1"/>
  <c r="E990" i="1"/>
  <c r="D990" i="1"/>
  <c r="C990" i="1"/>
  <c r="K989" i="1"/>
  <c r="H989" i="1"/>
  <c r="E989" i="1"/>
  <c r="D989" i="1"/>
  <c r="C989" i="1"/>
  <c r="K988" i="1"/>
  <c r="H988" i="1"/>
  <c r="E988" i="1"/>
  <c r="D988" i="1"/>
  <c r="C988" i="1"/>
  <c r="K987" i="1"/>
  <c r="H987" i="1"/>
  <c r="E987" i="1"/>
  <c r="D987" i="1"/>
  <c r="C987" i="1"/>
  <c r="K986" i="1"/>
  <c r="H986" i="1"/>
  <c r="E986" i="1"/>
  <c r="D986" i="1"/>
  <c r="C986" i="1"/>
  <c r="K985" i="1"/>
  <c r="H985" i="1"/>
  <c r="E985" i="1"/>
  <c r="D985" i="1"/>
  <c r="C985" i="1"/>
  <c r="K984" i="1"/>
  <c r="H984" i="1"/>
  <c r="E984" i="1"/>
  <c r="D984" i="1"/>
  <c r="C984" i="1"/>
  <c r="K983" i="1"/>
  <c r="H983" i="1"/>
  <c r="E983" i="1"/>
  <c r="D983" i="1"/>
  <c r="C983" i="1"/>
  <c r="K982" i="1"/>
  <c r="H982" i="1"/>
  <c r="E982" i="1"/>
  <c r="D982" i="1"/>
  <c r="C982" i="1"/>
  <c r="K981" i="1"/>
  <c r="H981" i="1"/>
  <c r="E981" i="1"/>
  <c r="D981" i="1"/>
  <c r="C981" i="1"/>
  <c r="K980" i="1"/>
  <c r="H980" i="1"/>
  <c r="E980" i="1"/>
  <c r="D980" i="1"/>
  <c r="C980" i="1"/>
  <c r="K979" i="1"/>
  <c r="H979" i="1"/>
  <c r="E979" i="1"/>
  <c r="D979" i="1"/>
  <c r="C979" i="1"/>
  <c r="K978" i="1"/>
  <c r="H978" i="1"/>
  <c r="E978" i="1"/>
  <c r="D978" i="1"/>
  <c r="C978" i="1"/>
  <c r="K977" i="1"/>
  <c r="H977" i="1"/>
  <c r="E977" i="1"/>
  <c r="D977" i="1"/>
  <c r="C977" i="1"/>
  <c r="K976" i="1"/>
  <c r="H976" i="1"/>
  <c r="E976" i="1"/>
  <c r="D976" i="1"/>
  <c r="C976" i="1"/>
  <c r="K975" i="1"/>
  <c r="H975" i="1"/>
  <c r="E975" i="1"/>
  <c r="D975" i="1"/>
  <c r="C975" i="1"/>
  <c r="K974" i="1"/>
  <c r="H974" i="1"/>
  <c r="E974" i="1"/>
  <c r="D974" i="1"/>
  <c r="C974" i="1"/>
  <c r="K973" i="1"/>
  <c r="H973" i="1"/>
  <c r="E973" i="1"/>
  <c r="D973" i="1"/>
  <c r="C973" i="1"/>
  <c r="K972" i="1"/>
  <c r="H972" i="1"/>
  <c r="E972" i="1"/>
  <c r="D972" i="1"/>
  <c r="C972" i="1"/>
  <c r="K971" i="1"/>
  <c r="H971" i="1"/>
  <c r="E971" i="1"/>
  <c r="D971" i="1"/>
  <c r="C971" i="1"/>
  <c r="K970" i="1"/>
  <c r="H970" i="1"/>
  <c r="E970" i="1"/>
  <c r="D970" i="1"/>
  <c r="C970" i="1"/>
  <c r="K969" i="1"/>
  <c r="H969" i="1"/>
  <c r="E969" i="1"/>
  <c r="D969" i="1"/>
  <c r="C969" i="1"/>
  <c r="K968" i="1"/>
  <c r="H968" i="1"/>
  <c r="E968" i="1"/>
  <c r="D968" i="1"/>
  <c r="C968" i="1"/>
  <c r="K967" i="1"/>
  <c r="H967" i="1"/>
  <c r="E967" i="1"/>
  <c r="D967" i="1"/>
  <c r="C967" i="1"/>
  <c r="K966" i="1"/>
  <c r="H966" i="1"/>
  <c r="E966" i="1"/>
  <c r="D966" i="1"/>
  <c r="C966" i="1"/>
  <c r="K965" i="1"/>
  <c r="H965" i="1"/>
  <c r="E965" i="1"/>
  <c r="D965" i="1"/>
  <c r="C965" i="1"/>
  <c r="K964" i="1"/>
  <c r="H964" i="1"/>
  <c r="E964" i="1"/>
  <c r="D964" i="1"/>
  <c r="C964" i="1"/>
  <c r="K963" i="1"/>
  <c r="H963" i="1"/>
  <c r="E963" i="1"/>
  <c r="D963" i="1"/>
  <c r="C963" i="1"/>
  <c r="K962" i="1"/>
  <c r="H962" i="1"/>
  <c r="E962" i="1"/>
  <c r="D962" i="1"/>
  <c r="C962" i="1"/>
  <c r="K961" i="1"/>
  <c r="H961" i="1"/>
  <c r="E961" i="1"/>
  <c r="D961" i="1"/>
  <c r="C961" i="1"/>
  <c r="K960" i="1"/>
  <c r="H960" i="1"/>
  <c r="E960" i="1"/>
  <c r="D960" i="1"/>
  <c r="C960" i="1"/>
  <c r="K959" i="1"/>
  <c r="H959" i="1"/>
  <c r="E959" i="1"/>
  <c r="D959" i="1"/>
  <c r="C959" i="1"/>
  <c r="K958" i="1"/>
  <c r="H958" i="1"/>
  <c r="E958" i="1"/>
  <c r="D958" i="1"/>
  <c r="C958" i="1"/>
  <c r="K957" i="1"/>
  <c r="H957" i="1"/>
  <c r="E957" i="1"/>
  <c r="D957" i="1"/>
  <c r="C957" i="1"/>
  <c r="K956" i="1"/>
  <c r="H956" i="1"/>
  <c r="E956" i="1"/>
  <c r="D956" i="1"/>
  <c r="C956" i="1"/>
  <c r="K955" i="1"/>
  <c r="H955" i="1"/>
  <c r="E955" i="1"/>
  <c r="D955" i="1"/>
  <c r="C955" i="1"/>
  <c r="K954" i="1"/>
  <c r="H954" i="1"/>
  <c r="E954" i="1"/>
  <c r="D954" i="1"/>
  <c r="C954" i="1"/>
  <c r="K953" i="1"/>
  <c r="H953" i="1"/>
  <c r="E953" i="1"/>
  <c r="D953" i="1"/>
  <c r="C953" i="1"/>
  <c r="K952" i="1"/>
  <c r="H952" i="1"/>
  <c r="E952" i="1"/>
  <c r="D952" i="1"/>
  <c r="C952" i="1"/>
  <c r="K951" i="1"/>
  <c r="H951" i="1"/>
  <c r="E951" i="1"/>
  <c r="D951" i="1"/>
  <c r="C951" i="1"/>
  <c r="K950" i="1"/>
  <c r="H950" i="1"/>
  <c r="E950" i="1"/>
  <c r="D950" i="1"/>
  <c r="C950" i="1"/>
  <c r="K949" i="1"/>
  <c r="H949" i="1"/>
  <c r="E949" i="1"/>
  <c r="D949" i="1"/>
  <c r="C949" i="1"/>
  <c r="K948" i="1"/>
  <c r="E948" i="1"/>
  <c r="D948" i="1"/>
  <c r="C948" i="1"/>
  <c r="K947" i="1"/>
  <c r="H947" i="1"/>
  <c r="E947" i="1"/>
  <c r="D947" i="1"/>
  <c r="C947" i="1"/>
  <c r="K946" i="1"/>
  <c r="H946" i="1"/>
  <c r="E946" i="1"/>
  <c r="D946" i="1"/>
  <c r="C946" i="1"/>
  <c r="K945" i="1"/>
  <c r="H945" i="1"/>
  <c r="E945" i="1"/>
  <c r="D945" i="1"/>
  <c r="C945" i="1"/>
  <c r="K944" i="1"/>
  <c r="H944" i="1"/>
  <c r="E944" i="1"/>
  <c r="D944" i="1"/>
  <c r="C944" i="1"/>
  <c r="K943" i="1"/>
  <c r="H943" i="1"/>
  <c r="E943" i="1"/>
  <c r="D943" i="1"/>
  <c r="C943" i="1"/>
  <c r="K942" i="1"/>
  <c r="H942" i="1"/>
  <c r="E942" i="1"/>
  <c r="D942" i="1"/>
  <c r="C942" i="1"/>
  <c r="K941" i="1"/>
  <c r="H941" i="1"/>
  <c r="E941" i="1"/>
  <c r="D941" i="1"/>
  <c r="C941" i="1"/>
  <c r="K940" i="1"/>
  <c r="H940" i="1"/>
  <c r="E940" i="1"/>
  <c r="D940" i="1"/>
  <c r="C940" i="1"/>
  <c r="K939" i="1"/>
  <c r="H939" i="1"/>
  <c r="E939" i="1"/>
  <c r="D939" i="1"/>
  <c r="C939" i="1"/>
  <c r="K938" i="1"/>
  <c r="H938" i="1"/>
  <c r="E938" i="1"/>
  <c r="D938" i="1"/>
  <c r="C938" i="1"/>
  <c r="K937" i="1"/>
  <c r="H937" i="1"/>
  <c r="E937" i="1"/>
  <c r="D937" i="1"/>
  <c r="C937" i="1"/>
  <c r="K936" i="1"/>
  <c r="H936" i="1"/>
  <c r="E936" i="1"/>
  <c r="D936" i="1"/>
  <c r="C936" i="1"/>
  <c r="K935" i="1"/>
  <c r="H935" i="1"/>
  <c r="E935" i="1"/>
  <c r="D935" i="1"/>
  <c r="C935" i="1"/>
  <c r="K934" i="1"/>
  <c r="H934" i="1"/>
  <c r="E934" i="1"/>
  <c r="D934" i="1"/>
  <c r="C934" i="1"/>
  <c r="K933" i="1"/>
  <c r="H933" i="1"/>
  <c r="E933" i="1"/>
  <c r="D933" i="1"/>
  <c r="C933" i="1"/>
  <c r="K932" i="1"/>
  <c r="H932" i="1"/>
  <c r="E932" i="1"/>
  <c r="D932" i="1"/>
  <c r="C932" i="1"/>
  <c r="K931" i="1"/>
  <c r="H931" i="1"/>
  <c r="E931" i="1"/>
  <c r="D931" i="1"/>
  <c r="C931" i="1"/>
  <c r="K930" i="1"/>
  <c r="H930" i="1"/>
  <c r="E930" i="1"/>
  <c r="D930" i="1"/>
  <c r="C930" i="1"/>
  <c r="K929" i="1"/>
  <c r="H929" i="1"/>
  <c r="E929" i="1"/>
  <c r="D929" i="1"/>
  <c r="C929" i="1"/>
  <c r="K928" i="1"/>
  <c r="H928" i="1"/>
  <c r="E928" i="1"/>
  <c r="D928" i="1"/>
  <c r="C928" i="1"/>
  <c r="K927" i="1"/>
  <c r="H927" i="1"/>
  <c r="E927" i="1"/>
  <c r="D927" i="1"/>
  <c r="C927" i="1"/>
  <c r="K926" i="1"/>
  <c r="H926" i="1"/>
  <c r="E926" i="1"/>
  <c r="D926" i="1"/>
  <c r="C926" i="1"/>
  <c r="K925" i="1"/>
  <c r="H925" i="1"/>
  <c r="E925" i="1"/>
  <c r="D925" i="1"/>
  <c r="C925" i="1"/>
  <c r="K924" i="1"/>
  <c r="H924" i="1"/>
  <c r="E924" i="1"/>
  <c r="D924" i="1"/>
  <c r="C924" i="1"/>
  <c r="K923" i="1"/>
  <c r="H923" i="1"/>
  <c r="E923" i="1"/>
  <c r="D923" i="1"/>
  <c r="C923" i="1"/>
  <c r="K922" i="1"/>
  <c r="H922" i="1"/>
  <c r="E922" i="1"/>
  <c r="D922" i="1"/>
  <c r="C922" i="1"/>
  <c r="K921" i="1"/>
  <c r="H921" i="1"/>
  <c r="E921" i="1"/>
  <c r="D921" i="1"/>
  <c r="C921" i="1"/>
  <c r="K920" i="1"/>
  <c r="H920" i="1"/>
  <c r="E920" i="1"/>
  <c r="D920" i="1"/>
  <c r="C920" i="1"/>
  <c r="K919" i="1"/>
  <c r="H919" i="1"/>
  <c r="E919" i="1"/>
  <c r="D919" i="1"/>
  <c r="C919" i="1"/>
  <c r="K918" i="1"/>
  <c r="H918" i="1"/>
  <c r="E918" i="1"/>
  <c r="D918" i="1"/>
  <c r="C918" i="1"/>
  <c r="K917" i="1"/>
  <c r="H917" i="1"/>
  <c r="E917" i="1"/>
  <c r="D917" i="1"/>
  <c r="C917" i="1"/>
  <c r="K916" i="1"/>
  <c r="H916" i="1"/>
  <c r="E916" i="1"/>
  <c r="D916" i="1"/>
  <c r="C916" i="1"/>
  <c r="K915" i="1"/>
  <c r="H915" i="1"/>
  <c r="E915" i="1"/>
  <c r="D915" i="1"/>
  <c r="C915" i="1"/>
  <c r="K914" i="1"/>
  <c r="H914" i="1"/>
  <c r="E914" i="1"/>
  <c r="D914" i="1"/>
  <c r="C914" i="1"/>
  <c r="K913" i="1"/>
  <c r="H913" i="1"/>
  <c r="E913" i="1"/>
  <c r="D913" i="1"/>
  <c r="C913" i="1"/>
  <c r="K912" i="1"/>
  <c r="H912" i="1"/>
  <c r="E912" i="1"/>
  <c r="C912" i="1"/>
  <c r="K911" i="1"/>
  <c r="H911" i="1"/>
  <c r="E911" i="1"/>
  <c r="D911" i="1"/>
  <c r="C911" i="1"/>
  <c r="K910" i="1"/>
  <c r="H910" i="1"/>
  <c r="E910" i="1"/>
  <c r="D910" i="1"/>
  <c r="C910" i="1"/>
  <c r="K909" i="1"/>
  <c r="H909" i="1"/>
  <c r="E909" i="1"/>
  <c r="D909" i="1"/>
  <c r="C909" i="1"/>
  <c r="K908" i="1"/>
  <c r="H908" i="1"/>
  <c r="E908" i="1"/>
  <c r="D908" i="1"/>
  <c r="C908" i="1"/>
  <c r="K907" i="1"/>
  <c r="H907" i="1"/>
  <c r="E907" i="1"/>
  <c r="D907" i="1"/>
  <c r="C907" i="1"/>
  <c r="K906" i="1"/>
  <c r="H906" i="1"/>
  <c r="E906" i="1"/>
  <c r="D906" i="1"/>
  <c r="C906" i="1"/>
  <c r="K905" i="1"/>
  <c r="H905" i="1"/>
  <c r="E905" i="1"/>
  <c r="D905" i="1"/>
  <c r="C905" i="1"/>
  <c r="K904" i="1"/>
  <c r="H904" i="1"/>
  <c r="E904" i="1"/>
  <c r="D904" i="1"/>
  <c r="C904" i="1"/>
  <c r="K903" i="1"/>
  <c r="H903" i="1"/>
  <c r="E903" i="1"/>
  <c r="D903" i="1"/>
  <c r="C903" i="1"/>
  <c r="K902" i="1"/>
  <c r="H902" i="1"/>
  <c r="E902" i="1"/>
  <c r="D902" i="1"/>
  <c r="C902" i="1"/>
  <c r="K901" i="1"/>
  <c r="H901" i="1"/>
  <c r="E901" i="1"/>
  <c r="D901" i="1"/>
  <c r="C901" i="1"/>
  <c r="K900" i="1"/>
  <c r="H900" i="1"/>
  <c r="E900" i="1"/>
  <c r="D900" i="1"/>
  <c r="C900" i="1"/>
  <c r="K899" i="1"/>
  <c r="H899" i="1"/>
  <c r="E899" i="1"/>
  <c r="D899" i="1"/>
  <c r="C899" i="1"/>
  <c r="K898" i="1"/>
  <c r="H898" i="1"/>
  <c r="E898" i="1"/>
  <c r="D898" i="1"/>
  <c r="C898" i="1"/>
  <c r="K897" i="1"/>
  <c r="H897" i="1"/>
  <c r="E897" i="1"/>
  <c r="D897" i="1"/>
  <c r="C897" i="1"/>
  <c r="K896" i="1"/>
  <c r="H896" i="1"/>
  <c r="E896" i="1"/>
  <c r="D896" i="1"/>
  <c r="C896" i="1"/>
  <c r="K895" i="1"/>
  <c r="H895" i="1"/>
  <c r="E895" i="1"/>
  <c r="D895" i="1"/>
  <c r="C895" i="1"/>
  <c r="K894" i="1"/>
  <c r="H894" i="1"/>
  <c r="E894" i="1"/>
  <c r="D894" i="1"/>
  <c r="C894" i="1"/>
  <c r="K893" i="1"/>
  <c r="H893" i="1"/>
  <c r="E893" i="1"/>
  <c r="D893" i="1"/>
  <c r="C893" i="1"/>
  <c r="K892" i="1"/>
  <c r="H892" i="1"/>
  <c r="E892" i="1"/>
  <c r="D892" i="1"/>
  <c r="C892" i="1"/>
  <c r="K891" i="1"/>
  <c r="H891" i="1"/>
  <c r="E891" i="1"/>
  <c r="D891" i="1"/>
  <c r="C891" i="1"/>
  <c r="K890" i="1"/>
  <c r="H890" i="1"/>
  <c r="E890" i="1"/>
  <c r="D890" i="1"/>
  <c r="C890" i="1"/>
  <c r="K889" i="1"/>
  <c r="H889" i="1"/>
  <c r="E889" i="1"/>
  <c r="D889" i="1"/>
  <c r="C889" i="1"/>
  <c r="K888" i="1"/>
  <c r="H888" i="1"/>
  <c r="E888" i="1"/>
  <c r="D888" i="1"/>
  <c r="C888" i="1"/>
  <c r="K887" i="1"/>
  <c r="H887" i="1"/>
  <c r="E887" i="1"/>
  <c r="D887" i="1"/>
  <c r="C887" i="1"/>
  <c r="K886" i="1"/>
  <c r="H886" i="1"/>
  <c r="E886" i="1"/>
  <c r="D886" i="1"/>
  <c r="C886" i="1"/>
  <c r="K885" i="1"/>
  <c r="H885" i="1"/>
  <c r="E885" i="1"/>
  <c r="D885" i="1"/>
  <c r="C885" i="1"/>
  <c r="K884" i="1"/>
  <c r="H884" i="1"/>
  <c r="E884" i="1"/>
  <c r="D884" i="1"/>
  <c r="C884" i="1"/>
  <c r="K883" i="1"/>
  <c r="H883" i="1"/>
  <c r="E883" i="1"/>
  <c r="D883" i="1"/>
  <c r="C883" i="1"/>
  <c r="K882" i="1"/>
  <c r="H882" i="1"/>
  <c r="E882" i="1"/>
  <c r="D882" i="1"/>
  <c r="C882" i="1"/>
  <c r="K881" i="1"/>
  <c r="H881" i="1"/>
  <c r="E881" i="1"/>
  <c r="D881" i="1"/>
  <c r="C881" i="1"/>
  <c r="K880" i="1"/>
  <c r="H880" i="1"/>
  <c r="E880" i="1"/>
  <c r="D880" i="1"/>
  <c r="C880" i="1"/>
  <c r="K879" i="1"/>
  <c r="H879" i="1"/>
  <c r="E879" i="1"/>
  <c r="D879" i="1"/>
  <c r="C879" i="1"/>
  <c r="K878" i="1"/>
  <c r="H878" i="1"/>
  <c r="E878" i="1"/>
  <c r="D878" i="1"/>
  <c r="C878" i="1"/>
  <c r="K877" i="1"/>
  <c r="H877" i="1"/>
  <c r="E877" i="1"/>
  <c r="D877" i="1"/>
  <c r="C877" i="1"/>
  <c r="K876" i="1"/>
  <c r="H876" i="1"/>
  <c r="E876" i="1"/>
  <c r="D876" i="1"/>
  <c r="C876" i="1"/>
  <c r="K875" i="1"/>
  <c r="H875" i="1"/>
  <c r="E875" i="1"/>
  <c r="D875" i="1"/>
  <c r="C875" i="1"/>
  <c r="K874" i="1"/>
  <c r="H874" i="1"/>
  <c r="E874" i="1"/>
  <c r="D874" i="1"/>
  <c r="C874" i="1"/>
  <c r="K873" i="1"/>
  <c r="H873" i="1"/>
  <c r="E873" i="1"/>
  <c r="D873" i="1"/>
  <c r="C873" i="1"/>
  <c r="K872" i="1"/>
  <c r="H872" i="1"/>
  <c r="E872" i="1"/>
  <c r="D872" i="1"/>
  <c r="C872" i="1"/>
  <c r="K871" i="1"/>
  <c r="H871" i="1"/>
  <c r="E871" i="1"/>
  <c r="D871" i="1"/>
  <c r="C871" i="1"/>
  <c r="K870" i="1"/>
  <c r="H870" i="1"/>
  <c r="E870" i="1"/>
  <c r="D870" i="1"/>
  <c r="C870" i="1"/>
  <c r="K869" i="1"/>
  <c r="H869" i="1"/>
  <c r="E869" i="1"/>
  <c r="D869" i="1"/>
  <c r="C869" i="1"/>
  <c r="K868" i="1"/>
  <c r="H868" i="1"/>
  <c r="E868" i="1"/>
  <c r="D868" i="1"/>
  <c r="C868" i="1"/>
  <c r="K867" i="1"/>
  <c r="H867" i="1"/>
  <c r="E867" i="1"/>
  <c r="D867" i="1"/>
  <c r="C867" i="1"/>
  <c r="K866" i="1"/>
  <c r="H866" i="1"/>
  <c r="E866" i="1"/>
  <c r="D866" i="1"/>
  <c r="C866" i="1"/>
  <c r="K865" i="1"/>
  <c r="H865" i="1"/>
  <c r="E865" i="1"/>
  <c r="D865" i="1"/>
  <c r="C865" i="1"/>
  <c r="K864" i="1"/>
  <c r="H864" i="1"/>
  <c r="E864" i="1"/>
  <c r="D864" i="1"/>
  <c r="C864" i="1"/>
  <c r="K863" i="1"/>
  <c r="H863" i="1"/>
  <c r="E863" i="1"/>
  <c r="D863" i="1"/>
  <c r="C863" i="1"/>
  <c r="K862" i="1"/>
  <c r="H862" i="1"/>
  <c r="E862" i="1"/>
  <c r="D862" i="1"/>
  <c r="C862" i="1"/>
  <c r="K861" i="1"/>
  <c r="H861" i="1"/>
  <c r="E861" i="1"/>
  <c r="D861" i="1"/>
  <c r="C861" i="1"/>
  <c r="K860" i="1"/>
  <c r="H860" i="1"/>
  <c r="E860" i="1"/>
  <c r="D860" i="1"/>
  <c r="C860" i="1"/>
  <c r="K859" i="1"/>
  <c r="H859" i="1"/>
  <c r="E859" i="1"/>
  <c r="D859" i="1"/>
  <c r="C859" i="1"/>
  <c r="K858" i="1"/>
  <c r="H858" i="1"/>
  <c r="E858" i="1"/>
  <c r="D858" i="1"/>
  <c r="C858" i="1"/>
  <c r="K857" i="1"/>
  <c r="H857" i="1"/>
  <c r="E857" i="1"/>
  <c r="D857" i="1"/>
  <c r="C857" i="1"/>
  <c r="K856" i="1"/>
  <c r="H856" i="1"/>
  <c r="E856" i="1"/>
  <c r="D856" i="1"/>
  <c r="C856" i="1"/>
  <c r="K855" i="1"/>
  <c r="H855" i="1"/>
  <c r="E855" i="1"/>
  <c r="D855" i="1"/>
  <c r="C855" i="1"/>
  <c r="K854" i="1"/>
  <c r="H854" i="1"/>
  <c r="E854" i="1"/>
  <c r="D854" i="1"/>
  <c r="C854" i="1"/>
  <c r="K853" i="1"/>
  <c r="H853" i="1"/>
  <c r="E853" i="1"/>
  <c r="D853" i="1"/>
  <c r="C853" i="1"/>
  <c r="K852" i="1"/>
  <c r="H852" i="1"/>
  <c r="E852" i="1"/>
  <c r="D852" i="1"/>
  <c r="C852" i="1"/>
  <c r="K851" i="1"/>
  <c r="H851" i="1"/>
  <c r="E851" i="1"/>
  <c r="D851" i="1"/>
  <c r="C851" i="1"/>
  <c r="K850" i="1"/>
  <c r="H850" i="1"/>
  <c r="E850" i="1"/>
  <c r="D850" i="1"/>
  <c r="C850" i="1"/>
  <c r="K849" i="1"/>
  <c r="H849" i="1"/>
  <c r="E849" i="1"/>
  <c r="D849" i="1"/>
  <c r="C849" i="1"/>
  <c r="K848" i="1"/>
  <c r="H848" i="1"/>
  <c r="E848" i="1"/>
  <c r="D848" i="1"/>
  <c r="C848" i="1"/>
  <c r="K847" i="1"/>
  <c r="H847" i="1"/>
  <c r="E847" i="1"/>
  <c r="D847" i="1"/>
  <c r="C847" i="1"/>
  <c r="K846" i="1"/>
  <c r="H846" i="1"/>
  <c r="E846" i="1"/>
  <c r="D846" i="1"/>
  <c r="C846" i="1"/>
  <c r="K845" i="1"/>
  <c r="H845" i="1"/>
  <c r="E845" i="1"/>
  <c r="D845" i="1"/>
  <c r="C845" i="1"/>
  <c r="K844" i="1"/>
  <c r="H844" i="1"/>
  <c r="E844" i="1"/>
  <c r="D844" i="1"/>
  <c r="C844" i="1"/>
  <c r="K843" i="1"/>
  <c r="H843" i="1"/>
  <c r="E843" i="1"/>
  <c r="D843" i="1"/>
  <c r="C843" i="1"/>
  <c r="K842" i="1"/>
  <c r="H842" i="1"/>
  <c r="E842" i="1"/>
  <c r="D842" i="1"/>
  <c r="C842" i="1"/>
  <c r="K841" i="1"/>
  <c r="H841" i="1"/>
  <c r="E841" i="1"/>
  <c r="D841" i="1"/>
  <c r="C841" i="1"/>
  <c r="K840" i="1"/>
  <c r="H840" i="1"/>
  <c r="E840" i="1"/>
  <c r="D840" i="1"/>
  <c r="C840" i="1"/>
  <c r="K839" i="1"/>
  <c r="H839" i="1"/>
  <c r="E839" i="1"/>
  <c r="D839" i="1"/>
  <c r="C839" i="1"/>
  <c r="K838" i="1"/>
  <c r="H838" i="1"/>
  <c r="E838" i="1"/>
  <c r="D838" i="1"/>
  <c r="C838" i="1"/>
  <c r="K837" i="1"/>
  <c r="H837" i="1"/>
  <c r="E837" i="1"/>
  <c r="D837" i="1"/>
  <c r="C837" i="1"/>
  <c r="K836" i="1"/>
  <c r="H836" i="1"/>
  <c r="E836" i="1"/>
  <c r="D836" i="1"/>
  <c r="C836" i="1"/>
  <c r="K835" i="1"/>
  <c r="H835" i="1"/>
  <c r="E835" i="1"/>
  <c r="D835" i="1"/>
  <c r="C835" i="1"/>
  <c r="K834" i="1"/>
  <c r="H834" i="1"/>
  <c r="E834" i="1"/>
  <c r="D834" i="1"/>
  <c r="C834" i="1"/>
  <c r="K833" i="1"/>
  <c r="H833" i="1"/>
  <c r="E833" i="1"/>
  <c r="D833" i="1"/>
  <c r="C833" i="1"/>
  <c r="K832" i="1"/>
  <c r="H832" i="1"/>
  <c r="E832" i="1"/>
  <c r="D832" i="1"/>
  <c r="C832" i="1"/>
  <c r="K831" i="1"/>
  <c r="H831" i="1"/>
  <c r="E831" i="1"/>
  <c r="D831" i="1"/>
  <c r="C831" i="1"/>
  <c r="K830" i="1"/>
  <c r="H830" i="1"/>
  <c r="E830" i="1"/>
  <c r="D830" i="1"/>
  <c r="C830" i="1"/>
  <c r="K829" i="1"/>
  <c r="H829" i="1"/>
  <c r="E829" i="1"/>
  <c r="D829" i="1"/>
  <c r="C829" i="1"/>
  <c r="K828" i="1"/>
  <c r="H828" i="1"/>
  <c r="E828" i="1"/>
  <c r="D828" i="1"/>
  <c r="C828" i="1"/>
  <c r="K827" i="1"/>
  <c r="H827" i="1"/>
  <c r="E827" i="1"/>
  <c r="D827" i="1"/>
  <c r="C827" i="1"/>
  <c r="K826" i="1"/>
  <c r="H826" i="1"/>
  <c r="E826" i="1"/>
  <c r="D826" i="1"/>
  <c r="C826" i="1"/>
  <c r="K825" i="1"/>
  <c r="H825" i="1"/>
  <c r="E825" i="1"/>
  <c r="D825" i="1"/>
  <c r="C825" i="1"/>
  <c r="K824" i="1"/>
  <c r="H824" i="1"/>
  <c r="E824" i="1"/>
  <c r="D824" i="1"/>
  <c r="C824" i="1"/>
  <c r="K823" i="1"/>
  <c r="H823" i="1"/>
  <c r="E823" i="1"/>
  <c r="D823" i="1"/>
  <c r="C823" i="1"/>
  <c r="K822" i="1"/>
  <c r="H822" i="1"/>
  <c r="E822" i="1"/>
  <c r="D822" i="1"/>
  <c r="C822" i="1"/>
  <c r="K821" i="1"/>
  <c r="H821" i="1"/>
  <c r="E821" i="1"/>
  <c r="D821" i="1"/>
  <c r="C821" i="1"/>
  <c r="K820" i="1"/>
  <c r="H820" i="1"/>
  <c r="E820" i="1"/>
  <c r="D820" i="1"/>
  <c r="C820" i="1"/>
  <c r="K819" i="1"/>
  <c r="H819" i="1"/>
  <c r="E819" i="1"/>
  <c r="D819" i="1"/>
  <c r="C819" i="1"/>
  <c r="K818" i="1"/>
  <c r="H818" i="1"/>
  <c r="E818" i="1"/>
  <c r="D818" i="1"/>
  <c r="C818" i="1"/>
  <c r="K817" i="1"/>
  <c r="H817" i="1"/>
  <c r="E817" i="1"/>
  <c r="D817" i="1"/>
  <c r="C817" i="1"/>
  <c r="K816" i="1"/>
  <c r="H816" i="1"/>
  <c r="E816" i="1"/>
  <c r="D816" i="1"/>
  <c r="C816" i="1"/>
  <c r="K815" i="1"/>
  <c r="H815" i="1"/>
  <c r="E815" i="1"/>
  <c r="D815" i="1"/>
  <c r="C815" i="1"/>
  <c r="K814" i="1"/>
  <c r="H814" i="1"/>
  <c r="E814" i="1"/>
  <c r="D814" i="1"/>
  <c r="C814" i="1"/>
  <c r="K813" i="1"/>
  <c r="H813" i="1"/>
  <c r="E813" i="1"/>
  <c r="D813" i="1"/>
  <c r="C813" i="1"/>
  <c r="K812" i="1"/>
  <c r="H812" i="1"/>
  <c r="E812" i="1"/>
  <c r="D812" i="1"/>
  <c r="C812" i="1"/>
  <c r="K811" i="1"/>
  <c r="H811" i="1"/>
  <c r="E811" i="1"/>
  <c r="D811" i="1"/>
  <c r="C811" i="1"/>
  <c r="K810" i="1"/>
  <c r="H810" i="1"/>
  <c r="E810" i="1"/>
  <c r="D810" i="1"/>
  <c r="C810" i="1"/>
  <c r="K809" i="1"/>
  <c r="H809" i="1"/>
  <c r="E809" i="1"/>
  <c r="D809" i="1"/>
  <c r="C809" i="1"/>
  <c r="K808" i="1"/>
  <c r="H808" i="1"/>
  <c r="E808" i="1"/>
  <c r="D808" i="1"/>
  <c r="C808" i="1"/>
  <c r="K807" i="1"/>
  <c r="H807" i="1"/>
  <c r="E807" i="1"/>
  <c r="D807" i="1"/>
  <c r="C807" i="1"/>
  <c r="K806" i="1"/>
  <c r="H806" i="1"/>
  <c r="E806" i="1"/>
  <c r="D806" i="1"/>
  <c r="C806" i="1"/>
  <c r="K805" i="1"/>
  <c r="H805" i="1"/>
  <c r="E805" i="1"/>
  <c r="D805" i="1"/>
  <c r="C805" i="1"/>
  <c r="K804" i="1"/>
  <c r="H804" i="1"/>
  <c r="E804" i="1"/>
  <c r="D804" i="1"/>
  <c r="C804" i="1"/>
  <c r="K803" i="1"/>
  <c r="H803" i="1"/>
  <c r="E803" i="1"/>
  <c r="D803" i="1"/>
  <c r="C803" i="1"/>
  <c r="K802" i="1"/>
  <c r="H802" i="1"/>
  <c r="E802" i="1"/>
  <c r="D802" i="1"/>
  <c r="C802" i="1"/>
  <c r="K801" i="1"/>
  <c r="H801" i="1"/>
  <c r="E801" i="1"/>
  <c r="D801" i="1"/>
  <c r="C801" i="1"/>
  <c r="K800" i="1"/>
  <c r="H800" i="1"/>
  <c r="E800" i="1"/>
  <c r="D800" i="1"/>
  <c r="C800" i="1"/>
  <c r="K799" i="1"/>
  <c r="H799" i="1"/>
  <c r="E799" i="1"/>
  <c r="D799" i="1"/>
  <c r="C799" i="1"/>
  <c r="K798" i="1"/>
  <c r="H798" i="1"/>
  <c r="E798" i="1"/>
  <c r="D798" i="1"/>
  <c r="C798" i="1"/>
  <c r="K797" i="1"/>
  <c r="H797" i="1"/>
  <c r="E797" i="1"/>
  <c r="D797" i="1"/>
  <c r="C797" i="1"/>
  <c r="K796" i="1"/>
  <c r="H796" i="1"/>
  <c r="E796" i="1"/>
  <c r="D796" i="1"/>
  <c r="C796" i="1"/>
  <c r="K795" i="1"/>
  <c r="H795" i="1"/>
  <c r="E795" i="1"/>
  <c r="D795" i="1"/>
  <c r="C795" i="1"/>
  <c r="K794" i="1"/>
  <c r="H794" i="1"/>
  <c r="E794" i="1"/>
  <c r="D794" i="1"/>
  <c r="C794" i="1"/>
  <c r="K793" i="1"/>
  <c r="H793" i="1"/>
  <c r="E793" i="1"/>
  <c r="D793" i="1"/>
  <c r="C793" i="1"/>
  <c r="K792" i="1"/>
  <c r="H792" i="1"/>
  <c r="E792" i="1"/>
  <c r="D792" i="1"/>
  <c r="C792" i="1"/>
  <c r="K791" i="1"/>
  <c r="H791" i="1"/>
  <c r="E791" i="1"/>
  <c r="D791" i="1"/>
  <c r="C791" i="1"/>
  <c r="H422" i="1" l="1"/>
  <c r="H751" i="1" l="1"/>
  <c r="K790" i="1"/>
  <c r="H790" i="1"/>
  <c r="E790" i="1"/>
  <c r="D790" i="1"/>
  <c r="C790" i="1"/>
  <c r="K789" i="1"/>
  <c r="H789" i="1"/>
  <c r="E789" i="1"/>
  <c r="D789" i="1"/>
  <c r="C789" i="1"/>
  <c r="K788" i="1"/>
  <c r="H788" i="1"/>
  <c r="E788" i="1"/>
  <c r="D788" i="1"/>
  <c r="C788" i="1"/>
  <c r="K787" i="1"/>
  <c r="H787" i="1"/>
  <c r="E787" i="1"/>
  <c r="D787" i="1"/>
  <c r="C787" i="1"/>
  <c r="K786" i="1"/>
  <c r="H786" i="1"/>
  <c r="E786" i="1"/>
  <c r="D786" i="1"/>
  <c r="C786" i="1"/>
  <c r="K785" i="1"/>
  <c r="H785" i="1"/>
  <c r="E785" i="1"/>
  <c r="D785" i="1"/>
  <c r="C785" i="1"/>
  <c r="K784" i="1"/>
  <c r="H784" i="1"/>
  <c r="E784" i="1"/>
  <c r="D784" i="1"/>
  <c r="C784" i="1"/>
  <c r="K783" i="1"/>
  <c r="H783" i="1"/>
  <c r="E783" i="1"/>
  <c r="D783" i="1"/>
  <c r="C783" i="1"/>
  <c r="K782" i="1"/>
  <c r="H782" i="1"/>
  <c r="E782" i="1"/>
  <c r="D782" i="1"/>
  <c r="C782" i="1"/>
  <c r="K781" i="1"/>
  <c r="H781" i="1"/>
  <c r="E781" i="1"/>
  <c r="D781" i="1"/>
  <c r="C781" i="1"/>
  <c r="K780" i="1"/>
  <c r="H780" i="1"/>
  <c r="E780" i="1"/>
  <c r="D780" i="1"/>
  <c r="C780" i="1"/>
  <c r="K779" i="1"/>
  <c r="H779" i="1"/>
  <c r="E779" i="1"/>
  <c r="D779" i="1"/>
  <c r="C779" i="1"/>
  <c r="K778" i="1"/>
  <c r="H778" i="1"/>
  <c r="E778" i="1"/>
  <c r="D778" i="1"/>
  <c r="C778" i="1"/>
  <c r="K777" i="1"/>
  <c r="H777" i="1"/>
  <c r="E777" i="1"/>
  <c r="D777" i="1"/>
  <c r="C777" i="1"/>
  <c r="K776" i="1"/>
  <c r="H776" i="1"/>
  <c r="E776" i="1"/>
  <c r="D776" i="1"/>
  <c r="C776" i="1"/>
  <c r="K775" i="1"/>
  <c r="H775" i="1"/>
  <c r="E775" i="1"/>
  <c r="D775" i="1"/>
  <c r="C775" i="1"/>
  <c r="K774" i="1"/>
  <c r="H774" i="1"/>
  <c r="E774" i="1"/>
  <c r="D774" i="1"/>
  <c r="C774" i="1"/>
  <c r="K773" i="1"/>
  <c r="H773" i="1"/>
  <c r="E773" i="1"/>
  <c r="D773" i="1"/>
  <c r="C773" i="1"/>
  <c r="K772" i="1"/>
  <c r="H772" i="1"/>
  <c r="E772" i="1"/>
  <c r="D772" i="1"/>
  <c r="C772" i="1"/>
  <c r="K771" i="1"/>
  <c r="H771" i="1"/>
  <c r="E771" i="1"/>
  <c r="D771" i="1"/>
  <c r="C771" i="1"/>
  <c r="K770" i="1"/>
  <c r="H770" i="1"/>
  <c r="E770" i="1"/>
  <c r="D770" i="1"/>
  <c r="C770" i="1"/>
  <c r="K769" i="1"/>
  <c r="H769" i="1"/>
  <c r="E769" i="1"/>
  <c r="D769" i="1"/>
  <c r="C769" i="1"/>
  <c r="K768" i="1"/>
  <c r="H768" i="1"/>
  <c r="E768" i="1"/>
  <c r="D768" i="1"/>
  <c r="C768" i="1"/>
  <c r="K767" i="1"/>
  <c r="H767" i="1"/>
  <c r="E767" i="1"/>
  <c r="D767" i="1"/>
  <c r="C767" i="1"/>
  <c r="K766" i="1"/>
  <c r="H766" i="1"/>
  <c r="E766" i="1"/>
  <c r="C766" i="1"/>
  <c r="K765" i="1"/>
  <c r="H765" i="1"/>
  <c r="E765" i="1"/>
  <c r="D765" i="1"/>
  <c r="C765" i="1"/>
  <c r="K764" i="1"/>
  <c r="H764" i="1"/>
  <c r="E764" i="1"/>
  <c r="D764" i="1"/>
  <c r="C764" i="1"/>
  <c r="K763" i="1"/>
  <c r="H763" i="1"/>
  <c r="E763" i="1"/>
  <c r="D763" i="1"/>
  <c r="C763" i="1"/>
  <c r="K762" i="1"/>
  <c r="H762" i="1"/>
  <c r="E762" i="1"/>
  <c r="D762" i="1"/>
  <c r="C762" i="1"/>
  <c r="K761" i="1"/>
  <c r="H761" i="1"/>
  <c r="E761" i="1"/>
  <c r="D761" i="1"/>
  <c r="C761" i="1"/>
  <c r="K760" i="1"/>
  <c r="H760" i="1"/>
  <c r="E760" i="1"/>
  <c r="D760" i="1"/>
  <c r="C760" i="1"/>
  <c r="K759" i="1"/>
  <c r="H759" i="1"/>
  <c r="E759" i="1"/>
  <c r="D759" i="1"/>
  <c r="C759" i="1"/>
  <c r="K758" i="1"/>
  <c r="H758" i="1"/>
  <c r="E758" i="1"/>
  <c r="D758" i="1"/>
  <c r="C758" i="1"/>
  <c r="K757" i="1"/>
  <c r="H757" i="1"/>
  <c r="E757" i="1"/>
  <c r="D757" i="1"/>
  <c r="C757" i="1"/>
  <c r="K756" i="1"/>
  <c r="H756" i="1"/>
  <c r="E756" i="1"/>
  <c r="D756" i="1"/>
  <c r="C756" i="1"/>
  <c r="K755" i="1"/>
  <c r="H755" i="1"/>
  <c r="E755" i="1"/>
  <c r="D755" i="1"/>
  <c r="C755" i="1"/>
  <c r="K754" i="1"/>
  <c r="H754" i="1"/>
  <c r="E754" i="1"/>
  <c r="D754" i="1"/>
  <c r="C754" i="1"/>
  <c r="K753" i="1"/>
  <c r="H753" i="1"/>
  <c r="E753" i="1"/>
  <c r="D753" i="1"/>
  <c r="C753" i="1"/>
  <c r="K752" i="1"/>
  <c r="H752" i="1"/>
  <c r="E752" i="1"/>
  <c r="D752" i="1"/>
  <c r="C752" i="1"/>
  <c r="K751" i="1"/>
  <c r="E751" i="1"/>
  <c r="D751" i="1"/>
  <c r="C751" i="1"/>
  <c r="K750" i="1"/>
  <c r="H750" i="1"/>
  <c r="E750" i="1"/>
  <c r="D750" i="1"/>
  <c r="C750" i="1"/>
  <c r="K749" i="1"/>
  <c r="H749" i="1"/>
  <c r="E749" i="1"/>
  <c r="D749" i="1"/>
  <c r="C749" i="1"/>
  <c r="K748" i="1"/>
  <c r="H748" i="1"/>
  <c r="E748" i="1"/>
  <c r="D748" i="1"/>
  <c r="C748" i="1"/>
  <c r="K747" i="1"/>
  <c r="H747" i="1"/>
  <c r="E747" i="1"/>
  <c r="D747" i="1"/>
  <c r="C747" i="1"/>
  <c r="K746" i="1"/>
  <c r="H746" i="1"/>
  <c r="E746" i="1"/>
  <c r="D746" i="1"/>
  <c r="C746" i="1"/>
  <c r="K745" i="1"/>
  <c r="H745" i="1"/>
  <c r="E745" i="1"/>
  <c r="D745" i="1"/>
  <c r="C745" i="1"/>
  <c r="K744" i="1"/>
  <c r="H744" i="1"/>
  <c r="E744" i="1"/>
  <c r="D744" i="1"/>
  <c r="C744" i="1"/>
  <c r="K743" i="1"/>
  <c r="H743" i="1"/>
  <c r="E743" i="1"/>
  <c r="D743" i="1"/>
  <c r="C743" i="1"/>
  <c r="K742" i="1"/>
  <c r="H742" i="1"/>
  <c r="E742" i="1"/>
  <c r="D742" i="1"/>
  <c r="C742" i="1"/>
  <c r="K741" i="1"/>
  <c r="H741" i="1"/>
  <c r="E741" i="1"/>
  <c r="D741" i="1"/>
  <c r="C741" i="1"/>
  <c r="K740" i="1"/>
  <c r="H740" i="1"/>
  <c r="E740" i="1"/>
  <c r="D740" i="1"/>
  <c r="C740" i="1"/>
  <c r="K739" i="1"/>
  <c r="H739" i="1"/>
  <c r="E739" i="1"/>
  <c r="D739" i="1"/>
  <c r="C739" i="1"/>
  <c r="K738" i="1"/>
  <c r="H738" i="1"/>
  <c r="E738" i="1"/>
  <c r="D738" i="1"/>
  <c r="C738" i="1"/>
  <c r="K737" i="1"/>
  <c r="H737" i="1"/>
  <c r="E737" i="1"/>
  <c r="D737" i="1"/>
  <c r="C737" i="1"/>
  <c r="K736" i="1"/>
  <c r="H736" i="1"/>
  <c r="E736" i="1"/>
  <c r="D736" i="1"/>
  <c r="C736" i="1"/>
  <c r="K735" i="1"/>
  <c r="H735" i="1"/>
  <c r="E735" i="1"/>
  <c r="D735" i="1"/>
  <c r="C735" i="1"/>
  <c r="K734" i="1"/>
  <c r="H734" i="1"/>
  <c r="E734" i="1"/>
  <c r="D734" i="1"/>
  <c r="C734" i="1"/>
  <c r="K733" i="1"/>
  <c r="H733" i="1"/>
  <c r="E733" i="1"/>
  <c r="D733" i="1"/>
  <c r="C733" i="1"/>
  <c r="K732" i="1"/>
  <c r="H732" i="1"/>
  <c r="E732" i="1"/>
  <c r="D732" i="1"/>
  <c r="C732" i="1"/>
  <c r="K731" i="1"/>
  <c r="H731" i="1"/>
  <c r="E731" i="1"/>
  <c r="D731" i="1"/>
  <c r="C731" i="1"/>
  <c r="K730" i="1"/>
  <c r="H730" i="1"/>
  <c r="E730" i="1"/>
  <c r="D730" i="1"/>
  <c r="C730" i="1"/>
  <c r="K729" i="1"/>
  <c r="H729" i="1"/>
  <c r="E729" i="1"/>
  <c r="C729" i="1"/>
  <c r="K728" i="1"/>
  <c r="H728" i="1"/>
  <c r="E728" i="1"/>
  <c r="D728" i="1"/>
  <c r="C728" i="1"/>
  <c r="K727" i="1"/>
  <c r="H727" i="1"/>
  <c r="E727" i="1"/>
  <c r="D727" i="1"/>
  <c r="C727" i="1"/>
  <c r="K726" i="1"/>
  <c r="H726" i="1"/>
  <c r="E726" i="1"/>
  <c r="D726" i="1"/>
  <c r="C726" i="1"/>
  <c r="K725" i="1"/>
  <c r="H725" i="1"/>
  <c r="E725" i="1"/>
  <c r="D725" i="1"/>
  <c r="C725" i="1"/>
  <c r="K724" i="1"/>
  <c r="H724" i="1"/>
  <c r="E724" i="1"/>
  <c r="D724" i="1"/>
  <c r="C724" i="1"/>
  <c r="K723" i="1"/>
  <c r="H723" i="1"/>
  <c r="E723" i="1"/>
  <c r="D723" i="1"/>
  <c r="C723" i="1"/>
  <c r="K722" i="1"/>
  <c r="H722" i="1"/>
  <c r="E722" i="1"/>
  <c r="C722" i="1"/>
  <c r="K721" i="1"/>
  <c r="H721" i="1"/>
  <c r="E721" i="1"/>
  <c r="D721" i="1"/>
  <c r="C721" i="1"/>
  <c r="K720" i="1"/>
  <c r="H720" i="1"/>
  <c r="E720" i="1"/>
  <c r="D720" i="1"/>
  <c r="C720" i="1"/>
  <c r="K719" i="1"/>
  <c r="H719" i="1"/>
  <c r="E719" i="1"/>
  <c r="D719" i="1"/>
  <c r="C719" i="1"/>
  <c r="K718" i="1"/>
  <c r="H718" i="1"/>
  <c r="E718" i="1"/>
  <c r="D718" i="1"/>
  <c r="C718" i="1"/>
  <c r="K717" i="1"/>
  <c r="H717" i="1"/>
  <c r="E717" i="1"/>
  <c r="D717" i="1"/>
  <c r="C717" i="1"/>
  <c r="K716" i="1"/>
  <c r="H716" i="1"/>
  <c r="E716" i="1"/>
  <c r="D716" i="1"/>
  <c r="C716" i="1"/>
  <c r="K715" i="1"/>
  <c r="H715" i="1"/>
  <c r="E715" i="1"/>
  <c r="D715" i="1"/>
  <c r="C715" i="1"/>
  <c r="K714" i="1"/>
  <c r="H714" i="1"/>
  <c r="E714" i="1"/>
  <c r="D714" i="1"/>
  <c r="C714" i="1"/>
  <c r="K713" i="1"/>
  <c r="H713" i="1"/>
  <c r="E713" i="1"/>
  <c r="D713" i="1"/>
  <c r="C713" i="1"/>
  <c r="K712" i="1"/>
  <c r="H712" i="1"/>
  <c r="E712" i="1"/>
  <c r="D712" i="1"/>
  <c r="C712" i="1"/>
  <c r="K711" i="1"/>
  <c r="H711" i="1"/>
  <c r="E711" i="1"/>
  <c r="D711" i="1"/>
  <c r="C711" i="1"/>
  <c r="K710" i="1"/>
  <c r="H710" i="1"/>
  <c r="E710" i="1"/>
  <c r="D710" i="1"/>
  <c r="C710" i="1"/>
  <c r="K709" i="1"/>
  <c r="H709" i="1"/>
  <c r="E709" i="1"/>
  <c r="D709" i="1"/>
  <c r="C709" i="1"/>
  <c r="K708" i="1"/>
  <c r="H708" i="1"/>
  <c r="E708" i="1"/>
  <c r="D708" i="1"/>
  <c r="C708" i="1"/>
  <c r="K707" i="1"/>
  <c r="H707" i="1"/>
  <c r="E707" i="1"/>
  <c r="D707" i="1"/>
  <c r="C707" i="1"/>
  <c r="K706" i="1"/>
  <c r="H706" i="1"/>
  <c r="E706" i="1"/>
  <c r="D706" i="1"/>
  <c r="C706" i="1"/>
  <c r="K705" i="1"/>
  <c r="H705" i="1"/>
  <c r="E705" i="1"/>
  <c r="D705" i="1"/>
  <c r="C705" i="1"/>
  <c r="K704" i="1"/>
  <c r="H704" i="1"/>
  <c r="E704" i="1"/>
  <c r="D704" i="1"/>
  <c r="C704" i="1"/>
  <c r="K703" i="1"/>
  <c r="H703" i="1"/>
  <c r="E703" i="1"/>
  <c r="D703" i="1"/>
  <c r="C703" i="1"/>
  <c r="K702" i="1"/>
  <c r="H702" i="1"/>
  <c r="E702" i="1"/>
  <c r="D702" i="1"/>
  <c r="C702" i="1"/>
  <c r="K701" i="1"/>
  <c r="H701" i="1"/>
  <c r="E701" i="1"/>
  <c r="D701" i="1"/>
  <c r="C701" i="1"/>
  <c r="K700" i="1"/>
  <c r="H700" i="1"/>
  <c r="E700" i="1"/>
  <c r="D700" i="1"/>
  <c r="C700" i="1"/>
  <c r="K699" i="1"/>
  <c r="H699" i="1"/>
  <c r="E699" i="1"/>
  <c r="D699" i="1"/>
  <c r="C699" i="1"/>
  <c r="K698" i="1"/>
  <c r="H698" i="1"/>
  <c r="E698" i="1"/>
  <c r="D698" i="1"/>
  <c r="C698" i="1"/>
  <c r="K697" i="1"/>
  <c r="H697" i="1"/>
  <c r="E697" i="1"/>
  <c r="D697" i="1"/>
  <c r="C697" i="1"/>
  <c r="K696" i="1"/>
  <c r="H696" i="1"/>
  <c r="E696" i="1"/>
  <c r="D696" i="1"/>
  <c r="C696" i="1"/>
  <c r="K695" i="1"/>
  <c r="H695" i="1"/>
  <c r="E695" i="1"/>
  <c r="D695" i="1"/>
  <c r="C695" i="1"/>
  <c r="K694" i="1"/>
  <c r="H694" i="1"/>
  <c r="E694" i="1"/>
  <c r="D694" i="1"/>
  <c r="C694" i="1"/>
  <c r="K693" i="1"/>
  <c r="H693" i="1"/>
  <c r="E693" i="1"/>
  <c r="D693" i="1"/>
  <c r="C693" i="1"/>
  <c r="H427" i="1" l="1"/>
  <c r="H527" i="1" l="1"/>
  <c r="K692" i="1"/>
  <c r="H692" i="1"/>
  <c r="E692" i="1"/>
  <c r="D692" i="1"/>
  <c r="C692" i="1"/>
  <c r="K691" i="1"/>
  <c r="H691" i="1"/>
  <c r="E691" i="1"/>
  <c r="D691" i="1"/>
  <c r="C691" i="1"/>
  <c r="K690" i="1"/>
  <c r="H690" i="1"/>
  <c r="E690" i="1"/>
  <c r="D690" i="1"/>
  <c r="C690" i="1"/>
  <c r="K689" i="1"/>
  <c r="H689" i="1"/>
  <c r="E689" i="1"/>
  <c r="D689" i="1"/>
  <c r="C689" i="1"/>
  <c r="K688" i="1"/>
  <c r="H688" i="1"/>
  <c r="E688" i="1"/>
  <c r="D688" i="1"/>
  <c r="C688" i="1"/>
  <c r="K687" i="1"/>
  <c r="H687" i="1"/>
  <c r="E687" i="1"/>
  <c r="D687" i="1"/>
  <c r="C687" i="1"/>
  <c r="K686" i="1"/>
  <c r="H686" i="1"/>
  <c r="E686" i="1"/>
  <c r="D686" i="1"/>
  <c r="C686" i="1"/>
  <c r="K685" i="1"/>
  <c r="H685" i="1"/>
  <c r="E685" i="1"/>
  <c r="D685" i="1"/>
  <c r="C685" i="1"/>
  <c r="K684" i="1"/>
  <c r="H684" i="1"/>
  <c r="E684" i="1"/>
  <c r="D684" i="1"/>
  <c r="C684" i="1"/>
  <c r="K683" i="1"/>
  <c r="H683" i="1"/>
  <c r="E683" i="1"/>
  <c r="D683" i="1"/>
  <c r="C683" i="1"/>
  <c r="K682" i="1"/>
  <c r="H682" i="1"/>
  <c r="E682" i="1"/>
  <c r="D682" i="1"/>
  <c r="C682" i="1"/>
  <c r="K681" i="1"/>
  <c r="H681" i="1"/>
  <c r="E681" i="1"/>
  <c r="D681" i="1"/>
  <c r="C681" i="1"/>
  <c r="K680" i="1"/>
  <c r="H680" i="1"/>
  <c r="E680" i="1"/>
  <c r="D680" i="1"/>
  <c r="C680" i="1"/>
  <c r="K679" i="1"/>
  <c r="H679" i="1"/>
  <c r="E679" i="1"/>
  <c r="D679" i="1"/>
  <c r="C679" i="1"/>
  <c r="K678" i="1"/>
  <c r="H678" i="1"/>
  <c r="E678" i="1"/>
  <c r="D678" i="1"/>
  <c r="C678" i="1"/>
  <c r="K677" i="1"/>
  <c r="H677" i="1"/>
  <c r="E677" i="1"/>
  <c r="D677" i="1"/>
  <c r="C677" i="1"/>
  <c r="K676" i="1"/>
  <c r="H676" i="1"/>
  <c r="E676" i="1"/>
  <c r="D676" i="1"/>
  <c r="C676" i="1"/>
  <c r="K675" i="1"/>
  <c r="H675" i="1"/>
  <c r="E675" i="1"/>
  <c r="D675" i="1"/>
  <c r="C675" i="1"/>
  <c r="K674" i="1"/>
  <c r="H674" i="1"/>
  <c r="E674" i="1"/>
  <c r="D674" i="1"/>
  <c r="C674" i="1"/>
  <c r="K673" i="1"/>
  <c r="H673" i="1"/>
  <c r="E673" i="1"/>
  <c r="D673" i="1"/>
  <c r="C673" i="1"/>
  <c r="K672" i="1"/>
  <c r="H672" i="1"/>
  <c r="E672" i="1"/>
  <c r="D672" i="1"/>
  <c r="C672" i="1"/>
  <c r="K671" i="1"/>
  <c r="H671" i="1"/>
  <c r="E671" i="1"/>
  <c r="D671" i="1"/>
  <c r="C671" i="1"/>
  <c r="K670" i="1"/>
  <c r="H670" i="1"/>
  <c r="E670" i="1"/>
  <c r="D670" i="1"/>
  <c r="C670" i="1"/>
  <c r="K669" i="1"/>
  <c r="H669" i="1"/>
  <c r="E669" i="1"/>
  <c r="D669" i="1"/>
  <c r="C669" i="1"/>
  <c r="K668" i="1"/>
  <c r="H668" i="1"/>
  <c r="E668" i="1"/>
  <c r="D668" i="1"/>
  <c r="C668" i="1"/>
  <c r="K667" i="1"/>
  <c r="H667" i="1"/>
  <c r="E667" i="1"/>
  <c r="D667" i="1"/>
  <c r="C667" i="1"/>
  <c r="K666" i="1"/>
  <c r="H666" i="1"/>
  <c r="E666" i="1"/>
  <c r="D666" i="1"/>
  <c r="C666" i="1"/>
  <c r="K665" i="1"/>
  <c r="H665" i="1"/>
  <c r="E665" i="1"/>
  <c r="D665" i="1"/>
  <c r="C665" i="1"/>
  <c r="K664" i="1"/>
  <c r="H664" i="1"/>
  <c r="E664" i="1"/>
  <c r="D664" i="1"/>
  <c r="C664" i="1"/>
  <c r="K663" i="1"/>
  <c r="H663" i="1"/>
  <c r="E663" i="1"/>
  <c r="D663" i="1"/>
  <c r="C663" i="1"/>
  <c r="K662" i="1"/>
  <c r="H662" i="1"/>
  <c r="E662" i="1"/>
  <c r="D662" i="1"/>
  <c r="C662" i="1"/>
  <c r="K661" i="1"/>
  <c r="H661" i="1"/>
  <c r="E661" i="1"/>
  <c r="D661" i="1"/>
  <c r="C661" i="1"/>
  <c r="K660" i="1"/>
  <c r="H660" i="1"/>
  <c r="E660" i="1"/>
  <c r="D660" i="1"/>
  <c r="C660" i="1"/>
  <c r="K659" i="1"/>
  <c r="H659" i="1"/>
  <c r="E659" i="1"/>
  <c r="D659" i="1"/>
  <c r="C659" i="1"/>
  <c r="K658" i="1"/>
  <c r="H658" i="1"/>
  <c r="E658" i="1"/>
  <c r="D658" i="1"/>
  <c r="C658" i="1"/>
  <c r="K657" i="1"/>
  <c r="H657" i="1"/>
  <c r="E657" i="1"/>
  <c r="D657" i="1"/>
  <c r="C657" i="1"/>
  <c r="K656" i="1"/>
  <c r="H656" i="1"/>
  <c r="E656" i="1"/>
  <c r="D656" i="1"/>
  <c r="C656" i="1"/>
  <c r="K655" i="1"/>
  <c r="H655" i="1"/>
  <c r="E655" i="1"/>
  <c r="D655" i="1"/>
  <c r="C655" i="1"/>
  <c r="K654" i="1"/>
  <c r="H654" i="1"/>
  <c r="E654" i="1"/>
  <c r="D654" i="1"/>
  <c r="C654" i="1"/>
  <c r="K653" i="1"/>
  <c r="H653" i="1"/>
  <c r="E653" i="1"/>
  <c r="D653" i="1"/>
  <c r="C653" i="1"/>
  <c r="K652" i="1"/>
  <c r="H652" i="1"/>
  <c r="E652" i="1"/>
  <c r="D652" i="1"/>
  <c r="C652" i="1"/>
  <c r="K651" i="1"/>
  <c r="H651" i="1"/>
  <c r="E651" i="1"/>
  <c r="D651" i="1"/>
  <c r="C651" i="1"/>
  <c r="K650" i="1"/>
  <c r="H650" i="1"/>
  <c r="E650" i="1"/>
  <c r="D650" i="1"/>
  <c r="C650" i="1"/>
  <c r="K649" i="1"/>
  <c r="H649" i="1"/>
  <c r="E649" i="1"/>
  <c r="D649" i="1"/>
  <c r="C649" i="1"/>
  <c r="K648" i="1"/>
  <c r="H648" i="1"/>
  <c r="E648" i="1"/>
  <c r="D648" i="1"/>
  <c r="C648" i="1"/>
  <c r="K647" i="1"/>
  <c r="H647" i="1"/>
  <c r="E647" i="1"/>
  <c r="D647" i="1"/>
  <c r="C647" i="1"/>
  <c r="K646" i="1"/>
  <c r="H646" i="1"/>
  <c r="E646" i="1"/>
  <c r="D646" i="1"/>
  <c r="C646" i="1"/>
  <c r="K645" i="1"/>
  <c r="H645" i="1"/>
  <c r="E645" i="1"/>
  <c r="D645" i="1"/>
  <c r="C645" i="1"/>
  <c r="K644" i="1"/>
  <c r="H644" i="1"/>
  <c r="E644" i="1"/>
  <c r="D644" i="1"/>
  <c r="C644" i="1"/>
  <c r="K643" i="1"/>
  <c r="H643" i="1"/>
  <c r="E643" i="1"/>
  <c r="D643" i="1"/>
  <c r="C643" i="1"/>
  <c r="K642" i="1"/>
  <c r="H642" i="1"/>
  <c r="E642" i="1"/>
  <c r="D642" i="1"/>
  <c r="C642" i="1"/>
  <c r="K641" i="1"/>
  <c r="H641" i="1"/>
  <c r="E641" i="1"/>
  <c r="D641" i="1"/>
  <c r="C641" i="1"/>
  <c r="K640" i="1"/>
  <c r="H640" i="1"/>
  <c r="E640" i="1"/>
  <c r="D640" i="1"/>
  <c r="C640" i="1"/>
  <c r="K639" i="1"/>
  <c r="H639" i="1"/>
  <c r="E639" i="1"/>
  <c r="D639" i="1"/>
  <c r="C639" i="1"/>
  <c r="K638" i="1"/>
  <c r="H638" i="1"/>
  <c r="E638" i="1"/>
  <c r="D638" i="1"/>
  <c r="C638" i="1"/>
  <c r="K637" i="1"/>
  <c r="H637" i="1"/>
  <c r="E637" i="1"/>
  <c r="D637" i="1"/>
  <c r="C637" i="1"/>
  <c r="K636" i="1"/>
  <c r="H636" i="1"/>
  <c r="E636" i="1"/>
  <c r="D636" i="1"/>
  <c r="C636" i="1"/>
  <c r="K635" i="1"/>
  <c r="H635" i="1"/>
  <c r="E635" i="1"/>
  <c r="D635" i="1"/>
  <c r="C635" i="1"/>
  <c r="K634" i="1"/>
  <c r="H634" i="1"/>
  <c r="E634" i="1"/>
  <c r="D634" i="1"/>
  <c r="C634" i="1"/>
  <c r="K633" i="1"/>
  <c r="H633" i="1"/>
  <c r="E633" i="1"/>
  <c r="D633" i="1"/>
  <c r="C633" i="1"/>
  <c r="K632" i="1"/>
  <c r="H632" i="1"/>
  <c r="E632" i="1"/>
  <c r="D632" i="1"/>
  <c r="C632" i="1"/>
  <c r="K631" i="1"/>
  <c r="H631" i="1"/>
  <c r="E631" i="1"/>
  <c r="D631" i="1"/>
  <c r="C631" i="1"/>
  <c r="K630" i="1"/>
  <c r="H630" i="1"/>
  <c r="E630" i="1"/>
  <c r="D630" i="1"/>
  <c r="C630" i="1"/>
  <c r="K629" i="1"/>
  <c r="H629" i="1"/>
  <c r="E629" i="1"/>
  <c r="D629" i="1"/>
  <c r="C629" i="1"/>
  <c r="K628" i="1"/>
  <c r="H628" i="1"/>
  <c r="E628" i="1"/>
  <c r="D628" i="1"/>
  <c r="C628" i="1"/>
  <c r="K627" i="1"/>
  <c r="H627" i="1"/>
  <c r="E627" i="1"/>
  <c r="D627" i="1"/>
  <c r="C627" i="1"/>
  <c r="K626" i="1"/>
  <c r="H626" i="1"/>
  <c r="E626" i="1"/>
  <c r="D626" i="1"/>
  <c r="C626" i="1"/>
  <c r="K625" i="1"/>
  <c r="H625" i="1"/>
  <c r="E625" i="1"/>
  <c r="D625" i="1"/>
  <c r="C625" i="1"/>
  <c r="K624" i="1"/>
  <c r="H624" i="1"/>
  <c r="E624" i="1"/>
  <c r="D624" i="1"/>
  <c r="C624" i="1"/>
  <c r="K623" i="1"/>
  <c r="H623" i="1"/>
  <c r="E623" i="1"/>
  <c r="D623" i="1"/>
  <c r="C623" i="1"/>
  <c r="K622" i="1"/>
  <c r="H622" i="1"/>
  <c r="E622" i="1"/>
  <c r="D622" i="1"/>
  <c r="C622" i="1"/>
  <c r="K621" i="1"/>
  <c r="H621" i="1"/>
  <c r="E621" i="1"/>
  <c r="D621" i="1"/>
  <c r="C621" i="1"/>
  <c r="K620" i="1"/>
  <c r="H620" i="1"/>
  <c r="E620" i="1"/>
  <c r="D620" i="1"/>
  <c r="C620" i="1"/>
  <c r="K619" i="1"/>
  <c r="H619" i="1"/>
  <c r="E619" i="1"/>
  <c r="D619" i="1"/>
  <c r="C619" i="1"/>
  <c r="K618" i="1"/>
  <c r="H618" i="1"/>
  <c r="E618" i="1"/>
  <c r="D618" i="1"/>
  <c r="C618" i="1"/>
  <c r="K617" i="1"/>
  <c r="H617" i="1"/>
  <c r="E617" i="1"/>
  <c r="D617" i="1"/>
  <c r="C617" i="1"/>
  <c r="K616" i="1"/>
  <c r="H616" i="1"/>
  <c r="E616" i="1"/>
  <c r="D616" i="1"/>
  <c r="C616" i="1"/>
  <c r="K615" i="1"/>
  <c r="H615" i="1"/>
  <c r="E615" i="1"/>
  <c r="D615" i="1"/>
  <c r="C615" i="1"/>
  <c r="K614" i="1"/>
  <c r="H614" i="1"/>
  <c r="E614" i="1"/>
  <c r="D614" i="1"/>
  <c r="C614" i="1"/>
  <c r="K613" i="1"/>
  <c r="H613" i="1"/>
  <c r="E613" i="1"/>
  <c r="D613" i="1"/>
  <c r="C613" i="1"/>
  <c r="K612" i="1"/>
  <c r="H612" i="1"/>
  <c r="E612" i="1"/>
  <c r="D612" i="1"/>
  <c r="C612" i="1"/>
  <c r="K611" i="1"/>
  <c r="H611" i="1"/>
  <c r="E611" i="1"/>
  <c r="D611" i="1"/>
  <c r="C611" i="1"/>
  <c r="K610" i="1"/>
  <c r="H610" i="1"/>
  <c r="E610" i="1"/>
  <c r="D610" i="1"/>
  <c r="C610" i="1"/>
  <c r="K609" i="1"/>
  <c r="H609" i="1"/>
  <c r="E609" i="1"/>
  <c r="D609" i="1"/>
  <c r="C609" i="1"/>
  <c r="K608" i="1"/>
  <c r="H608" i="1"/>
  <c r="E608" i="1"/>
  <c r="D608" i="1"/>
  <c r="C608" i="1"/>
  <c r="K607" i="1"/>
  <c r="H607" i="1"/>
  <c r="E607" i="1"/>
  <c r="D607" i="1"/>
  <c r="C607" i="1"/>
  <c r="K606" i="1"/>
  <c r="H606" i="1"/>
  <c r="E606" i="1"/>
  <c r="D606" i="1"/>
  <c r="C606" i="1"/>
  <c r="K605" i="1"/>
  <c r="H605" i="1"/>
  <c r="E605" i="1"/>
  <c r="D605" i="1"/>
  <c r="C605" i="1"/>
  <c r="K604" i="1"/>
  <c r="H604" i="1"/>
  <c r="E604" i="1"/>
  <c r="D604" i="1"/>
  <c r="C604" i="1"/>
  <c r="K603" i="1"/>
  <c r="H603" i="1"/>
  <c r="E603" i="1"/>
  <c r="D603" i="1"/>
  <c r="C603" i="1"/>
  <c r="K602" i="1"/>
  <c r="H602" i="1"/>
  <c r="E602" i="1"/>
  <c r="D602" i="1"/>
  <c r="C602" i="1"/>
  <c r="K601" i="1"/>
  <c r="H601" i="1"/>
  <c r="E601" i="1"/>
  <c r="D601" i="1"/>
  <c r="C601" i="1"/>
  <c r="K600" i="1"/>
  <c r="H600" i="1"/>
  <c r="E600" i="1"/>
  <c r="D600" i="1"/>
  <c r="C600" i="1"/>
  <c r="K599" i="1"/>
  <c r="H599" i="1"/>
  <c r="E599" i="1"/>
  <c r="D599" i="1"/>
  <c r="C599" i="1"/>
  <c r="K598" i="1"/>
  <c r="H598" i="1"/>
  <c r="E598" i="1"/>
  <c r="D598" i="1"/>
  <c r="C598" i="1"/>
  <c r="K597" i="1"/>
  <c r="H597" i="1"/>
  <c r="E597" i="1"/>
  <c r="D597" i="1"/>
  <c r="C597" i="1"/>
  <c r="K596" i="1"/>
  <c r="H596" i="1"/>
  <c r="E596" i="1"/>
  <c r="D596" i="1"/>
  <c r="C596" i="1"/>
  <c r="K595" i="1"/>
  <c r="H595" i="1"/>
  <c r="E595" i="1"/>
  <c r="D595" i="1"/>
  <c r="C595" i="1"/>
  <c r="K594" i="1"/>
  <c r="H594" i="1"/>
  <c r="E594" i="1"/>
  <c r="D594" i="1"/>
  <c r="C594" i="1"/>
  <c r="K593" i="1"/>
  <c r="H593" i="1"/>
  <c r="E593" i="1"/>
  <c r="D593" i="1"/>
  <c r="C593" i="1"/>
  <c r="K592" i="1"/>
  <c r="H592" i="1"/>
  <c r="E592" i="1"/>
  <c r="D592" i="1"/>
  <c r="C592" i="1"/>
  <c r="K591" i="1"/>
  <c r="H591" i="1"/>
  <c r="E591" i="1"/>
  <c r="D591" i="1"/>
  <c r="C591" i="1"/>
  <c r="K590" i="1"/>
  <c r="H590" i="1"/>
  <c r="E590" i="1"/>
  <c r="D590" i="1"/>
  <c r="C590" i="1"/>
  <c r="K589" i="1"/>
  <c r="H589" i="1"/>
  <c r="E589" i="1"/>
  <c r="D589" i="1"/>
  <c r="C589" i="1"/>
  <c r="K588" i="1"/>
  <c r="H588" i="1"/>
  <c r="E588" i="1"/>
  <c r="D588" i="1"/>
  <c r="C588" i="1"/>
  <c r="K587" i="1"/>
  <c r="H587" i="1"/>
  <c r="E587" i="1"/>
  <c r="D587" i="1"/>
  <c r="C587" i="1"/>
  <c r="K586" i="1"/>
  <c r="H586" i="1"/>
  <c r="E586" i="1"/>
  <c r="D586" i="1"/>
  <c r="C586" i="1"/>
  <c r="K585" i="1"/>
  <c r="H585" i="1"/>
  <c r="E585" i="1"/>
  <c r="D585" i="1"/>
  <c r="C585" i="1"/>
  <c r="K584" i="1"/>
  <c r="H584" i="1"/>
  <c r="E584" i="1"/>
  <c r="D584" i="1"/>
  <c r="C584" i="1"/>
  <c r="K583" i="1"/>
  <c r="H583" i="1"/>
  <c r="E583" i="1"/>
  <c r="D583" i="1"/>
  <c r="C583" i="1"/>
  <c r="K582" i="1"/>
  <c r="H582" i="1"/>
  <c r="E582" i="1"/>
  <c r="D582" i="1"/>
  <c r="C582" i="1"/>
  <c r="K581" i="1"/>
  <c r="H581" i="1"/>
  <c r="E581" i="1"/>
  <c r="D581" i="1"/>
  <c r="C581" i="1"/>
  <c r="K580" i="1"/>
  <c r="H580" i="1"/>
  <c r="E580" i="1"/>
  <c r="D580" i="1"/>
  <c r="C580" i="1"/>
  <c r="K579" i="1"/>
  <c r="H579" i="1"/>
  <c r="E579" i="1"/>
  <c r="D579" i="1"/>
  <c r="C579" i="1"/>
  <c r="K578" i="1"/>
  <c r="H578" i="1"/>
  <c r="E578" i="1"/>
  <c r="D578" i="1"/>
  <c r="C578" i="1"/>
  <c r="K577" i="1"/>
  <c r="H577" i="1"/>
  <c r="E577" i="1"/>
  <c r="D577" i="1"/>
  <c r="C577" i="1"/>
  <c r="K576" i="1"/>
  <c r="H576" i="1"/>
  <c r="E576" i="1"/>
  <c r="D576" i="1"/>
  <c r="C576" i="1"/>
  <c r="K575" i="1"/>
  <c r="H575" i="1"/>
  <c r="E575" i="1"/>
  <c r="D575" i="1"/>
  <c r="C575" i="1"/>
  <c r="K574" i="1"/>
  <c r="H574" i="1"/>
  <c r="E574" i="1"/>
  <c r="D574" i="1"/>
  <c r="C574" i="1"/>
  <c r="K573" i="1"/>
  <c r="H573" i="1"/>
  <c r="E573" i="1"/>
  <c r="D573" i="1"/>
  <c r="C573" i="1"/>
  <c r="K572" i="1"/>
  <c r="H572" i="1"/>
  <c r="E572" i="1"/>
  <c r="D572" i="1"/>
  <c r="C572" i="1"/>
  <c r="K571" i="1"/>
  <c r="H571" i="1"/>
  <c r="E571" i="1"/>
  <c r="D571" i="1"/>
  <c r="C571" i="1"/>
  <c r="K570" i="1"/>
  <c r="H570" i="1"/>
  <c r="E570" i="1"/>
  <c r="D570" i="1"/>
  <c r="C570" i="1"/>
  <c r="K569" i="1"/>
  <c r="H569" i="1"/>
  <c r="E569" i="1"/>
  <c r="D569" i="1"/>
  <c r="C569" i="1"/>
  <c r="K568" i="1"/>
  <c r="H568" i="1"/>
  <c r="E568" i="1"/>
  <c r="D568" i="1"/>
  <c r="C568" i="1"/>
  <c r="K567" i="1"/>
  <c r="H567" i="1"/>
  <c r="E567" i="1"/>
  <c r="D567" i="1"/>
  <c r="C567" i="1"/>
  <c r="K566" i="1"/>
  <c r="H566" i="1"/>
  <c r="E566" i="1"/>
  <c r="D566" i="1"/>
  <c r="C566" i="1"/>
  <c r="K565" i="1"/>
  <c r="H565" i="1"/>
  <c r="E565" i="1"/>
  <c r="D565" i="1"/>
  <c r="C565" i="1"/>
  <c r="K564" i="1"/>
  <c r="H564" i="1"/>
  <c r="E564" i="1"/>
  <c r="D564" i="1"/>
  <c r="C564" i="1"/>
  <c r="K563" i="1"/>
  <c r="H563" i="1"/>
  <c r="E563" i="1"/>
  <c r="D563" i="1"/>
  <c r="C563" i="1"/>
  <c r="K562" i="1"/>
  <c r="H562" i="1"/>
  <c r="E562" i="1"/>
  <c r="D562" i="1"/>
  <c r="C562" i="1"/>
  <c r="K561" i="1"/>
  <c r="H561" i="1"/>
  <c r="E561" i="1"/>
  <c r="D561" i="1"/>
  <c r="C561" i="1"/>
  <c r="K560" i="1"/>
  <c r="H560" i="1"/>
  <c r="E560" i="1"/>
  <c r="D560" i="1"/>
  <c r="C560" i="1"/>
  <c r="K559" i="1"/>
  <c r="H559" i="1"/>
  <c r="E559" i="1"/>
  <c r="D559" i="1"/>
  <c r="C559" i="1"/>
  <c r="K558" i="1"/>
  <c r="H558" i="1"/>
  <c r="E558" i="1"/>
  <c r="D558" i="1"/>
  <c r="C558" i="1"/>
  <c r="K557" i="1"/>
  <c r="H557" i="1"/>
  <c r="E557" i="1"/>
  <c r="D557" i="1"/>
  <c r="C557" i="1"/>
  <c r="K556" i="1"/>
  <c r="H556" i="1"/>
  <c r="E556" i="1"/>
  <c r="D556" i="1"/>
  <c r="C556" i="1"/>
  <c r="K555" i="1"/>
  <c r="H555" i="1"/>
  <c r="E555" i="1"/>
  <c r="D555" i="1"/>
  <c r="C555" i="1"/>
  <c r="K554" i="1"/>
  <c r="H554" i="1"/>
  <c r="E554" i="1"/>
  <c r="D554" i="1"/>
  <c r="C554" i="1"/>
  <c r="K553" i="1"/>
  <c r="H553" i="1"/>
  <c r="E553" i="1"/>
  <c r="D553" i="1"/>
  <c r="C553" i="1"/>
  <c r="K552" i="1"/>
  <c r="H552" i="1"/>
  <c r="E552" i="1"/>
  <c r="D552" i="1"/>
  <c r="C552" i="1"/>
  <c r="K551" i="1"/>
  <c r="H551" i="1"/>
  <c r="E551" i="1"/>
  <c r="D551" i="1"/>
  <c r="C551" i="1"/>
  <c r="K550" i="1"/>
  <c r="H550" i="1"/>
  <c r="E550" i="1"/>
  <c r="D550" i="1"/>
  <c r="C550" i="1"/>
  <c r="K549" i="1"/>
  <c r="H549" i="1"/>
  <c r="E549" i="1"/>
  <c r="D549" i="1"/>
  <c r="C549" i="1"/>
  <c r="K548" i="1"/>
  <c r="H548" i="1"/>
  <c r="E548" i="1"/>
  <c r="D548" i="1"/>
  <c r="C548" i="1"/>
  <c r="K547" i="1"/>
  <c r="H547" i="1"/>
  <c r="E547" i="1"/>
  <c r="D547" i="1"/>
  <c r="C547" i="1"/>
  <c r="K546" i="1"/>
  <c r="H546" i="1"/>
  <c r="E546" i="1"/>
  <c r="D546" i="1"/>
  <c r="C546" i="1"/>
  <c r="K545" i="1"/>
  <c r="H545" i="1"/>
  <c r="E545" i="1"/>
  <c r="D545" i="1"/>
  <c r="C545" i="1"/>
  <c r="K544" i="1"/>
  <c r="H544" i="1"/>
  <c r="E544" i="1"/>
  <c r="D544" i="1"/>
  <c r="C544" i="1"/>
  <c r="K543" i="1"/>
  <c r="H543" i="1"/>
  <c r="E543" i="1"/>
  <c r="D543" i="1"/>
  <c r="C543" i="1"/>
  <c r="K542" i="1"/>
  <c r="H542" i="1"/>
  <c r="E542" i="1"/>
  <c r="D542" i="1"/>
  <c r="C542" i="1"/>
  <c r="K541" i="1"/>
  <c r="H541" i="1"/>
  <c r="E541" i="1"/>
  <c r="D541" i="1"/>
  <c r="C541" i="1"/>
  <c r="K540" i="1"/>
  <c r="H540" i="1"/>
  <c r="E540" i="1"/>
  <c r="D540" i="1"/>
  <c r="C540" i="1"/>
  <c r="K539" i="1"/>
  <c r="H539" i="1"/>
  <c r="E539" i="1"/>
  <c r="D539" i="1"/>
  <c r="C539" i="1"/>
  <c r="K538" i="1"/>
  <c r="H538" i="1"/>
  <c r="E538" i="1"/>
  <c r="D538" i="1"/>
  <c r="C538" i="1"/>
  <c r="K537" i="1"/>
  <c r="H537" i="1"/>
  <c r="E537" i="1"/>
  <c r="D537" i="1"/>
  <c r="C537" i="1"/>
  <c r="K536" i="1"/>
  <c r="H536" i="1"/>
  <c r="E536" i="1"/>
  <c r="D536" i="1"/>
  <c r="C536" i="1"/>
  <c r="K535" i="1"/>
  <c r="H535" i="1"/>
  <c r="E535" i="1"/>
  <c r="D535" i="1"/>
  <c r="C535" i="1"/>
  <c r="K534" i="1"/>
  <c r="H534" i="1"/>
  <c r="E534" i="1"/>
  <c r="D534" i="1"/>
  <c r="C534" i="1"/>
  <c r="K533" i="1"/>
  <c r="H533" i="1"/>
  <c r="E533" i="1"/>
  <c r="D533" i="1"/>
  <c r="C533" i="1"/>
  <c r="K532" i="1"/>
  <c r="H532" i="1"/>
  <c r="E532" i="1"/>
  <c r="D532" i="1"/>
  <c r="C532" i="1"/>
  <c r="K531" i="1"/>
  <c r="H531" i="1"/>
  <c r="E531" i="1"/>
  <c r="D531" i="1"/>
  <c r="C531" i="1"/>
  <c r="K530" i="1"/>
  <c r="H530" i="1"/>
  <c r="E530" i="1"/>
  <c r="D530" i="1"/>
  <c r="C530" i="1"/>
  <c r="K529" i="1"/>
  <c r="H529" i="1"/>
  <c r="E529" i="1"/>
  <c r="D529" i="1"/>
  <c r="C529" i="1"/>
  <c r="K528" i="1"/>
  <c r="H528" i="1"/>
  <c r="E528" i="1"/>
  <c r="D528" i="1"/>
  <c r="C528" i="1"/>
  <c r="K527" i="1"/>
  <c r="E527" i="1"/>
  <c r="D527" i="1"/>
  <c r="C527" i="1"/>
  <c r="K526" i="1"/>
  <c r="H526" i="1"/>
  <c r="E526" i="1"/>
  <c r="D526" i="1"/>
  <c r="C526" i="1"/>
  <c r="K525" i="1"/>
  <c r="H525" i="1"/>
  <c r="E525" i="1"/>
  <c r="D525" i="1"/>
  <c r="C525" i="1"/>
  <c r="K524" i="1"/>
  <c r="H524" i="1"/>
  <c r="E524" i="1"/>
  <c r="D524" i="1"/>
  <c r="C524" i="1"/>
  <c r="K523" i="1"/>
  <c r="H523" i="1"/>
  <c r="E523" i="1"/>
  <c r="D523" i="1"/>
  <c r="C523" i="1"/>
  <c r="K522" i="1"/>
  <c r="H522" i="1"/>
  <c r="E522" i="1"/>
  <c r="D522" i="1"/>
  <c r="C522" i="1"/>
  <c r="K521" i="1"/>
  <c r="H521" i="1"/>
  <c r="E521" i="1"/>
  <c r="D521" i="1"/>
  <c r="C521" i="1"/>
  <c r="K520" i="1"/>
  <c r="H520" i="1"/>
  <c r="E520" i="1"/>
  <c r="D520" i="1"/>
  <c r="C520" i="1"/>
  <c r="K519" i="1"/>
  <c r="H519" i="1"/>
  <c r="E519" i="1"/>
  <c r="D519" i="1"/>
  <c r="C519" i="1"/>
  <c r="K518" i="1"/>
  <c r="H518" i="1"/>
  <c r="E518" i="1"/>
  <c r="D518" i="1"/>
  <c r="C518" i="1"/>
  <c r="K517" i="1"/>
  <c r="H517" i="1"/>
  <c r="E517" i="1"/>
  <c r="D517" i="1"/>
  <c r="C517" i="1"/>
  <c r="K516" i="1"/>
  <c r="H516" i="1"/>
  <c r="E516" i="1"/>
  <c r="D516" i="1"/>
  <c r="C516" i="1"/>
  <c r="K515" i="1"/>
  <c r="H515" i="1"/>
  <c r="E515" i="1"/>
  <c r="D515" i="1"/>
  <c r="C515" i="1"/>
  <c r="K514" i="1"/>
  <c r="H514" i="1"/>
  <c r="E514" i="1"/>
  <c r="D514" i="1"/>
  <c r="C514" i="1"/>
  <c r="K513" i="1"/>
  <c r="H513" i="1"/>
  <c r="E513" i="1"/>
  <c r="D513" i="1"/>
  <c r="C513" i="1"/>
  <c r="K512" i="1"/>
  <c r="H512" i="1"/>
  <c r="E512" i="1"/>
  <c r="D512" i="1"/>
  <c r="C512" i="1"/>
  <c r="K511" i="1"/>
  <c r="H511" i="1"/>
  <c r="E511" i="1"/>
  <c r="D511" i="1"/>
  <c r="C511" i="1"/>
  <c r="K510" i="1"/>
  <c r="H510" i="1"/>
  <c r="E510" i="1"/>
  <c r="D510" i="1"/>
  <c r="C510" i="1"/>
  <c r="K509" i="1"/>
  <c r="H509" i="1"/>
  <c r="E509" i="1"/>
  <c r="D509" i="1"/>
  <c r="C509" i="1"/>
  <c r="K508" i="1"/>
  <c r="H508" i="1"/>
  <c r="E508" i="1"/>
  <c r="D508" i="1"/>
  <c r="C508" i="1"/>
  <c r="K507" i="1"/>
  <c r="H507" i="1"/>
  <c r="E507" i="1"/>
  <c r="D507" i="1"/>
  <c r="C507" i="1"/>
  <c r="K506" i="1"/>
  <c r="H506" i="1"/>
  <c r="E506" i="1"/>
  <c r="D506" i="1"/>
  <c r="C506" i="1"/>
  <c r="K505" i="1"/>
  <c r="H505" i="1"/>
  <c r="E505" i="1"/>
  <c r="D505" i="1"/>
  <c r="C505" i="1"/>
  <c r="K504" i="1"/>
  <c r="H504" i="1"/>
  <c r="E504" i="1"/>
  <c r="D504" i="1"/>
  <c r="C504" i="1"/>
  <c r="K503" i="1"/>
  <c r="H503" i="1"/>
  <c r="E503" i="1"/>
  <c r="D503" i="1"/>
  <c r="C503" i="1"/>
  <c r="K502" i="1"/>
  <c r="H502" i="1"/>
  <c r="E502" i="1"/>
  <c r="D502" i="1"/>
  <c r="C502" i="1"/>
  <c r="K501" i="1"/>
  <c r="H501" i="1"/>
  <c r="E501" i="1"/>
  <c r="C501" i="1"/>
  <c r="K500" i="1"/>
  <c r="H500" i="1"/>
  <c r="E500" i="1"/>
  <c r="D500" i="1"/>
  <c r="C500" i="1"/>
  <c r="K499" i="1"/>
  <c r="H499" i="1"/>
  <c r="E499" i="1"/>
  <c r="D499" i="1"/>
  <c r="C499" i="1"/>
  <c r="K498" i="1"/>
  <c r="H498" i="1"/>
  <c r="E498" i="1"/>
  <c r="D498" i="1"/>
  <c r="C498" i="1"/>
  <c r="K497" i="1"/>
  <c r="H497" i="1"/>
  <c r="E497" i="1"/>
  <c r="D497" i="1"/>
  <c r="C497" i="1"/>
  <c r="K496" i="1"/>
  <c r="H496" i="1"/>
  <c r="E496" i="1"/>
  <c r="D496" i="1"/>
  <c r="C496" i="1"/>
  <c r="K495" i="1"/>
  <c r="H495" i="1"/>
  <c r="E495" i="1"/>
  <c r="D495" i="1"/>
  <c r="C495" i="1"/>
  <c r="K494" i="1"/>
  <c r="H494" i="1"/>
  <c r="E494" i="1"/>
  <c r="D494" i="1"/>
  <c r="C494" i="1"/>
  <c r="K493" i="1"/>
  <c r="H493" i="1"/>
  <c r="E493" i="1"/>
  <c r="D493" i="1"/>
  <c r="C493" i="1"/>
  <c r="K492" i="1"/>
  <c r="H492" i="1"/>
  <c r="E492" i="1"/>
  <c r="D492" i="1"/>
  <c r="C492" i="1"/>
  <c r="K491" i="1"/>
  <c r="H491" i="1"/>
  <c r="E491" i="1"/>
  <c r="D491" i="1"/>
  <c r="C491" i="1"/>
  <c r="K490" i="1"/>
  <c r="H490" i="1"/>
  <c r="E490" i="1"/>
  <c r="D490" i="1"/>
  <c r="C490" i="1"/>
  <c r="K489" i="1"/>
  <c r="H489" i="1"/>
  <c r="E489" i="1"/>
  <c r="D489" i="1"/>
  <c r="C489" i="1"/>
  <c r="K488" i="1"/>
  <c r="H488" i="1"/>
  <c r="E488" i="1"/>
  <c r="D488" i="1"/>
  <c r="C488" i="1"/>
  <c r="K487" i="1"/>
  <c r="H487" i="1"/>
  <c r="E487" i="1"/>
  <c r="D487" i="1"/>
  <c r="C487" i="1"/>
  <c r="K486" i="1"/>
  <c r="H486" i="1"/>
  <c r="E486" i="1"/>
  <c r="D486" i="1"/>
  <c r="C486" i="1"/>
  <c r="K485" i="1"/>
  <c r="H485" i="1"/>
  <c r="E485" i="1"/>
  <c r="D485" i="1"/>
  <c r="C485" i="1"/>
  <c r="K484" i="1"/>
  <c r="H484" i="1"/>
  <c r="E484" i="1"/>
  <c r="D484" i="1"/>
  <c r="C484" i="1"/>
  <c r="K483" i="1"/>
  <c r="H483" i="1"/>
  <c r="E483" i="1"/>
  <c r="D483" i="1"/>
  <c r="C483" i="1"/>
  <c r="K482" i="1"/>
  <c r="H482" i="1"/>
  <c r="E482" i="1"/>
  <c r="D482" i="1"/>
  <c r="C482" i="1"/>
  <c r="K481" i="1"/>
  <c r="H481" i="1"/>
  <c r="E481" i="1"/>
  <c r="D481" i="1"/>
  <c r="C481" i="1"/>
  <c r="K480" i="1"/>
  <c r="H480" i="1"/>
  <c r="E480" i="1"/>
  <c r="D480" i="1"/>
  <c r="C480" i="1"/>
  <c r="K479" i="1"/>
  <c r="H479" i="1"/>
  <c r="E479" i="1"/>
  <c r="D479" i="1"/>
  <c r="C479" i="1"/>
  <c r="K478" i="1"/>
  <c r="H478" i="1"/>
  <c r="E478" i="1"/>
  <c r="D478" i="1"/>
  <c r="C478" i="1"/>
  <c r="K477" i="1"/>
  <c r="H477" i="1"/>
  <c r="E477" i="1"/>
  <c r="D477" i="1"/>
  <c r="C477" i="1"/>
  <c r="K476" i="1"/>
  <c r="H476" i="1"/>
  <c r="E476" i="1"/>
  <c r="D476" i="1"/>
  <c r="C476" i="1"/>
  <c r="K475" i="1"/>
  <c r="H475" i="1"/>
  <c r="E475" i="1"/>
  <c r="D475" i="1"/>
  <c r="C475" i="1"/>
  <c r="K474" i="1"/>
  <c r="H474" i="1"/>
  <c r="E474" i="1"/>
  <c r="D474" i="1"/>
  <c r="C474" i="1"/>
  <c r="K473" i="1"/>
  <c r="H473" i="1"/>
  <c r="E473" i="1"/>
  <c r="D473" i="1"/>
  <c r="C473" i="1"/>
  <c r="K472" i="1"/>
  <c r="H472" i="1"/>
  <c r="E472" i="1"/>
  <c r="D472" i="1"/>
  <c r="C472" i="1"/>
  <c r="K471" i="1"/>
  <c r="H471" i="1"/>
  <c r="E471" i="1"/>
  <c r="D471" i="1"/>
  <c r="C471" i="1"/>
  <c r="K470" i="1"/>
  <c r="H470" i="1"/>
  <c r="E470" i="1"/>
  <c r="D470" i="1"/>
  <c r="C470" i="1"/>
  <c r="K469" i="1"/>
  <c r="H469" i="1"/>
  <c r="E469" i="1"/>
  <c r="D469" i="1"/>
  <c r="C469" i="1"/>
  <c r="K468" i="1"/>
  <c r="H468" i="1"/>
  <c r="E468" i="1"/>
  <c r="D468" i="1"/>
  <c r="C468" i="1"/>
  <c r="K467" i="1"/>
  <c r="H467" i="1"/>
  <c r="E467" i="1"/>
  <c r="D467" i="1"/>
  <c r="C467" i="1"/>
  <c r="K466" i="1"/>
  <c r="H466" i="1"/>
  <c r="E466" i="1"/>
  <c r="D466" i="1"/>
  <c r="C466" i="1"/>
  <c r="K465" i="1"/>
  <c r="H465" i="1"/>
  <c r="E465" i="1"/>
  <c r="D465" i="1"/>
  <c r="C465" i="1"/>
  <c r="K464" i="1"/>
  <c r="H464" i="1"/>
  <c r="E464" i="1"/>
  <c r="D464" i="1"/>
  <c r="C464" i="1"/>
  <c r="K463" i="1"/>
  <c r="H463" i="1"/>
  <c r="E463" i="1"/>
  <c r="D463" i="1"/>
  <c r="C463" i="1"/>
  <c r="K462" i="1"/>
  <c r="H462" i="1"/>
  <c r="E462" i="1"/>
  <c r="D462" i="1"/>
  <c r="C462" i="1"/>
  <c r="K461" i="1"/>
  <c r="H461" i="1"/>
  <c r="E461" i="1"/>
  <c r="D461" i="1"/>
  <c r="C461" i="1"/>
  <c r="K460" i="1"/>
  <c r="H460" i="1"/>
  <c r="E460" i="1"/>
  <c r="D460" i="1"/>
  <c r="C460" i="1"/>
  <c r="K459" i="1"/>
  <c r="H459" i="1"/>
  <c r="E459" i="1"/>
  <c r="D459" i="1"/>
  <c r="C459" i="1"/>
  <c r="K458" i="1"/>
  <c r="H458" i="1"/>
  <c r="E458" i="1"/>
  <c r="D458" i="1"/>
  <c r="C458" i="1"/>
  <c r="K457" i="1"/>
  <c r="H457" i="1"/>
  <c r="E457" i="1"/>
  <c r="D457" i="1"/>
  <c r="C457" i="1"/>
  <c r="K456" i="1"/>
  <c r="H456" i="1"/>
  <c r="E456" i="1"/>
  <c r="D456" i="1"/>
  <c r="C456" i="1"/>
  <c r="K455" i="1"/>
  <c r="H455" i="1"/>
  <c r="E455" i="1"/>
  <c r="D455" i="1"/>
  <c r="C455" i="1"/>
  <c r="K454" i="1"/>
  <c r="H454" i="1"/>
  <c r="E454" i="1"/>
  <c r="D454" i="1"/>
  <c r="C454" i="1"/>
  <c r="K453" i="1"/>
  <c r="H453" i="1"/>
  <c r="E453" i="1"/>
  <c r="D453" i="1"/>
  <c r="C453" i="1"/>
  <c r="K452" i="1"/>
  <c r="H452" i="1"/>
  <c r="E452" i="1"/>
  <c r="D452" i="1"/>
  <c r="C452" i="1"/>
  <c r="K451" i="1"/>
  <c r="H451" i="1"/>
  <c r="E451" i="1"/>
  <c r="D451" i="1"/>
  <c r="C451" i="1"/>
  <c r="K450" i="1"/>
  <c r="H450" i="1"/>
  <c r="E450" i="1"/>
  <c r="D450" i="1"/>
  <c r="C450" i="1"/>
  <c r="K449" i="1"/>
  <c r="H449" i="1"/>
  <c r="E449" i="1"/>
  <c r="D449" i="1"/>
  <c r="C449" i="1"/>
  <c r="K448" i="1"/>
  <c r="H448" i="1"/>
  <c r="E448" i="1"/>
  <c r="D448" i="1"/>
  <c r="C448" i="1"/>
  <c r="K447" i="1"/>
  <c r="H447" i="1"/>
  <c r="E447" i="1"/>
  <c r="D447" i="1"/>
  <c r="C447" i="1"/>
  <c r="K446" i="1"/>
  <c r="H446" i="1"/>
  <c r="E446" i="1"/>
  <c r="D446" i="1"/>
  <c r="C446" i="1"/>
  <c r="K445" i="1"/>
  <c r="H445" i="1"/>
  <c r="E445" i="1"/>
  <c r="D445" i="1"/>
  <c r="C445" i="1"/>
  <c r="K444" i="1"/>
  <c r="H444" i="1"/>
  <c r="E444" i="1"/>
  <c r="D444" i="1"/>
  <c r="C444" i="1"/>
  <c r="K443" i="1"/>
  <c r="H443" i="1"/>
  <c r="E443" i="1"/>
  <c r="D443" i="1"/>
  <c r="C443" i="1"/>
  <c r="K442" i="1"/>
  <c r="H442" i="1"/>
  <c r="E442" i="1"/>
  <c r="D442" i="1"/>
  <c r="C442" i="1"/>
  <c r="K441" i="1"/>
  <c r="H441" i="1"/>
  <c r="E441" i="1"/>
  <c r="D441" i="1"/>
  <c r="C441" i="1"/>
  <c r="K440" i="1"/>
  <c r="H440" i="1"/>
  <c r="E440" i="1"/>
  <c r="D440" i="1"/>
  <c r="C440" i="1"/>
  <c r="K439" i="1"/>
  <c r="H439" i="1"/>
  <c r="E439" i="1"/>
  <c r="D439" i="1"/>
  <c r="C439" i="1"/>
  <c r="K438" i="1"/>
  <c r="H438" i="1"/>
  <c r="E438" i="1"/>
  <c r="D438" i="1"/>
  <c r="C438" i="1"/>
  <c r="K437" i="1"/>
  <c r="H437" i="1"/>
  <c r="E437" i="1"/>
  <c r="D437" i="1"/>
  <c r="C437" i="1"/>
  <c r="K436" i="1"/>
  <c r="H436" i="1"/>
  <c r="E436" i="1"/>
  <c r="D436" i="1"/>
  <c r="C436" i="1"/>
  <c r="K435" i="1"/>
  <c r="H435" i="1"/>
  <c r="E435" i="1"/>
  <c r="D435" i="1"/>
  <c r="C435" i="1"/>
  <c r="K434" i="1"/>
  <c r="H434" i="1"/>
  <c r="E434" i="1"/>
  <c r="D434" i="1"/>
  <c r="C434" i="1"/>
  <c r="K433" i="1"/>
  <c r="H433" i="1"/>
  <c r="E433" i="1"/>
  <c r="D433" i="1"/>
  <c r="C433" i="1"/>
  <c r="K432" i="1"/>
  <c r="H432" i="1"/>
  <c r="E432" i="1"/>
  <c r="D432" i="1"/>
  <c r="C432" i="1"/>
  <c r="K431" i="1"/>
  <c r="H431" i="1"/>
  <c r="E431" i="1"/>
  <c r="D431" i="1"/>
  <c r="C431" i="1"/>
  <c r="K430" i="1"/>
  <c r="H430" i="1"/>
  <c r="E430" i="1"/>
  <c r="D430" i="1"/>
  <c r="C430" i="1"/>
  <c r="K429" i="1"/>
  <c r="H429" i="1"/>
  <c r="E429" i="1"/>
  <c r="D429" i="1"/>
  <c r="C429" i="1"/>
  <c r="K428" i="1"/>
  <c r="H428" i="1"/>
  <c r="E428" i="1"/>
  <c r="D428" i="1"/>
  <c r="C428" i="1"/>
  <c r="K427" i="1"/>
  <c r="E427" i="1"/>
  <c r="D427" i="1"/>
  <c r="C427" i="1"/>
  <c r="K426" i="1"/>
  <c r="H426" i="1"/>
  <c r="E426" i="1"/>
  <c r="D426" i="1"/>
  <c r="C426" i="1"/>
  <c r="K425" i="1"/>
  <c r="H425" i="1"/>
  <c r="E425" i="1"/>
  <c r="D425" i="1"/>
  <c r="C425" i="1"/>
  <c r="K424" i="1"/>
  <c r="H424" i="1"/>
  <c r="E424" i="1"/>
  <c r="D424" i="1"/>
  <c r="C424" i="1"/>
  <c r="K423" i="1"/>
  <c r="H423" i="1"/>
  <c r="E423" i="1"/>
  <c r="D423" i="1"/>
  <c r="C423" i="1"/>
  <c r="K422" i="1"/>
  <c r="E422" i="1"/>
  <c r="D422" i="1"/>
  <c r="C422" i="1"/>
  <c r="K421" i="1"/>
  <c r="H421" i="1"/>
  <c r="E421" i="1"/>
  <c r="D421" i="1"/>
  <c r="C421" i="1"/>
  <c r="K420" i="1"/>
  <c r="E420" i="1"/>
  <c r="D420" i="1"/>
  <c r="C420" i="1"/>
  <c r="K419" i="1"/>
  <c r="H419" i="1"/>
  <c r="E419" i="1"/>
  <c r="D419" i="1"/>
  <c r="C419" i="1"/>
  <c r="K418" i="1"/>
  <c r="H418" i="1"/>
  <c r="E418" i="1"/>
  <c r="D418" i="1"/>
  <c r="C418" i="1"/>
  <c r="K417" i="1"/>
  <c r="H417" i="1"/>
  <c r="E417" i="1"/>
  <c r="D417" i="1"/>
  <c r="C417" i="1"/>
  <c r="K416" i="1"/>
  <c r="H416" i="1"/>
  <c r="E416" i="1"/>
  <c r="D416" i="1"/>
  <c r="C416" i="1"/>
  <c r="K415" i="1"/>
  <c r="H415" i="1"/>
  <c r="E415" i="1"/>
  <c r="D415" i="1"/>
  <c r="C415" i="1"/>
  <c r="K414" i="1"/>
  <c r="H414" i="1"/>
  <c r="E414" i="1"/>
  <c r="D414" i="1"/>
  <c r="C414" i="1"/>
  <c r="K413" i="1"/>
  <c r="H413" i="1"/>
  <c r="E413" i="1"/>
  <c r="D413" i="1"/>
  <c r="C413" i="1"/>
  <c r="K412" i="1"/>
  <c r="H412" i="1"/>
  <c r="E412" i="1"/>
  <c r="D412" i="1"/>
  <c r="C412" i="1"/>
  <c r="K411" i="1"/>
  <c r="H411" i="1"/>
  <c r="E411" i="1"/>
  <c r="D411" i="1"/>
  <c r="C411" i="1"/>
  <c r="H2" i="1" l="1"/>
  <c r="H212" i="1" l="1"/>
  <c r="K410" i="1" l="1"/>
  <c r="H410" i="1"/>
  <c r="E410" i="1"/>
  <c r="D410" i="1"/>
  <c r="C410" i="1"/>
  <c r="K409" i="1"/>
  <c r="H409" i="1"/>
  <c r="E409" i="1"/>
  <c r="D409" i="1"/>
  <c r="C409" i="1"/>
  <c r="K408" i="1"/>
  <c r="H408" i="1"/>
  <c r="E408" i="1"/>
  <c r="D408" i="1"/>
  <c r="C408" i="1"/>
  <c r="K407" i="1"/>
  <c r="H407" i="1"/>
  <c r="E407" i="1"/>
  <c r="D407" i="1"/>
  <c r="C407" i="1"/>
  <c r="K406" i="1"/>
  <c r="H406" i="1"/>
  <c r="E406" i="1"/>
  <c r="D406" i="1"/>
  <c r="C406" i="1"/>
  <c r="K405" i="1"/>
  <c r="H405" i="1"/>
  <c r="E405" i="1"/>
  <c r="D405" i="1"/>
  <c r="C405" i="1"/>
  <c r="K404" i="1"/>
  <c r="H404" i="1"/>
  <c r="E404" i="1"/>
  <c r="D404" i="1"/>
  <c r="C404" i="1"/>
  <c r="K403" i="1"/>
  <c r="H403" i="1"/>
  <c r="E403" i="1"/>
  <c r="D403" i="1"/>
  <c r="C403" i="1"/>
  <c r="K402" i="1"/>
  <c r="H402" i="1"/>
  <c r="E402" i="1"/>
  <c r="D402" i="1"/>
  <c r="C402" i="1"/>
  <c r="K401" i="1"/>
  <c r="H401" i="1"/>
  <c r="E401" i="1"/>
  <c r="D401" i="1"/>
  <c r="C401" i="1"/>
  <c r="K400" i="1"/>
  <c r="H400" i="1"/>
  <c r="E400" i="1"/>
  <c r="D400" i="1"/>
  <c r="C400" i="1"/>
  <c r="K399" i="1"/>
  <c r="H399" i="1"/>
  <c r="E399" i="1"/>
  <c r="D399" i="1"/>
  <c r="C399" i="1"/>
  <c r="K398" i="1"/>
  <c r="H398" i="1"/>
  <c r="E398" i="1"/>
  <c r="D398" i="1"/>
  <c r="C398" i="1"/>
  <c r="K397" i="1"/>
  <c r="H397" i="1"/>
  <c r="E397" i="1"/>
  <c r="D397" i="1"/>
  <c r="C397" i="1"/>
  <c r="K396" i="1"/>
  <c r="H396" i="1"/>
  <c r="E396" i="1"/>
  <c r="D396" i="1"/>
  <c r="C396" i="1"/>
  <c r="K395" i="1"/>
  <c r="H395" i="1"/>
  <c r="E395" i="1"/>
  <c r="D395" i="1"/>
  <c r="C395" i="1"/>
  <c r="K394" i="1"/>
  <c r="H394" i="1"/>
  <c r="E394" i="1"/>
  <c r="D394" i="1"/>
  <c r="C394" i="1"/>
  <c r="K393" i="1"/>
  <c r="H393" i="1"/>
  <c r="E393" i="1"/>
  <c r="D393" i="1"/>
  <c r="C393" i="1"/>
  <c r="K392" i="1"/>
  <c r="H392" i="1"/>
  <c r="E392" i="1"/>
  <c r="D392" i="1"/>
  <c r="C392" i="1"/>
  <c r="K391" i="1"/>
  <c r="H391" i="1"/>
  <c r="E391" i="1"/>
  <c r="D391" i="1"/>
  <c r="C391" i="1"/>
  <c r="K390" i="1"/>
  <c r="H390" i="1"/>
  <c r="E390" i="1"/>
  <c r="D390" i="1"/>
  <c r="C390" i="1"/>
  <c r="K389" i="1"/>
  <c r="H389" i="1"/>
  <c r="E389" i="1"/>
  <c r="D389" i="1"/>
  <c r="C389" i="1"/>
  <c r="K388" i="1"/>
  <c r="H388" i="1"/>
  <c r="E388" i="1"/>
  <c r="D388" i="1"/>
  <c r="C388" i="1"/>
  <c r="K387" i="1"/>
  <c r="H387" i="1"/>
  <c r="E387" i="1"/>
  <c r="D387" i="1"/>
  <c r="C387" i="1"/>
  <c r="K386" i="1"/>
  <c r="H386" i="1"/>
  <c r="E386" i="1"/>
  <c r="D386" i="1"/>
  <c r="C386" i="1"/>
  <c r="K385" i="1"/>
  <c r="H385" i="1"/>
  <c r="E385" i="1"/>
  <c r="D385" i="1"/>
  <c r="C385" i="1"/>
  <c r="K384" i="1"/>
  <c r="H384" i="1"/>
  <c r="E384" i="1"/>
  <c r="D384" i="1"/>
  <c r="C384" i="1"/>
  <c r="K383" i="1"/>
  <c r="H383" i="1"/>
  <c r="E383" i="1"/>
  <c r="D383" i="1"/>
  <c r="C383" i="1"/>
  <c r="K382" i="1"/>
  <c r="H382" i="1"/>
  <c r="E382" i="1"/>
  <c r="D382" i="1"/>
  <c r="C382" i="1"/>
  <c r="K381" i="1"/>
  <c r="H381" i="1"/>
  <c r="E381" i="1"/>
  <c r="D381" i="1"/>
  <c r="C381" i="1"/>
  <c r="K380" i="1"/>
  <c r="H380" i="1"/>
  <c r="E380" i="1"/>
  <c r="D380" i="1"/>
  <c r="C380" i="1"/>
  <c r="K379" i="1"/>
  <c r="H379" i="1"/>
  <c r="E379" i="1"/>
  <c r="D379" i="1"/>
  <c r="C379" i="1"/>
  <c r="K378" i="1"/>
  <c r="H378" i="1"/>
  <c r="E378" i="1"/>
  <c r="D378" i="1"/>
  <c r="C378" i="1"/>
  <c r="K377" i="1"/>
  <c r="H377" i="1"/>
  <c r="E377" i="1"/>
  <c r="D377" i="1"/>
  <c r="C377" i="1"/>
  <c r="K376" i="1"/>
  <c r="H376" i="1"/>
  <c r="E376" i="1"/>
  <c r="D376" i="1"/>
  <c r="C376" i="1"/>
  <c r="K375" i="1"/>
  <c r="H375" i="1"/>
  <c r="E375" i="1"/>
  <c r="D375" i="1"/>
  <c r="C375" i="1"/>
  <c r="K374" i="1"/>
  <c r="H374" i="1"/>
  <c r="E374" i="1"/>
  <c r="D374" i="1"/>
  <c r="C374" i="1"/>
  <c r="K373" i="1"/>
  <c r="H373" i="1"/>
  <c r="E373" i="1"/>
  <c r="D373" i="1"/>
  <c r="C373" i="1"/>
  <c r="K372" i="1"/>
  <c r="H372" i="1"/>
  <c r="E372" i="1"/>
  <c r="D372" i="1"/>
  <c r="C372" i="1"/>
  <c r="K371" i="1"/>
  <c r="H371" i="1"/>
  <c r="E371" i="1"/>
  <c r="D371" i="1"/>
  <c r="C371" i="1"/>
  <c r="K370" i="1"/>
  <c r="H370" i="1"/>
  <c r="E370" i="1"/>
  <c r="D370" i="1"/>
  <c r="C370" i="1"/>
  <c r="K369" i="1"/>
  <c r="H369" i="1"/>
  <c r="E369" i="1"/>
  <c r="D369" i="1"/>
  <c r="C369" i="1"/>
  <c r="K368" i="1"/>
  <c r="H368" i="1"/>
  <c r="E368" i="1"/>
  <c r="D368" i="1"/>
  <c r="C368" i="1"/>
  <c r="K367" i="1"/>
  <c r="H367" i="1"/>
  <c r="E367" i="1"/>
  <c r="D367" i="1"/>
  <c r="C367" i="1"/>
  <c r="K366" i="1"/>
  <c r="H366" i="1"/>
  <c r="E366" i="1"/>
  <c r="D366" i="1"/>
  <c r="C366" i="1"/>
  <c r="K365" i="1"/>
  <c r="H365" i="1"/>
  <c r="E365" i="1"/>
  <c r="D365" i="1"/>
  <c r="C365" i="1"/>
  <c r="K364" i="1"/>
  <c r="H364" i="1"/>
  <c r="E364" i="1"/>
  <c r="D364" i="1"/>
  <c r="C364" i="1"/>
  <c r="K363" i="1"/>
  <c r="H363" i="1"/>
  <c r="E363" i="1"/>
  <c r="D363" i="1"/>
  <c r="C363" i="1"/>
  <c r="K362" i="1"/>
  <c r="H362" i="1"/>
  <c r="E362" i="1"/>
  <c r="D362" i="1"/>
  <c r="C362" i="1"/>
  <c r="K361" i="1"/>
  <c r="H361" i="1"/>
  <c r="E361" i="1"/>
  <c r="D361" i="1"/>
  <c r="C361" i="1"/>
  <c r="K360" i="1"/>
  <c r="H360" i="1"/>
  <c r="E360" i="1"/>
  <c r="D360" i="1"/>
  <c r="C360" i="1"/>
  <c r="K359" i="1"/>
  <c r="H359" i="1"/>
  <c r="E359" i="1"/>
  <c r="D359" i="1"/>
  <c r="C359" i="1"/>
  <c r="K358" i="1"/>
  <c r="H358" i="1"/>
  <c r="E358" i="1"/>
  <c r="D358" i="1"/>
  <c r="C358" i="1"/>
  <c r="K357" i="1"/>
  <c r="H357" i="1"/>
  <c r="E357" i="1"/>
  <c r="D357" i="1"/>
  <c r="C357" i="1"/>
  <c r="K356" i="1"/>
  <c r="H356" i="1"/>
  <c r="E356" i="1"/>
  <c r="D356" i="1"/>
  <c r="C356" i="1"/>
  <c r="K355" i="1"/>
  <c r="H355" i="1"/>
  <c r="E355" i="1"/>
  <c r="D355" i="1"/>
  <c r="C355" i="1"/>
  <c r="K354" i="1"/>
  <c r="H354" i="1"/>
  <c r="E354" i="1"/>
  <c r="D354" i="1"/>
  <c r="C354" i="1"/>
  <c r="K353" i="1"/>
  <c r="H353" i="1"/>
  <c r="E353" i="1"/>
  <c r="D353" i="1"/>
  <c r="C353" i="1"/>
  <c r="K352" i="1"/>
  <c r="H352" i="1"/>
  <c r="E352" i="1"/>
  <c r="D352" i="1"/>
  <c r="C352" i="1"/>
  <c r="K351" i="1"/>
  <c r="H351" i="1"/>
  <c r="E351" i="1"/>
  <c r="D351" i="1"/>
  <c r="C351" i="1"/>
  <c r="K350" i="1"/>
  <c r="H350" i="1"/>
  <c r="E350" i="1"/>
  <c r="D350" i="1"/>
  <c r="C350" i="1"/>
  <c r="K349" i="1"/>
  <c r="H349" i="1"/>
  <c r="E349" i="1"/>
  <c r="D349" i="1"/>
  <c r="C349" i="1"/>
  <c r="K348" i="1"/>
  <c r="H348" i="1"/>
  <c r="E348" i="1"/>
  <c r="D348" i="1"/>
  <c r="C348" i="1"/>
  <c r="K347" i="1"/>
  <c r="H347" i="1"/>
  <c r="E347" i="1"/>
  <c r="D347" i="1"/>
  <c r="C347" i="1"/>
  <c r="K346" i="1"/>
  <c r="H346" i="1"/>
  <c r="E346" i="1"/>
  <c r="D346" i="1"/>
  <c r="C346" i="1"/>
  <c r="K345" i="1"/>
  <c r="H345" i="1"/>
  <c r="E345" i="1"/>
  <c r="D345" i="1"/>
  <c r="C345" i="1"/>
  <c r="K344" i="1"/>
  <c r="H344" i="1"/>
  <c r="E344" i="1"/>
  <c r="D344" i="1"/>
  <c r="C344" i="1"/>
  <c r="K343" i="1"/>
  <c r="H343" i="1"/>
  <c r="E343" i="1"/>
  <c r="D343" i="1"/>
  <c r="C343" i="1"/>
  <c r="K342" i="1"/>
  <c r="H342" i="1"/>
  <c r="E342" i="1"/>
  <c r="D342" i="1"/>
  <c r="C342" i="1"/>
  <c r="K341" i="1"/>
  <c r="H341" i="1"/>
  <c r="E341" i="1"/>
  <c r="D341" i="1"/>
  <c r="C341" i="1"/>
  <c r="K340" i="1"/>
  <c r="H340" i="1"/>
  <c r="E340" i="1"/>
  <c r="D340" i="1"/>
  <c r="C340" i="1"/>
  <c r="K339" i="1"/>
  <c r="H339" i="1"/>
  <c r="E339" i="1"/>
  <c r="D339" i="1"/>
  <c r="C339" i="1"/>
  <c r="K338" i="1"/>
  <c r="H338" i="1"/>
  <c r="E338" i="1"/>
  <c r="D338" i="1"/>
  <c r="C338" i="1"/>
  <c r="K337" i="1"/>
  <c r="H337" i="1"/>
  <c r="E337" i="1"/>
  <c r="D337" i="1"/>
  <c r="C337" i="1"/>
  <c r="K336" i="1"/>
  <c r="H336" i="1"/>
  <c r="E336" i="1"/>
  <c r="D336" i="1"/>
  <c r="C336" i="1"/>
  <c r="K335" i="1"/>
  <c r="H335" i="1"/>
  <c r="E335" i="1"/>
  <c r="D335" i="1"/>
  <c r="C335" i="1"/>
  <c r="K334" i="1"/>
  <c r="H334" i="1"/>
  <c r="E334" i="1"/>
  <c r="D334" i="1"/>
  <c r="C334" i="1"/>
  <c r="K333" i="1"/>
  <c r="H333" i="1"/>
  <c r="E333" i="1"/>
  <c r="D333" i="1"/>
  <c r="C333" i="1"/>
  <c r="K332" i="1"/>
  <c r="H332" i="1"/>
  <c r="E332" i="1"/>
  <c r="D332" i="1"/>
  <c r="C332" i="1"/>
  <c r="K331" i="1"/>
  <c r="H331" i="1"/>
  <c r="E331" i="1"/>
  <c r="D331" i="1"/>
  <c r="C331" i="1"/>
  <c r="K330" i="1"/>
  <c r="H330" i="1"/>
  <c r="E330" i="1"/>
  <c r="D330" i="1"/>
  <c r="C330" i="1"/>
  <c r="K329" i="1"/>
  <c r="H329" i="1"/>
  <c r="E329" i="1"/>
  <c r="D329" i="1"/>
  <c r="C329" i="1"/>
  <c r="K328" i="1"/>
  <c r="H328" i="1"/>
  <c r="E328" i="1"/>
  <c r="D328" i="1"/>
  <c r="C328" i="1"/>
  <c r="K327" i="1"/>
  <c r="H327" i="1"/>
  <c r="E327" i="1"/>
  <c r="D327" i="1"/>
  <c r="C327" i="1"/>
  <c r="K326" i="1"/>
  <c r="H326" i="1"/>
  <c r="E326" i="1"/>
  <c r="D326" i="1"/>
  <c r="C326" i="1"/>
  <c r="K325" i="1"/>
  <c r="H325" i="1"/>
  <c r="E325" i="1"/>
  <c r="D325" i="1"/>
  <c r="C325" i="1"/>
  <c r="K324" i="1"/>
  <c r="H324" i="1"/>
  <c r="E324" i="1"/>
  <c r="D324" i="1"/>
  <c r="C324" i="1"/>
  <c r="K323" i="1"/>
  <c r="H323" i="1"/>
  <c r="E323" i="1"/>
  <c r="D323" i="1"/>
  <c r="C323" i="1"/>
  <c r="K322" i="1"/>
  <c r="H322" i="1"/>
  <c r="E322" i="1"/>
  <c r="D322" i="1"/>
  <c r="C322" i="1"/>
  <c r="K321" i="1"/>
  <c r="H321" i="1"/>
  <c r="E321" i="1"/>
  <c r="D321" i="1"/>
  <c r="C321" i="1"/>
  <c r="K320" i="1"/>
  <c r="H320" i="1"/>
  <c r="E320" i="1"/>
  <c r="D320" i="1"/>
  <c r="C320" i="1"/>
  <c r="K319" i="1"/>
  <c r="H319" i="1"/>
  <c r="E319" i="1"/>
  <c r="D319" i="1"/>
  <c r="C319" i="1"/>
  <c r="K318" i="1"/>
  <c r="H318" i="1"/>
  <c r="E318" i="1"/>
  <c r="D318" i="1"/>
  <c r="C318" i="1"/>
  <c r="K317" i="1"/>
  <c r="H317" i="1"/>
  <c r="E317" i="1"/>
  <c r="D317" i="1"/>
  <c r="C317" i="1"/>
  <c r="K316" i="1"/>
  <c r="H316" i="1"/>
  <c r="E316" i="1"/>
  <c r="D316" i="1"/>
  <c r="C316" i="1"/>
  <c r="K315" i="1"/>
  <c r="H315" i="1"/>
  <c r="E315" i="1"/>
  <c r="D315" i="1"/>
  <c r="C315" i="1"/>
  <c r="K314" i="1"/>
  <c r="H314" i="1"/>
  <c r="E314" i="1"/>
  <c r="D314" i="1"/>
  <c r="C314" i="1"/>
  <c r="K313" i="1"/>
  <c r="H313" i="1"/>
  <c r="E313" i="1"/>
  <c r="D313" i="1"/>
  <c r="C313" i="1"/>
  <c r="K312" i="1"/>
  <c r="H312" i="1"/>
  <c r="E312" i="1"/>
  <c r="D312" i="1"/>
  <c r="C312" i="1"/>
  <c r="K311" i="1"/>
  <c r="H311" i="1"/>
  <c r="E311" i="1"/>
  <c r="D311" i="1"/>
  <c r="C311" i="1"/>
  <c r="K310" i="1"/>
  <c r="H310" i="1"/>
  <c r="E310" i="1"/>
  <c r="D310" i="1"/>
  <c r="C310" i="1"/>
  <c r="K309" i="1"/>
  <c r="H309" i="1"/>
  <c r="E309" i="1"/>
  <c r="D309" i="1"/>
  <c r="C309" i="1"/>
  <c r="K308" i="1"/>
  <c r="H308" i="1"/>
  <c r="E308" i="1"/>
  <c r="D308" i="1"/>
  <c r="C308" i="1"/>
  <c r="K307" i="1"/>
  <c r="H307" i="1"/>
  <c r="E307" i="1"/>
  <c r="D307" i="1"/>
  <c r="C307" i="1"/>
  <c r="K306" i="1"/>
  <c r="H306" i="1"/>
  <c r="E306" i="1"/>
  <c r="D306" i="1"/>
  <c r="C306" i="1"/>
  <c r="K305" i="1"/>
  <c r="H305" i="1"/>
  <c r="E305" i="1"/>
  <c r="D305" i="1"/>
  <c r="C305" i="1"/>
  <c r="K304" i="1"/>
  <c r="H304" i="1"/>
  <c r="E304" i="1"/>
  <c r="D304" i="1"/>
  <c r="C304" i="1"/>
  <c r="K303" i="1"/>
  <c r="H303" i="1"/>
  <c r="E303" i="1"/>
  <c r="D303" i="1"/>
  <c r="C303" i="1"/>
  <c r="K302" i="1"/>
  <c r="H302" i="1"/>
  <c r="E302" i="1"/>
  <c r="D302" i="1"/>
  <c r="C302" i="1"/>
  <c r="K301" i="1"/>
  <c r="H301" i="1"/>
  <c r="E301" i="1"/>
  <c r="D301" i="1"/>
  <c r="C301" i="1"/>
  <c r="K300" i="1"/>
  <c r="H300" i="1"/>
  <c r="E300" i="1"/>
  <c r="D300" i="1"/>
  <c r="C300" i="1"/>
  <c r="K299" i="1"/>
  <c r="H299" i="1"/>
  <c r="E299" i="1"/>
  <c r="D299" i="1"/>
  <c r="C299" i="1"/>
  <c r="K298" i="1"/>
  <c r="H298" i="1"/>
  <c r="E298" i="1"/>
  <c r="D298" i="1"/>
  <c r="C298" i="1"/>
  <c r="K297" i="1"/>
  <c r="H297" i="1"/>
  <c r="E297" i="1"/>
  <c r="D297" i="1"/>
  <c r="C297" i="1"/>
  <c r="K296" i="1"/>
  <c r="H296" i="1"/>
  <c r="E296" i="1"/>
  <c r="D296" i="1"/>
  <c r="C296" i="1"/>
  <c r="K295" i="1"/>
  <c r="H295" i="1"/>
  <c r="E295" i="1"/>
  <c r="D295" i="1"/>
  <c r="C295" i="1"/>
  <c r="K294" i="1"/>
  <c r="H294" i="1"/>
  <c r="E294" i="1"/>
  <c r="D294" i="1"/>
  <c r="C294" i="1"/>
  <c r="K293" i="1"/>
  <c r="H293" i="1"/>
  <c r="E293" i="1"/>
  <c r="D293" i="1"/>
  <c r="C293" i="1"/>
  <c r="K292" i="1"/>
  <c r="H292" i="1"/>
  <c r="E292" i="1"/>
  <c r="D292" i="1"/>
  <c r="C292" i="1"/>
  <c r="K291" i="1"/>
  <c r="H291" i="1"/>
  <c r="E291" i="1"/>
  <c r="D291" i="1"/>
  <c r="C291" i="1"/>
  <c r="K290" i="1"/>
  <c r="H290" i="1"/>
  <c r="E290" i="1"/>
  <c r="D290" i="1"/>
  <c r="C290" i="1"/>
  <c r="K289" i="1"/>
  <c r="H289" i="1"/>
  <c r="E289" i="1"/>
  <c r="D289" i="1"/>
  <c r="C289" i="1"/>
  <c r="K288" i="1"/>
  <c r="H288" i="1"/>
  <c r="E288" i="1"/>
  <c r="D288" i="1"/>
  <c r="C288" i="1"/>
  <c r="K287" i="1"/>
  <c r="H287" i="1"/>
  <c r="E287" i="1"/>
  <c r="D287" i="1"/>
  <c r="C287" i="1"/>
  <c r="K286" i="1"/>
  <c r="H286" i="1"/>
  <c r="E286" i="1"/>
  <c r="D286" i="1"/>
  <c r="C286" i="1"/>
  <c r="K285" i="1"/>
  <c r="H285" i="1"/>
  <c r="E285" i="1"/>
  <c r="D285" i="1"/>
  <c r="C285" i="1"/>
  <c r="K284" i="1"/>
  <c r="H284" i="1"/>
  <c r="E284" i="1"/>
  <c r="D284" i="1"/>
  <c r="C284" i="1"/>
  <c r="K283" i="1"/>
  <c r="E283" i="1"/>
  <c r="D283" i="1"/>
  <c r="C283" i="1"/>
  <c r="K282" i="1"/>
  <c r="H282" i="1"/>
  <c r="E282" i="1"/>
  <c r="D282" i="1"/>
  <c r="C282" i="1"/>
  <c r="K281" i="1"/>
  <c r="H281" i="1"/>
  <c r="E281" i="1"/>
  <c r="D281" i="1"/>
  <c r="C281" i="1"/>
  <c r="K280" i="1"/>
  <c r="H280" i="1"/>
  <c r="E280" i="1"/>
  <c r="D280" i="1"/>
  <c r="C280" i="1"/>
  <c r="K279" i="1"/>
  <c r="H279" i="1"/>
  <c r="E279" i="1"/>
  <c r="D279" i="1"/>
  <c r="C279" i="1"/>
  <c r="K278" i="1"/>
  <c r="H278" i="1"/>
  <c r="E278" i="1"/>
  <c r="D278" i="1"/>
  <c r="C278" i="1"/>
  <c r="K277" i="1"/>
  <c r="H277" i="1"/>
  <c r="E277" i="1"/>
  <c r="D277" i="1"/>
  <c r="C277" i="1"/>
  <c r="K276" i="1"/>
  <c r="H276" i="1"/>
  <c r="E276" i="1"/>
  <c r="D276" i="1"/>
  <c r="C276" i="1"/>
  <c r="K275" i="1"/>
  <c r="H275" i="1"/>
  <c r="E275" i="1"/>
  <c r="D275" i="1"/>
  <c r="C275" i="1"/>
  <c r="K274" i="1"/>
  <c r="H274" i="1"/>
  <c r="E274" i="1"/>
  <c r="D274" i="1"/>
  <c r="C274" i="1"/>
  <c r="K273" i="1"/>
  <c r="H273" i="1"/>
  <c r="E273" i="1"/>
  <c r="D273" i="1"/>
  <c r="C273" i="1"/>
  <c r="K272" i="1"/>
  <c r="H272" i="1"/>
  <c r="E272" i="1"/>
  <c r="D272" i="1"/>
  <c r="C272" i="1"/>
  <c r="K271" i="1"/>
  <c r="H271" i="1"/>
  <c r="E271" i="1"/>
  <c r="D271" i="1"/>
  <c r="C271" i="1"/>
  <c r="K270" i="1"/>
  <c r="H270" i="1"/>
  <c r="E270" i="1"/>
  <c r="D270" i="1"/>
  <c r="C270" i="1"/>
  <c r="K269" i="1"/>
  <c r="H269" i="1"/>
  <c r="E269" i="1"/>
  <c r="D269" i="1"/>
  <c r="C269" i="1"/>
  <c r="K268" i="1"/>
  <c r="H268" i="1"/>
  <c r="E268" i="1"/>
  <c r="D268" i="1"/>
  <c r="C268" i="1"/>
  <c r="K267" i="1"/>
  <c r="H267" i="1"/>
  <c r="E267" i="1"/>
  <c r="D267" i="1"/>
  <c r="C267" i="1"/>
  <c r="K266" i="1"/>
  <c r="H266" i="1"/>
  <c r="E266" i="1"/>
  <c r="D266" i="1"/>
  <c r="C266" i="1"/>
  <c r="K265" i="1"/>
  <c r="H265" i="1"/>
  <c r="E265" i="1"/>
  <c r="D265" i="1"/>
  <c r="C265" i="1"/>
  <c r="K264" i="1"/>
  <c r="H264" i="1"/>
  <c r="E264" i="1"/>
  <c r="D264" i="1"/>
  <c r="C264" i="1"/>
  <c r="K263" i="1"/>
  <c r="H263" i="1"/>
  <c r="E263" i="1"/>
  <c r="D263" i="1"/>
  <c r="C263" i="1"/>
  <c r="K262" i="1"/>
  <c r="H262" i="1"/>
  <c r="E262" i="1"/>
  <c r="D262" i="1"/>
  <c r="C262" i="1"/>
  <c r="K261" i="1"/>
  <c r="H261" i="1"/>
  <c r="E261" i="1"/>
  <c r="D261" i="1"/>
  <c r="C261" i="1"/>
  <c r="K260" i="1"/>
  <c r="H260" i="1"/>
  <c r="E260" i="1"/>
  <c r="D260" i="1"/>
  <c r="C260" i="1"/>
  <c r="K259" i="1"/>
  <c r="H259" i="1"/>
  <c r="E259" i="1"/>
  <c r="D259" i="1"/>
  <c r="C259" i="1"/>
  <c r="K258" i="1"/>
  <c r="H258" i="1"/>
  <c r="E258" i="1"/>
  <c r="D258" i="1"/>
  <c r="C258" i="1"/>
  <c r="K257" i="1"/>
  <c r="H257" i="1"/>
  <c r="E257" i="1"/>
  <c r="D257" i="1"/>
  <c r="C257" i="1"/>
  <c r="K256" i="1"/>
  <c r="H256" i="1"/>
  <c r="E256" i="1"/>
  <c r="D256" i="1"/>
  <c r="C256" i="1"/>
  <c r="K255" i="1"/>
  <c r="H255" i="1"/>
  <c r="E255" i="1"/>
  <c r="D255" i="1"/>
  <c r="C255" i="1"/>
  <c r="K254" i="1"/>
  <c r="H254" i="1"/>
  <c r="E254" i="1"/>
  <c r="D254" i="1"/>
  <c r="C254" i="1"/>
  <c r="K253" i="1"/>
  <c r="H253" i="1"/>
  <c r="E253" i="1"/>
  <c r="D253" i="1"/>
  <c r="C253" i="1"/>
  <c r="K252" i="1"/>
  <c r="H252" i="1"/>
  <c r="E252" i="1"/>
  <c r="D252" i="1"/>
  <c r="C252" i="1"/>
  <c r="K251" i="1"/>
  <c r="H251" i="1"/>
  <c r="E251" i="1"/>
  <c r="D251" i="1"/>
  <c r="C251" i="1"/>
  <c r="K250" i="1"/>
  <c r="H250" i="1"/>
  <c r="E250" i="1"/>
  <c r="D250" i="1"/>
  <c r="C250" i="1"/>
  <c r="K249" i="1"/>
  <c r="H249" i="1"/>
  <c r="E249" i="1"/>
  <c r="D249" i="1"/>
  <c r="C249" i="1"/>
  <c r="K248" i="1"/>
  <c r="H248" i="1"/>
  <c r="E248" i="1"/>
  <c r="D248" i="1"/>
  <c r="C248" i="1"/>
  <c r="K247" i="1"/>
  <c r="H247" i="1"/>
  <c r="E247" i="1"/>
  <c r="D247" i="1"/>
  <c r="C247" i="1"/>
  <c r="K246" i="1"/>
  <c r="H246" i="1"/>
  <c r="E246" i="1"/>
  <c r="D246" i="1"/>
  <c r="C246" i="1"/>
  <c r="K245" i="1"/>
  <c r="H245" i="1"/>
  <c r="E245" i="1"/>
  <c r="D245" i="1"/>
  <c r="C245" i="1"/>
  <c r="K244" i="1"/>
  <c r="H244" i="1"/>
  <c r="E244" i="1"/>
  <c r="D244" i="1"/>
  <c r="C244" i="1"/>
  <c r="K243" i="1"/>
  <c r="H243" i="1"/>
  <c r="E243" i="1"/>
  <c r="D243" i="1"/>
  <c r="C243" i="1"/>
  <c r="K242" i="1"/>
  <c r="H242" i="1"/>
  <c r="E242" i="1"/>
  <c r="D242" i="1"/>
  <c r="C242" i="1"/>
  <c r="K241" i="1"/>
  <c r="H241" i="1"/>
  <c r="E241" i="1"/>
  <c r="D241" i="1"/>
  <c r="C241" i="1"/>
  <c r="K240" i="1"/>
  <c r="H240" i="1"/>
  <c r="E240" i="1"/>
  <c r="D240" i="1"/>
  <c r="C240" i="1"/>
  <c r="K239" i="1"/>
  <c r="H239" i="1"/>
  <c r="E239" i="1"/>
  <c r="D239" i="1"/>
  <c r="C239" i="1"/>
  <c r="K238" i="1"/>
  <c r="H238" i="1"/>
  <c r="E238" i="1"/>
  <c r="D238" i="1"/>
  <c r="C238" i="1"/>
  <c r="K237" i="1"/>
  <c r="H237" i="1"/>
  <c r="E237" i="1"/>
  <c r="D237" i="1"/>
  <c r="C237" i="1"/>
  <c r="K236" i="1"/>
  <c r="H236" i="1"/>
  <c r="E236" i="1"/>
  <c r="D236" i="1"/>
  <c r="C236" i="1"/>
  <c r="K235" i="1"/>
  <c r="H235" i="1"/>
  <c r="E235" i="1"/>
  <c r="D235" i="1"/>
  <c r="C235" i="1"/>
  <c r="K234" i="1"/>
  <c r="H234" i="1"/>
  <c r="E234" i="1"/>
  <c r="D234" i="1"/>
  <c r="C234" i="1"/>
  <c r="K233" i="1"/>
  <c r="H233" i="1"/>
  <c r="E233" i="1"/>
  <c r="D233" i="1"/>
  <c r="C233" i="1"/>
  <c r="K232" i="1"/>
  <c r="H232" i="1"/>
  <c r="E232" i="1"/>
  <c r="D232" i="1"/>
  <c r="C232" i="1"/>
  <c r="K231" i="1"/>
  <c r="H231" i="1"/>
  <c r="E231" i="1"/>
  <c r="D231" i="1"/>
  <c r="C231" i="1"/>
  <c r="K230" i="1"/>
  <c r="H230" i="1"/>
  <c r="E230" i="1"/>
  <c r="D230" i="1"/>
  <c r="C230" i="1"/>
  <c r="K229" i="1"/>
  <c r="H229" i="1"/>
  <c r="E229" i="1"/>
  <c r="D229" i="1"/>
  <c r="C229" i="1"/>
  <c r="K228" i="1"/>
  <c r="H228" i="1"/>
  <c r="E228" i="1"/>
  <c r="D228" i="1"/>
  <c r="C228" i="1"/>
  <c r="K227" i="1"/>
  <c r="H227" i="1"/>
  <c r="E227" i="1"/>
  <c r="D227" i="1"/>
  <c r="C227" i="1"/>
  <c r="K226" i="1"/>
  <c r="H226" i="1"/>
  <c r="E226" i="1"/>
  <c r="D226" i="1"/>
  <c r="C226" i="1"/>
  <c r="K225" i="1"/>
  <c r="H225" i="1"/>
  <c r="E225" i="1"/>
  <c r="D225" i="1"/>
  <c r="C225" i="1"/>
  <c r="K224" i="1"/>
  <c r="H224" i="1"/>
  <c r="E224" i="1"/>
  <c r="D224" i="1"/>
  <c r="C224" i="1"/>
  <c r="K223" i="1"/>
  <c r="H223" i="1"/>
  <c r="E223" i="1"/>
  <c r="D223" i="1"/>
  <c r="C223" i="1"/>
  <c r="K222" i="1"/>
  <c r="H222" i="1"/>
  <c r="E222" i="1"/>
  <c r="D222" i="1"/>
  <c r="C222" i="1"/>
  <c r="K221" i="1"/>
  <c r="H221" i="1"/>
  <c r="E221" i="1"/>
  <c r="D221" i="1"/>
  <c r="C221" i="1"/>
  <c r="K220" i="1"/>
  <c r="H220" i="1"/>
  <c r="E220" i="1"/>
  <c r="D220" i="1"/>
  <c r="C220" i="1"/>
  <c r="K219" i="1"/>
  <c r="H219" i="1"/>
  <c r="E219" i="1"/>
  <c r="D219" i="1"/>
  <c r="C219" i="1"/>
  <c r="K218" i="1"/>
  <c r="H218" i="1"/>
  <c r="E218" i="1"/>
  <c r="D218" i="1"/>
  <c r="C218" i="1"/>
  <c r="K217" i="1"/>
  <c r="H217" i="1"/>
  <c r="E217" i="1"/>
  <c r="D217" i="1"/>
  <c r="C217" i="1"/>
  <c r="K216" i="1"/>
  <c r="H216" i="1"/>
  <c r="E216" i="1"/>
  <c r="D216" i="1"/>
  <c r="C216" i="1"/>
  <c r="K215" i="1"/>
  <c r="H215" i="1"/>
  <c r="E215" i="1"/>
  <c r="D215" i="1"/>
  <c r="C215" i="1"/>
  <c r="K214" i="1"/>
  <c r="H214" i="1"/>
  <c r="E214" i="1"/>
  <c r="D214" i="1"/>
  <c r="C214" i="1"/>
  <c r="K213" i="1"/>
  <c r="H213" i="1"/>
  <c r="E213" i="1"/>
  <c r="D213" i="1"/>
  <c r="C213" i="1"/>
  <c r="K212" i="1"/>
  <c r="E212" i="1"/>
  <c r="D212" i="1"/>
  <c r="C212" i="1"/>
  <c r="K211" i="1"/>
  <c r="H211" i="1"/>
  <c r="E211" i="1"/>
  <c r="D211" i="1"/>
  <c r="C211" i="1"/>
  <c r="K210" i="1"/>
  <c r="H210" i="1"/>
  <c r="E210" i="1"/>
  <c r="D210" i="1"/>
  <c r="C210" i="1"/>
  <c r="K209" i="1"/>
  <c r="H209" i="1"/>
  <c r="E209" i="1"/>
  <c r="D209" i="1"/>
  <c r="C209" i="1"/>
  <c r="K208" i="1"/>
  <c r="H208" i="1"/>
  <c r="E208" i="1"/>
  <c r="D208" i="1"/>
  <c r="C208" i="1"/>
  <c r="K207" i="1"/>
  <c r="H207" i="1"/>
  <c r="E207" i="1"/>
  <c r="D207" i="1"/>
  <c r="C207" i="1"/>
  <c r="K206" i="1"/>
  <c r="H206" i="1"/>
  <c r="E206" i="1"/>
  <c r="D206" i="1"/>
  <c r="C206" i="1"/>
  <c r="K205" i="1"/>
  <c r="H205" i="1"/>
  <c r="E205" i="1"/>
  <c r="D205" i="1"/>
  <c r="C205" i="1"/>
  <c r="K204" i="1"/>
  <c r="H204" i="1"/>
  <c r="E204" i="1"/>
  <c r="D204" i="1"/>
  <c r="C204" i="1"/>
  <c r="K203" i="1"/>
  <c r="H203" i="1"/>
  <c r="E203" i="1"/>
  <c r="D203" i="1"/>
  <c r="C203" i="1"/>
  <c r="K202" i="1"/>
  <c r="H202" i="1"/>
  <c r="E202" i="1"/>
  <c r="D202" i="1"/>
  <c r="C202" i="1"/>
  <c r="K201" i="1"/>
  <c r="H201" i="1"/>
  <c r="E201" i="1"/>
  <c r="D201" i="1"/>
  <c r="C201" i="1"/>
  <c r="K200" i="1"/>
  <c r="H200" i="1"/>
  <c r="E200" i="1"/>
  <c r="D200" i="1"/>
  <c r="C200" i="1"/>
  <c r="K199" i="1"/>
  <c r="H199" i="1"/>
  <c r="E199" i="1"/>
  <c r="D199" i="1"/>
  <c r="C199" i="1"/>
  <c r="K198" i="1"/>
  <c r="H198" i="1"/>
  <c r="E198" i="1"/>
  <c r="D198" i="1"/>
  <c r="C198" i="1"/>
  <c r="K197" i="1"/>
  <c r="H197" i="1"/>
  <c r="E197" i="1"/>
  <c r="D197" i="1"/>
  <c r="C197" i="1"/>
  <c r="K196" i="1"/>
  <c r="H196" i="1"/>
  <c r="E196" i="1"/>
  <c r="D196" i="1"/>
  <c r="C196" i="1"/>
  <c r="K195" i="1"/>
  <c r="H195" i="1"/>
  <c r="E195" i="1"/>
  <c r="D195" i="1"/>
  <c r="C195" i="1"/>
  <c r="K194" i="1"/>
  <c r="H194" i="1"/>
  <c r="E194" i="1"/>
  <c r="D194" i="1"/>
  <c r="C194" i="1"/>
  <c r="K193" i="1"/>
  <c r="H193" i="1"/>
  <c r="E193" i="1"/>
  <c r="D193" i="1"/>
  <c r="C193" i="1"/>
  <c r="K192" i="1"/>
  <c r="H192" i="1"/>
  <c r="E192" i="1"/>
  <c r="D192" i="1"/>
  <c r="C192" i="1"/>
  <c r="K191" i="1"/>
  <c r="H191" i="1"/>
  <c r="E191" i="1"/>
  <c r="D191" i="1"/>
  <c r="C191" i="1"/>
  <c r="K190" i="1"/>
  <c r="E190" i="1"/>
  <c r="D190" i="1"/>
  <c r="C190" i="1"/>
  <c r="K189" i="1"/>
  <c r="H189" i="1"/>
  <c r="E189" i="1"/>
  <c r="D189" i="1"/>
  <c r="C189" i="1"/>
  <c r="K188" i="1"/>
  <c r="H188" i="1"/>
  <c r="E188" i="1"/>
  <c r="D188" i="1"/>
  <c r="C188" i="1"/>
  <c r="K187" i="1"/>
  <c r="H187" i="1"/>
  <c r="E187" i="1"/>
  <c r="D187" i="1"/>
  <c r="C187" i="1"/>
  <c r="K186" i="1"/>
  <c r="H186" i="1"/>
  <c r="E186" i="1"/>
  <c r="D186" i="1"/>
  <c r="C186" i="1"/>
  <c r="K185" i="1"/>
  <c r="H185" i="1"/>
  <c r="E185" i="1"/>
  <c r="D185" i="1"/>
  <c r="C185" i="1"/>
  <c r="K184" i="1"/>
  <c r="H184" i="1"/>
  <c r="E184" i="1"/>
  <c r="D184" i="1"/>
  <c r="C184" i="1"/>
  <c r="K183" i="1"/>
  <c r="H183" i="1"/>
  <c r="E183" i="1"/>
  <c r="D183" i="1"/>
  <c r="C183" i="1"/>
  <c r="K182" i="1"/>
  <c r="H182" i="1"/>
  <c r="E182" i="1"/>
  <c r="D182" i="1"/>
  <c r="C182" i="1"/>
  <c r="K181" i="1"/>
  <c r="H181" i="1"/>
  <c r="E181" i="1"/>
  <c r="D181" i="1"/>
  <c r="C181" i="1"/>
  <c r="K180" i="1"/>
  <c r="H180" i="1"/>
  <c r="E180" i="1"/>
  <c r="D180" i="1"/>
  <c r="C180" i="1"/>
  <c r="K179" i="1"/>
  <c r="H179" i="1"/>
  <c r="E179" i="1"/>
  <c r="D179" i="1"/>
  <c r="C179" i="1"/>
  <c r="K178" i="1"/>
  <c r="H178" i="1"/>
  <c r="E178" i="1"/>
  <c r="D178" i="1"/>
  <c r="C178" i="1"/>
  <c r="K177" i="1"/>
  <c r="H177" i="1"/>
  <c r="E177" i="1"/>
  <c r="D177" i="1"/>
  <c r="C177" i="1"/>
  <c r="K176" i="1"/>
  <c r="H176" i="1"/>
  <c r="E176" i="1"/>
  <c r="D176" i="1"/>
  <c r="C176" i="1"/>
  <c r="K175" i="1"/>
  <c r="H175" i="1"/>
  <c r="E175" i="1"/>
  <c r="D175" i="1"/>
  <c r="C175" i="1"/>
  <c r="K174" i="1"/>
  <c r="H174" i="1"/>
  <c r="E174" i="1"/>
  <c r="D174" i="1"/>
  <c r="C174" i="1"/>
  <c r="K173" i="1"/>
  <c r="H173" i="1"/>
  <c r="E173" i="1"/>
  <c r="D173" i="1"/>
  <c r="C173" i="1"/>
  <c r="K172" i="1"/>
  <c r="H172" i="1"/>
  <c r="E172" i="1"/>
  <c r="D172" i="1"/>
  <c r="C172" i="1"/>
  <c r="K171" i="1"/>
  <c r="H171" i="1"/>
  <c r="E171" i="1"/>
  <c r="D171" i="1"/>
  <c r="C171" i="1"/>
  <c r="K170" i="1"/>
  <c r="H170" i="1"/>
  <c r="E170" i="1"/>
  <c r="D170" i="1"/>
  <c r="C170" i="1"/>
  <c r="K169" i="1"/>
  <c r="H169" i="1"/>
  <c r="E169" i="1"/>
  <c r="D169" i="1"/>
  <c r="C169" i="1"/>
  <c r="K168" i="1"/>
  <c r="H168" i="1"/>
  <c r="E168" i="1"/>
  <c r="D168" i="1"/>
  <c r="C168" i="1"/>
  <c r="K167" i="1"/>
  <c r="H167" i="1"/>
  <c r="E167" i="1"/>
  <c r="D167" i="1"/>
  <c r="C167" i="1"/>
  <c r="K166" i="1"/>
  <c r="H166" i="1"/>
  <c r="E166" i="1"/>
  <c r="D166" i="1"/>
  <c r="C166" i="1"/>
  <c r="K165" i="1"/>
  <c r="H165" i="1"/>
  <c r="E165" i="1"/>
  <c r="D165" i="1"/>
  <c r="C165" i="1"/>
  <c r="K164" i="1"/>
  <c r="H164" i="1"/>
  <c r="E164" i="1"/>
  <c r="D164" i="1"/>
  <c r="C164" i="1"/>
  <c r="K163" i="1"/>
  <c r="H163" i="1"/>
  <c r="E163" i="1"/>
  <c r="D163" i="1"/>
  <c r="C163" i="1"/>
  <c r="K162" i="1"/>
  <c r="H162" i="1"/>
  <c r="E162" i="1"/>
  <c r="D162" i="1"/>
  <c r="C162" i="1"/>
  <c r="K161" i="1"/>
  <c r="H161" i="1"/>
  <c r="E161" i="1"/>
  <c r="D161" i="1"/>
  <c r="C161" i="1"/>
  <c r="K160" i="1"/>
  <c r="H160" i="1"/>
  <c r="E160" i="1"/>
  <c r="D160" i="1"/>
  <c r="C160" i="1"/>
  <c r="K2" i="1" l="1"/>
  <c r="E2" i="1"/>
  <c r="C2" i="1"/>
  <c r="K159" i="1" l="1"/>
  <c r="H159" i="1"/>
  <c r="E159" i="1"/>
  <c r="C159" i="1"/>
  <c r="K158" i="1"/>
  <c r="H158" i="1"/>
  <c r="E158" i="1"/>
  <c r="C158" i="1"/>
  <c r="K157" i="1"/>
  <c r="H157" i="1"/>
  <c r="E157" i="1"/>
  <c r="C157" i="1"/>
  <c r="K156" i="1"/>
  <c r="H156" i="1"/>
  <c r="E156" i="1"/>
  <c r="C156" i="1"/>
  <c r="K155" i="1"/>
  <c r="H155" i="1"/>
  <c r="E155" i="1"/>
  <c r="C155" i="1"/>
  <c r="K154" i="1"/>
  <c r="H154" i="1"/>
  <c r="E154" i="1"/>
  <c r="D154" i="1"/>
  <c r="C154" i="1"/>
  <c r="K153" i="1"/>
  <c r="H153" i="1"/>
  <c r="E153" i="1"/>
  <c r="D153" i="1"/>
  <c r="C153" i="1"/>
  <c r="K152" i="1"/>
  <c r="H152" i="1"/>
  <c r="E152" i="1"/>
  <c r="D152" i="1"/>
  <c r="C152" i="1"/>
  <c r="K151" i="1"/>
  <c r="H151" i="1"/>
  <c r="E151" i="1"/>
  <c r="D151" i="1"/>
  <c r="C151" i="1"/>
  <c r="K150" i="1"/>
  <c r="H150" i="1"/>
  <c r="E150" i="1"/>
  <c r="D150" i="1"/>
  <c r="C150" i="1"/>
  <c r="K149" i="1"/>
  <c r="H149" i="1"/>
  <c r="E149" i="1"/>
  <c r="D149" i="1"/>
  <c r="C149" i="1"/>
  <c r="K148" i="1"/>
  <c r="H148" i="1"/>
  <c r="E148" i="1"/>
  <c r="D148" i="1"/>
  <c r="C148" i="1"/>
  <c r="K147" i="1"/>
  <c r="H147" i="1"/>
  <c r="E147" i="1"/>
  <c r="D147" i="1"/>
  <c r="C147" i="1"/>
  <c r="K146" i="1"/>
  <c r="H146" i="1"/>
  <c r="E146" i="1"/>
  <c r="D146" i="1"/>
  <c r="C146" i="1"/>
  <c r="K145" i="1"/>
  <c r="H145" i="1"/>
  <c r="E145" i="1"/>
  <c r="D145" i="1"/>
  <c r="C145" i="1"/>
  <c r="K144" i="1"/>
  <c r="H144" i="1"/>
  <c r="E144" i="1"/>
  <c r="D144" i="1"/>
  <c r="C144" i="1"/>
  <c r="K143" i="1"/>
  <c r="H143" i="1"/>
  <c r="E143" i="1"/>
  <c r="D143" i="1"/>
  <c r="C143" i="1"/>
  <c r="K142" i="1"/>
  <c r="H142" i="1"/>
  <c r="E142" i="1"/>
  <c r="D142" i="1"/>
  <c r="C142" i="1"/>
  <c r="K141" i="1"/>
  <c r="H141" i="1"/>
  <c r="E141" i="1"/>
  <c r="D141" i="1"/>
  <c r="C141" i="1"/>
  <c r="K140" i="1"/>
  <c r="H140" i="1"/>
  <c r="E140" i="1"/>
  <c r="D140" i="1"/>
  <c r="C140" i="1"/>
  <c r="K139" i="1"/>
  <c r="H139" i="1"/>
  <c r="E139" i="1"/>
  <c r="D139" i="1"/>
  <c r="C139" i="1"/>
  <c r="K138" i="1"/>
  <c r="H138" i="1"/>
  <c r="E138" i="1"/>
  <c r="D138" i="1"/>
  <c r="C138" i="1"/>
  <c r="K137" i="1"/>
  <c r="H137" i="1"/>
  <c r="E137" i="1"/>
  <c r="D137" i="1"/>
  <c r="C137" i="1"/>
  <c r="K136" i="1"/>
  <c r="H136" i="1"/>
  <c r="E136" i="1"/>
  <c r="D136" i="1"/>
  <c r="C136" i="1"/>
  <c r="K135" i="1"/>
  <c r="H135" i="1"/>
  <c r="E135" i="1"/>
  <c r="D135" i="1"/>
  <c r="C135" i="1"/>
  <c r="K134" i="1"/>
  <c r="H134" i="1"/>
  <c r="E134" i="1"/>
  <c r="D134" i="1"/>
  <c r="C134" i="1"/>
  <c r="K133" i="1"/>
  <c r="H133" i="1"/>
  <c r="E133" i="1"/>
  <c r="D133" i="1"/>
  <c r="C133" i="1"/>
  <c r="K132" i="1"/>
  <c r="H132" i="1"/>
  <c r="E132" i="1"/>
  <c r="D132" i="1"/>
  <c r="C132" i="1"/>
  <c r="K131" i="1"/>
  <c r="H131" i="1"/>
  <c r="E131" i="1"/>
  <c r="D131" i="1"/>
  <c r="C131" i="1"/>
  <c r="K130" i="1"/>
  <c r="H130" i="1"/>
  <c r="E130" i="1"/>
  <c r="D130" i="1"/>
  <c r="C130" i="1"/>
  <c r="K129" i="1"/>
  <c r="H129" i="1"/>
  <c r="E129" i="1"/>
  <c r="D129" i="1"/>
  <c r="C129" i="1"/>
  <c r="K128" i="1"/>
  <c r="H128" i="1"/>
  <c r="E128" i="1"/>
  <c r="D128" i="1"/>
  <c r="C128" i="1"/>
  <c r="K127" i="1"/>
  <c r="H127" i="1"/>
  <c r="E127" i="1"/>
  <c r="D127" i="1"/>
  <c r="C127" i="1"/>
  <c r="K126" i="1"/>
  <c r="H126" i="1"/>
  <c r="E126" i="1"/>
  <c r="D126" i="1"/>
  <c r="C126" i="1"/>
  <c r="K125" i="1"/>
  <c r="H125" i="1"/>
  <c r="E125" i="1"/>
  <c r="D125" i="1"/>
  <c r="C125" i="1"/>
  <c r="K124" i="1"/>
  <c r="H124" i="1"/>
  <c r="E124" i="1"/>
  <c r="D124" i="1"/>
  <c r="C124" i="1"/>
  <c r="K123" i="1"/>
  <c r="H123" i="1"/>
  <c r="E123" i="1"/>
  <c r="D123" i="1"/>
  <c r="C123" i="1"/>
  <c r="K122" i="1"/>
  <c r="H122" i="1"/>
  <c r="E122" i="1"/>
  <c r="D122" i="1"/>
  <c r="C122" i="1"/>
  <c r="K121" i="1"/>
  <c r="H121" i="1"/>
  <c r="E121" i="1"/>
  <c r="D121" i="1"/>
  <c r="C121" i="1"/>
  <c r="K120" i="1"/>
  <c r="H120" i="1"/>
  <c r="E120" i="1"/>
  <c r="D120" i="1"/>
  <c r="C120" i="1"/>
  <c r="K119" i="1"/>
  <c r="H119" i="1"/>
  <c r="E119" i="1"/>
  <c r="D119" i="1"/>
  <c r="C119" i="1"/>
  <c r="K118" i="1"/>
  <c r="H118" i="1"/>
  <c r="E118" i="1"/>
  <c r="D118" i="1"/>
  <c r="C118" i="1"/>
  <c r="K117" i="1"/>
  <c r="H117" i="1"/>
  <c r="E117" i="1"/>
  <c r="D117" i="1"/>
  <c r="C117" i="1"/>
  <c r="K116" i="1"/>
  <c r="H116" i="1"/>
  <c r="E116" i="1"/>
  <c r="D116" i="1"/>
  <c r="C116" i="1"/>
  <c r="K115" i="1"/>
  <c r="H115" i="1"/>
  <c r="E115" i="1"/>
  <c r="D115" i="1"/>
  <c r="C115" i="1"/>
  <c r="K114" i="1"/>
  <c r="H114" i="1"/>
  <c r="E114" i="1"/>
  <c r="D114" i="1"/>
  <c r="C114" i="1"/>
  <c r="K113" i="1"/>
  <c r="H113" i="1"/>
  <c r="E113" i="1"/>
  <c r="D113" i="1"/>
  <c r="C113" i="1"/>
  <c r="K112" i="1"/>
  <c r="H112" i="1"/>
  <c r="E112" i="1"/>
  <c r="D112" i="1"/>
  <c r="C112" i="1"/>
  <c r="K111" i="1"/>
  <c r="H111" i="1"/>
  <c r="E111" i="1"/>
  <c r="D111" i="1"/>
  <c r="C111" i="1"/>
  <c r="K110" i="1"/>
  <c r="H110" i="1"/>
  <c r="E110" i="1"/>
  <c r="D110" i="1"/>
  <c r="C110" i="1"/>
  <c r="K109" i="1"/>
  <c r="H109" i="1"/>
  <c r="E109" i="1"/>
  <c r="D109" i="1"/>
  <c r="C109" i="1"/>
  <c r="K108" i="1"/>
  <c r="H108" i="1"/>
  <c r="E108" i="1"/>
  <c r="D108" i="1"/>
  <c r="C108" i="1"/>
  <c r="K107" i="1"/>
  <c r="H107" i="1"/>
  <c r="E107" i="1"/>
  <c r="D107" i="1"/>
  <c r="C107" i="1"/>
  <c r="K106" i="1"/>
  <c r="H106" i="1"/>
  <c r="E106" i="1"/>
  <c r="D106" i="1"/>
  <c r="C106" i="1"/>
  <c r="K105" i="1"/>
  <c r="H105" i="1"/>
  <c r="E105" i="1"/>
  <c r="D105" i="1"/>
  <c r="C105" i="1"/>
  <c r="K104" i="1"/>
  <c r="H104" i="1"/>
  <c r="E104" i="1"/>
  <c r="D104" i="1"/>
  <c r="C104" i="1"/>
  <c r="K103" i="1"/>
  <c r="H103" i="1"/>
  <c r="E103" i="1"/>
  <c r="D103" i="1"/>
  <c r="C103" i="1"/>
  <c r="K102" i="1"/>
  <c r="H102" i="1"/>
  <c r="E102" i="1"/>
  <c r="D102" i="1"/>
  <c r="C102" i="1"/>
  <c r="K101" i="1"/>
  <c r="H101" i="1"/>
  <c r="E101" i="1"/>
  <c r="D101" i="1"/>
  <c r="C101" i="1"/>
  <c r="K100" i="1"/>
  <c r="H100" i="1"/>
  <c r="E100" i="1"/>
  <c r="D100" i="1"/>
  <c r="C100" i="1"/>
  <c r="K99" i="1"/>
  <c r="H99" i="1"/>
  <c r="E99" i="1"/>
  <c r="D99" i="1"/>
  <c r="C99" i="1"/>
  <c r="K98" i="1"/>
  <c r="H98" i="1"/>
  <c r="E98" i="1"/>
  <c r="D98" i="1"/>
  <c r="C98" i="1"/>
  <c r="K97" i="1"/>
  <c r="H97" i="1"/>
  <c r="E97" i="1"/>
  <c r="D97" i="1"/>
  <c r="C97" i="1"/>
  <c r="K96" i="1"/>
  <c r="H96" i="1"/>
  <c r="E96" i="1"/>
  <c r="D96" i="1"/>
  <c r="C96" i="1"/>
  <c r="K95" i="1"/>
  <c r="H95" i="1"/>
  <c r="E95" i="1"/>
  <c r="D95" i="1"/>
  <c r="C95" i="1"/>
  <c r="K94" i="1"/>
  <c r="H94" i="1"/>
  <c r="E94" i="1"/>
  <c r="D94" i="1"/>
  <c r="C94" i="1"/>
  <c r="K93" i="1"/>
  <c r="H93" i="1"/>
  <c r="E93" i="1"/>
  <c r="D93" i="1"/>
  <c r="C93" i="1"/>
  <c r="K92" i="1"/>
  <c r="H92" i="1"/>
  <c r="E92" i="1"/>
  <c r="D92" i="1"/>
  <c r="C92" i="1"/>
  <c r="K91" i="1"/>
  <c r="H91" i="1"/>
  <c r="E91" i="1"/>
  <c r="D91" i="1"/>
  <c r="C91" i="1"/>
  <c r="K90" i="1"/>
  <c r="H90" i="1"/>
  <c r="E90" i="1"/>
  <c r="D90" i="1"/>
  <c r="C90" i="1"/>
  <c r="K89" i="1"/>
  <c r="H89" i="1"/>
  <c r="E89" i="1"/>
  <c r="D89" i="1"/>
  <c r="C89" i="1"/>
  <c r="K88" i="1"/>
  <c r="H88" i="1"/>
  <c r="E88" i="1"/>
  <c r="D88" i="1"/>
  <c r="C88" i="1"/>
  <c r="K87" i="1"/>
  <c r="H87" i="1"/>
  <c r="E87" i="1"/>
  <c r="D87" i="1"/>
  <c r="C87" i="1"/>
  <c r="K86" i="1"/>
  <c r="H86" i="1"/>
  <c r="E86" i="1"/>
  <c r="D86" i="1"/>
  <c r="C86" i="1"/>
  <c r="K85" i="1"/>
  <c r="H85" i="1"/>
  <c r="E85" i="1"/>
  <c r="D85" i="1"/>
  <c r="C85" i="1"/>
  <c r="K84" i="1"/>
  <c r="H84" i="1"/>
  <c r="E84" i="1"/>
  <c r="D84" i="1"/>
  <c r="C84" i="1"/>
  <c r="K83" i="1"/>
  <c r="H83" i="1"/>
  <c r="E83" i="1"/>
  <c r="D83" i="1"/>
  <c r="C83" i="1"/>
  <c r="K82" i="1"/>
  <c r="H82" i="1"/>
  <c r="E82" i="1"/>
  <c r="D82" i="1"/>
  <c r="C82" i="1"/>
  <c r="K81" i="1"/>
  <c r="H81" i="1"/>
  <c r="E81" i="1"/>
  <c r="D81" i="1"/>
  <c r="C81" i="1"/>
  <c r="K80" i="1"/>
  <c r="H80" i="1"/>
  <c r="E80" i="1"/>
  <c r="D80" i="1"/>
  <c r="C80" i="1"/>
  <c r="K79" i="1"/>
  <c r="H79" i="1"/>
  <c r="E79" i="1"/>
  <c r="D79" i="1"/>
  <c r="C79" i="1"/>
  <c r="K78" i="1"/>
  <c r="H78" i="1"/>
  <c r="E78" i="1"/>
  <c r="D78" i="1"/>
  <c r="C78" i="1"/>
  <c r="K77" i="1"/>
  <c r="H77" i="1"/>
  <c r="E77" i="1"/>
  <c r="D77" i="1"/>
  <c r="C77" i="1"/>
  <c r="K76" i="1"/>
  <c r="H76" i="1"/>
  <c r="E76" i="1"/>
  <c r="D76" i="1"/>
  <c r="C76" i="1"/>
  <c r="K75" i="1"/>
  <c r="H75" i="1"/>
  <c r="E75" i="1"/>
  <c r="D75" i="1"/>
  <c r="C75" i="1"/>
  <c r="K74" i="1"/>
  <c r="H74" i="1"/>
  <c r="E74" i="1"/>
  <c r="D74" i="1"/>
  <c r="C74" i="1"/>
  <c r="K73" i="1"/>
  <c r="H73" i="1"/>
  <c r="E73" i="1"/>
  <c r="D73" i="1"/>
  <c r="C73" i="1"/>
  <c r="K72" i="1"/>
  <c r="H72" i="1"/>
  <c r="E72" i="1"/>
  <c r="D72" i="1"/>
  <c r="C72" i="1"/>
  <c r="K71" i="1"/>
  <c r="H71" i="1"/>
  <c r="E71" i="1"/>
  <c r="D71" i="1"/>
  <c r="C71" i="1"/>
  <c r="K70" i="1"/>
  <c r="H70" i="1"/>
  <c r="E70" i="1"/>
  <c r="D70" i="1"/>
  <c r="C70" i="1"/>
  <c r="K69" i="1"/>
  <c r="H69" i="1"/>
  <c r="E69" i="1"/>
  <c r="D69" i="1"/>
  <c r="C69" i="1"/>
  <c r="K68" i="1"/>
  <c r="H68" i="1"/>
  <c r="E68" i="1"/>
  <c r="D68" i="1"/>
  <c r="C68" i="1"/>
  <c r="K67" i="1"/>
  <c r="H67" i="1"/>
  <c r="E67" i="1"/>
  <c r="D67" i="1"/>
  <c r="C67" i="1"/>
  <c r="K66" i="1"/>
  <c r="H66" i="1"/>
  <c r="E66" i="1"/>
  <c r="D66" i="1"/>
  <c r="C66" i="1"/>
  <c r="K65" i="1"/>
  <c r="H65" i="1"/>
  <c r="E65" i="1"/>
  <c r="D65" i="1"/>
  <c r="C65" i="1"/>
  <c r="K64" i="1"/>
  <c r="H64" i="1"/>
  <c r="E64" i="1"/>
  <c r="D64" i="1"/>
  <c r="C64" i="1"/>
  <c r="K63" i="1"/>
  <c r="H63" i="1"/>
  <c r="E63" i="1"/>
  <c r="D63" i="1"/>
  <c r="C63" i="1"/>
  <c r="K62" i="1"/>
  <c r="H62" i="1"/>
  <c r="E62" i="1"/>
  <c r="D62" i="1"/>
  <c r="C62" i="1"/>
  <c r="K61" i="1"/>
  <c r="H61" i="1"/>
  <c r="E61" i="1"/>
  <c r="D61" i="1"/>
  <c r="C61" i="1"/>
  <c r="K60" i="1"/>
  <c r="H60" i="1"/>
  <c r="E60" i="1"/>
  <c r="D60" i="1"/>
  <c r="C60" i="1"/>
  <c r="K59" i="1"/>
  <c r="H59" i="1"/>
  <c r="E59" i="1"/>
  <c r="D59" i="1"/>
  <c r="C59" i="1"/>
  <c r="K58" i="1"/>
  <c r="H58" i="1"/>
  <c r="E58" i="1"/>
  <c r="D58" i="1"/>
  <c r="C58" i="1"/>
  <c r="K57" i="1"/>
  <c r="H57" i="1"/>
  <c r="E57" i="1"/>
  <c r="D57" i="1"/>
  <c r="C57" i="1"/>
  <c r="K56" i="1"/>
  <c r="H56" i="1"/>
  <c r="E56" i="1"/>
  <c r="D56" i="1"/>
  <c r="C56" i="1"/>
  <c r="K55" i="1"/>
  <c r="H55" i="1"/>
  <c r="E55" i="1"/>
  <c r="D55" i="1"/>
  <c r="C55" i="1"/>
  <c r="K54" i="1"/>
  <c r="H54" i="1"/>
  <c r="E54" i="1"/>
  <c r="D54" i="1"/>
  <c r="C54" i="1"/>
  <c r="K53" i="1"/>
  <c r="H53" i="1"/>
  <c r="E53" i="1"/>
  <c r="D53" i="1"/>
  <c r="C53" i="1"/>
  <c r="K52" i="1"/>
  <c r="H52" i="1"/>
  <c r="E52" i="1"/>
  <c r="D52" i="1"/>
  <c r="C52" i="1"/>
  <c r="K51" i="1"/>
  <c r="H51" i="1"/>
  <c r="E51" i="1"/>
  <c r="D51" i="1"/>
  <c r="C51" i="1"/>
  <c r="K50" i="1"/>
  <c r="H50" i="1"/>
  <c r="E50" i="1"/>
  <c r="D50" i="1"/>
  <c r="C50" i="1"/>
  <c r="K49" i="1"/>
  <c r="H49" i="1"/>
  <c r="E49" i="1"/>
  <c r="D49" i="1"/>
  <c r="C49" i="1"/>
  <c r="K48" i="1"/>
  <c r="H48" i="1"/>
  <c r="E48" i="1"/>
  <c r="D48" i="1"/>
  <c r="C48" i="1"/>
  <c r="K47" i="1"/>
  <c r="E47" i="1"/>
  <c r="D47" i="1"/>
  <c r="C47" i="1"/>
  <c r="K46" i="1"/>
  <c r="H46" i="1"/>
  <c r="E46" i="1"/>
  <c r="D46" i="1"/>
  <c r="C46" i="1"/>
  <c r="K45" i="1"/>
  <c r="H45" i="1"/>
  <c r="E45" i="1"/>
  <c r="D45" i="1"/>
  <c r="C45" i="1"/>
  <c r="K44" i="1"/>
  <c r="H44" i="1"/>
  <c r="E44" i="1"/>
  <c r="D44" i="1"/>
  <c r="C44" i="1"/>
  <c r="K43" i="1"/>
  <c r="H43" i="1"/>
  <c r="E43" i="1"/>
  <c r="D43" i="1"/>
  <c r="C43" i="1"/>
  <c r="K42" i="1"/>
  <c r="H42" i="1"/>
  <c r="E42" i="1"/>
  <c r="D42" i="1"/>
  <c r="C42" i="1"/>
  <c r="K41" i="1" l="1"/>
  <c r="H41" i="1"/>
  <c r="E41" i="1"/>
  <c r="D41" i="1"/>
  <c r="C41" i="1"/>
  <c r="K40" i="1"/>
  <c r="H40" i="1"/>
  <c r="E40" i="1"/>
  <c r="D40" i="1"/>
  <c r="C40" i="1"/>
  <c r="K39" i="1"/>
  <c r="E39" i="1"/>
  <c r="C39" i="1"/>
  <c r="K38" i="1"/>
  <c r="H38" i="1"/>
  <c r="E38" i="1"/>
  <c r="C38" i="1"/>
  <c r="K37" i="1"/>
  <c r="H37" i="1"/>
  <c r="E37" i="1"/>
  <c r="C37" i="1"/>
  <c r="K36" i="1"/>
  <c r="H36" i="1"/>
  <c r="E36" i="1"/>
  <c r="D36" i="1"/>
  <c r="C36" i="1"/>
  <c r="K35" i="1"/>
  <c r="H35" i="1"/>
  <c r="E35" i="1"/>
  <c r="C35" i="1"/>
  <c r="K34" i="1"/>
  <c r="H34" i="1"/>
  <c r="E34" i="1"/>
  <c r="D34" i="1"/>
  <c r="C34" i="1"/>
  <c r="K33" i="1" l="1"/>
  <c r="H33" i="1"/>
  <c r="E33" i="1"/>
  <c r="D33" i="1"/>
  <c r="C33" i="1"/>
  <c r="K32" i="1"/>
  <c r="E32" i="1"/>
  <c r="C32" i="1"/>
  <c r="K31" i="1"/>
  <c r="H31" i="1"/>
  <c r="E31" i="1"/>
  <c r="D31" i="1"/>
  <c r="C31" i="1"/>
  <c r="K30" i="1"/>
  <c r="E30" i="1"/>
  <c r="D30" i="1"/>
  <c r="C30" i="1"/>
  <c r="K29" i="1"/>
  <c r="H29" i="1"/>
  <c r="E29" i="1"/>
  <c r="D29" i="1"/>
  <c r="C29" i="1"/>
  <c r="K28" i="1"/>
  <c r="E28" i="1"/>
  <c r="D28" i="1"/>
  <c r="C28" i="1"/>
  <c r="K27" i="1"/>
  <c r="H27" i="1"/>
  <c r="E27" i="1"/>
  <c r="D27" i="1"/>
  <c r="C27" i="1"/>
  <c r="K26" i="1"/>
  <c r="H26" i="1"/>
  <c r="E26" i="1"/>
  <c r="D26" i="1"/>
  <c r="C26" i="1"/>
  <c r="K25" i="1"/>
  <c r="H25" i="1"/>
  <c r="E25" i="1"/>
  <c r="D25" i="1"/>
  <c r="C25" i="1"/>
  <c r="K24" i="1"/>
  <c r="H24" i="1"/>
  <c r="E24" i="1"/>
  <c r="D24" i="1"/>
  <c r="C24" i="1"/>
  <c r="K23" i="1"/>
  <c r="H23" i="1"/>
  <c r="E23" i="1"/>
  <c r="D23" i="1"/>
  <c r="C23" i="1"/>
  <c r="K22" i="1"/>
  <c r="H22" i="1"/>
  <c r="E22" i="1"/>
  <c r="D22" i="1"/>
  <c r="C22" i="1"/>
  <c r="K21" i="1"/>
  <c r="H21" i="1"/>
  <c r="E21" i="1"/>
  <c r="D21" i="1"/>
  <c r="C21" i="1"/>
  <c r="K20" i="1"/>
  <c r="H20" i="1"/>
  <c r="E20" i="1"/>
  <c r="D20" i="1"/>
  <c r="C20" i="1"/>
  <c r="K19" i="1"/>
  <c r="H19" i="1"/>
  <c r="E19" i="1"/>
  <c r="D19" i="1"/>
  <c r="C19" i="1"/>
  <c r="K18" i="1"/>
  <c r="E18" i="1"/>
  <c r="D18" i="1"/>
  <c r="C18" i="1"/>
  <c r="K17" i="1"/>
  <c r="E17" i="1"/>
  <c r="D17" i="1"/>
  <c r="C17" i="1"/>
  <c r="K16" i="1"/>
  <c r="E16" i="1"/>
  <c r="D16" i="1"/>
  <c r="C16" i="1"/>
  <c r="K15" i="1"/>
  <c r="E15" i="1"/>
  <c r="D15" i="1"/>
  <c r="C15" i="1"/>
  <c r="H4" i="1" l="1"/>
  <c r="K12" i="1"/>
  <c r="E12" i="1"/>
  <c r="C12" i="1"/>
  <c r="K11" i="1"/>
  <c r="E11" i="1"/>
  <c r="D11" i="1"/>
  <c r="C11" i="1"/>
  <c r="K10" i="1"/>
  <c r="H10" i="1"/>
  <c r="E10" i="1"/>
  <c r="D10" i="1"/>
  <c r="C10" i="1"/>
  <c r="K9" i="1"/>
  <c r="H9" i="1"/>
  <c r="E9" i="1"/>
  <c r="D9" i="1"/>
  <c r="C9" i="1"/>
  <c r="K14" i="1"/>
  <c r="H14" i="1"/>
  <c r="E14" i="1"/>
  <c r="D14" i="1"/>
  <c r="C14" i="1"/>
  <c r="K13" i="1"/>
  <c r="H13" i="1"/>
  <c r="E13" i="1"/>
  <c r="D13" i="1"/>
  <c r="C13" i="1"/>
  <c r="K8" i="1"/>
  <c r="H8" i="1"/>
  <c r="E8" i="1"/>
  <c r="D8" i="1"/>
  <c r="C8" i="1"/>
  <c r="K7" i="1"/>
  <c r="H7" i="1"/>
  <c r="E7" i="1"/>
  <c r="D7" i="1"/>
  <c r="C7" i="1"/>
  <c r="K6" i="1"/>
  <c r="H6" i="1"/>
  <c r="E6" i="1"/>
  <c r="D6" i="1"/>
  <c r="C6" i="1"/>
  <c r="K5" i="1"/>
  <c r="H5" i="1"/>
  <c r="E5" i="1"/>
  <c r="D5" i="1"/>
  <c r="C5" i="1"/>
  <c r="K4" i="1"/>
  <c r="E4" i="1"/>
  <c r="D4" i="1"/>
  <c r="C4" i="1"/>
  <c r="K3" i="1"/>
  <c r="H3" i="1"/>
  <c r="E3" i="1"/>
  <c r="D3" i="1"/>
  <c r="C3" i="1"/>
</calcChain>
</file>

<file path=xl/sharedStrings.xml><?xml version="1.0" encoding="utf-8"?>
<sst xmlns="http://schemas.openxmlformats.org/spreadsheetml/2006/main" count="7069" uniqueCount="2412">
  <si>
    <t>DELIVERED</t>
  </si>
  <si>
    <t>IN TRANSIT</t>
  </si>
  <si>
    <t>shiping date</t>
  </si>
  <si>
    <t>Reference 1</t>
  </si>
  <si>
    <t>Reference 2</t>
  </si>
  <si>
    <t>Reference 3</t>
  </si>
  <si>
    <t>Service</t>
  </si>
  <si>
    <t>Carrier</t>
  </si>
  <si>
    <t>T&amp;T reference</t>
  </si>
  <si>
    <t>Destination name</t>
  </si>
  <si>
    <t>Destination address</t>
  </si>
  <si>
    <t>Postal code</t>
  </si>
  <si>
    <t>CC</t>
  </si>
  <si>
    <t>Status</t>
  </si>
  <si>
    <t>TNT</t>
  </si>
  <si>
    <t>UPS</t>
  </si>
  <si>
    <t>HSTD</t>
  </si>
  <si>
    <t>HNXD</t>
  </si>
  <si>
    <t>IT</t>
  </si>
  <si>
    <t>FR</t>
  </si>
  <si>
    <t>PL</t>
  </si>
  <si>
    <t>V F CONFORT</t>
  </si>
  <si>
    <t>C CLIM</t>
  </si>
  <si>
    <t>SOLIPAC</t>
  </si>
  <si>
    <t>RUE DE DION BOUTON</t>
  </si>
  <si>
    <t>IE</t>
  </si>
  <si>
    <t>CEGECLIM</t>
  </si>
  <si>
    <t>ALLEE DES PRES</t>
  </si>
  <si>
    <t>13 RUE D ARSONVAL</t>
  </si>
  <si>
    <t>EURO THERMIC DISTRIBUTION</t>
  </si>
  <si>
    <t>ZI HEILLECOURT EST</t>
  </si>
  <si>
    <t>NL</t>
  </si>
  <si>
    <t>ES</t>
  </si>
  <si>
    <t>SEUR</t>
  </si>
  <si>
    <t>BE CLIM</t>
  </si>
  <si>
    <t>DE</t>
  </si>
  <si>
    <t>GR</t>
  </si>
  <si>
    <t>TVG</t>
  </si>
  <si>
    <t>AT</t>
  </si>
  <si>
    <t>DHL</t>
  </si>
  <si>
    <t>GB</t>
  </si>
  <si>
    <t>58 RUE LEON BLUM</t>
  </si>
  <si>
    <t>KLIMA KFT</t>
  </si>
  <si>
    <t>HU</t>
  </si>
  <si>
    <t>TECHNISCHE VERTRIEBSGES.MBH</t>
  </si>
  <si>
    <t>ABB S.A.</t>
  </si>
  <si>
    <t>Cuenta de shiping date</t>
  </si>
  <si>
    <t>HAC HITACHI</t>
  </si>
  <si>
    <t>ID ENERGIES</t>
  </si>
  <si>
    <t>CARNEOOL 400</t>
  </si>
  <si>
    <t>Etiquetas de columna</t>
  </si>
  <si>
    <t>Etiquetas de fila</t>
  </si>
  <si>
    <t>Total general</t>
  </si>
  <si>
    <t>AXIMA CONCEPT</t>
  </si>
  <si>
    <t>DIMOTRANS</t>
  </si>
  <si>
    <t>SMEF AZUR</t>
  </si>
  <si>
    <t>SARRAT</t>
  </si>
  <si>
    <t>AXIMA REFRIGERATION</t>
  </si>
  <si>
    <t>ECO'PRESTIGE</t>
  </si>
  <si>
    <t>6 RUE DES SAVEURS</t>
  </si>
  <si>
    <t>partial</t>
  </si>
  <si>
    <t>exception</t>
  </si>
  <si>
    <t>GIROLAN S.L.</t>
  </si>
  <si>
    <t>CARNEOOL ,400</t>
  </si>
  <si>
    <t>Comments logisteed</t>
  </si>
  <si>
    <t>LOGIS ID</t>
  </si>
  <si>
    <t xml:space="preserve"> </t>
  </si>
  <si>
    <t>HIMY EXPORT IMPORT S</t>
  </si>
  <si>
    <t>DALKIA</t>
  </si>
  <si>
    <t>DSD119050</t>
  </si>
  <si>
    <t>HITACHI</t>
  </si>
  <si>
    <t>GRAN VIA DE CARLES III, 86,5-1</t>
  </si>
  <si>
    <t>DSD119004</t>
  </si>
  <si>
    <t>32 RUE DU KROEMENHOU</t>
  </si>
  <si>
    <t>DSD119006</t>
  </si>
  <si>
    <t>DSD119008</t>
  </si>
  <si>
    <t>ENGIE HOME SERVICES</t>
  </si>
  <si>
    <t>595 Rue Jacques Ange</t>
  </si>
  <si>
    <t>DSD119010</t>
  </si>
  <si>
    <t>4 RUE RICHARD LENOIR</t>
  </si>
  <si>
    <t>DSD119026</t>
  </si>
  <si>
    <t>DSD119028</t>
  </si>
  <si>
    <t>ZAE FONT DE LA BANQUIERE</t>
  </si>
  <si>
    <t>DSD119036</t>
  </si>
  <si>
    <t>AQUITEC FROID COURRET</t>
  </si>
  <si>
    <t>ZI Peyremail Sud</t>
  </si>
  <si>
    <t>DSD119045</t>
  </si>
  <si>
    <t>PATINET SAS</t>
  </si>
  <si>
    <t>RUE ALEXIS DE TOCQUEVILLE</t>
  </si>
  <si>
    <t>DSD119056</t>
  </si>
  <si>
    <t>29 RUE DES CHAPELLES</t>
  </si>
  <si>
    <t>DSD118996</t>
  </si>
  <si>
    <t>HD KLIMAATSYSTEMEN B</t>
  </si>
  <si>
    <t>DSD119038</t>
  </si>
  <si>
    <t>1Z1V47910444499629</t>
  </si>
  <si>
    <t>CLIMASERVICE S.R.L.</t>
  </si>
  <si>
    <t>VIA ARGINE SINISTRO</t>
  </si>
  <si>
    <t>1Z1V47910445054017</t>
  </si>
  <si>
    <t>DSD119058</t>
  </si>
  <si>
    <t>2510 AV DE MAURIN</t>
  </si>
  <si>
    <t>DSD119060</t>
  </si>
  <si>
    <t>AIR CONFORT SERVICE</t>
  </si>
  <si>
    <t>19 rue du Bois de la</t>
  </si>
  <si>
    <t>DSD119062</t>
  </si>
  <si>
    <t>CPC</t>
  </si>
  <si>
    <t>7 RUE DE FONTENAY</t>
  </si>
  <si>
    <t>DSD119066</t>
  </si>
  <si>
    <t>AIR INNOVATION INDUS</t>
  </si>
  <si>
    <t>ZAC DES TOURELLES</t>
  </si>
  <si>
    <t>DSD119118</t>
  </si>
  <si>
    <t>CLIMA LOGIC SRL</t>
  </si>
  <si>
    <t>DSD119120</t>
  </si>
  <si>
    <t>SPECIALE GAS</t>
  </si>
  <si>
    <t>GENNARO MARASCO</t>
  </si>
  <si>
    <t>DSD119122</t>
  </si>
  <si>
    <t>VECTA SRL</t>
  </si>
  <si>
    <t>DSD119124</t>
  </si>
  <si>
    <t>BASSO &amp; RIVAGLI SRL</t>
  </si>
  <si>
    <t>DSD119126</t>
  </si>
  <si>
    <t>BM SERVICE</t>
  </si>
  <si>
    <t>BM SERVICE S.N.C. DI</t>
  </si>
  <si>
    <t>DSD119128</t>
  </si>
  <si>
    <t>DSD119130</t>
  </si>
  <si>
    <t>FURNARI SALVATORE</t>
  </si>
  <si>
    <t>DSD119132</t>
  </si>
  <si>
    <t>DSD119134</t>
  </si>
  <si>
    <t>DSD119138</t>
  </si>
  <si>
    <t>DSD119140</t>
  </si>
  <si>
    <t>SECA IMPIANTI SRL</t>
  </si>
  <si>
    <t>SECA IMPIANTI SRL T/</t>
  </si>
  <si>
    <t>DSD119142</t>
  </si>
  <si>
    <t>A.R.D.A. SERVICE SRL</t>
  </si>
  <si>
    <t>DSD119164</t>
  </si>
  <si>
    <t>C.S.T CLIMA SRL</t>
  </si>
  <si>
    <t>DSD119166</t>
  </si>
  <si>
    <t>UNITHERM HEATING SYSTEMS</t>
  </si>
  <si>
    <t>UNIT 9 BALLYBRIT BUSINESS PARK</t>
  </si>
  <si>
    <t>DSD119170</t>
  </si>
  <si>
    <t>DSD119144</t>
  </si>
  <si>
    <t>HAWCO LTD</t>
  </si>
  <si>
    <t>8 CRANFIELD ROAD</t>
  </si>
  <si>
    <t>DSD119204</t>
  </si>
  <si>
    <t>JOHNSON CONTROLS HITACHI AIR CON EU</t>
  </si>
  <si>
    <t>2 RUE DE LOMBARDIE</t>
  </si>
  <si>
    <t>DSD119206</t>
  </si>
  <si>
    <t>ESPACIOGEO-BOX ANCIN</t>
  </si>
  <si>
    <t>CARRETERA DE MADRID 152</t>
  </si>
  <si>
    <t>DSD119236</t>
  </si>
  <si>
    <t>13 TH KM NATIONAL ROAD ATHENS-LAMIA</t>
  </si>
  <si>
    <t>DSD119242</t>
  </si>
  <si>
    <t>HM GROUP</t>
  </si>
  <si>
    <t>7 BOULEVARD PIERRE LEFAUCHEUX</t>
  </si>
  <si>
    <t>DSD119296</t>
  </si>
  <si>
    <t>ETM</t>
  </si>
  <si>
    <t>RN193</t>
  </si>
  <si>
    <t>DSD119302</t>
  </si>
  <si>
    <t>SICOND SRL</t>
  </si>
  <si>
    <t>VIA 24 MAGGIO 4</t>
  </si>
  <si>
    <t>DSD119324</t>
  </si>
  <si>
    <t>RALLO SERVICE SRL</t>
  </si>
  <si>
    <t>DSD119396</t>
  </si>
  <si>
    <t>MGLS</t>
  </si>
  <si>
    <t>1993 AV JOSEPH VERNE</t>
  </si>
  <si>
    <t>DSD119398</t>
  </si>
  <si>
    <t>A2MCF</t>
  </si>
  <si>
    <t>CHALLERIE</t>
  </si>
  <si>
    <t>DSD119400</t>
  </si>
  <si>
    <t>ENGIE HOME SERVICE P</t>
  </si>
  <si>
    <t>142 BIS RUE DE LA GR</t>
  </si>
  <si>
    <t>DSD119402</t>
  </si>
  <si>
    <t>750 RUE MAYOR MONTRI</t>
  </si>
  <si>
    <t>DSD119404</t>
  </si>
  <si>
    <t>LABEAUNE JMC</t>
  </si>
  <si>
    <t>5 rue des artisans</t>
  </si>
  <si>
    <t>DSD119406</t>
  </si>
  <si>
    <t>JOSEPHSIMON</t>
  </si>
  <si>
    <t>11 Rue Madame Royale</t>
  </si>
  <si>
    <t>DSD119408</t>
  </si>
  <si>
    <t>DSD119410</t>
  </si>
  <si>
    <t>DSD119412</t>
  </si>
  <si>
    <t>ZI DE L ARGILE VOIE</t>
  </si>
  <si>
    <t>DSD119414</t>
  </si>
  <si>
    <t>DSD119416</t>
  </si>
  <si>
    <t>DSD119418</t>
  </si>
  <si>
    <t>H2C HITACHI</t>
  </si>
  <si>
    <t>3 RUE LAVOISIER</t>
  </si>
  <si>
    <t>DSD119420</t>
  </si>
  <si>
    <t>420 ROUTE DE LA FORE</t>
  </si>
  <si>
    <t>DSD119422</t>
  </si>
  <si>
    <t>DSD119424</t>
  </si>
  <si>
    <t>AUVERFROID</t>
  </si>
  <si>
    <t>13 RUE BERNARD PALIS</t>
  </si>
  <si>
    <t>DSD119426</t>
  </si>
  <si>
    <t>ATELIER 144</t>
  </si>
  <si>
    <t>23 bis rue de la Vig</t>
  </si>
  <si>
    <t>DSD119428</t>
  </si>
  <si>
    <t>SAS SCARLET LAMARQUE</t>
  </si>
  <si>
    <t>210 Av Georges Cleme</t>
  </si>
  <si>
    <t>DSD119430</t>
  </si>
  <si>
    <t>PH ENERGIES</t>
  </si>
  <si>
    <t>318 Avenue des Digue</t>
  </si>
  <si>
    <t>DSD119432</t>
  </si>
  <si>
    <t>LE ROI SOLAIRE SARL</t>
  </si>
  <si>
    <t>70 IMPASSE DE LA ZON</t>
  </si>
  <si>
    <t>DSD119434</t>
  </si>
  <si>
    <t>ENGIE TOULON</t>
  </si>
  <si>
    <t>AV DES FRERES LUMIER</t>
  </si>
  <si>
    <t>DSD119436</t>
  </si>
  <si>
    <t>31H ROUTE DE WATTEN</t>
  </si>
  <si>
    <t>DSD119438</t>
  </si>
  <si>
    <t>QUERU DISTRIBUTION S</t>
  </si>
  <si>
    <t>RUE PIERRE MARTIN ,3</t>
  </si>
  <si>
    <t>DSD119440</t>
  </si>
  <si>
    <t>DEAL ECO</t>
  </si>
  <si>
    <t>22 RUE AMPERE</t>
  </si>
  <si>
    <t>DSD119442</t>
  </si>
  <si>
    <t>THERMACLIM</t>
  </si>
  <si>
    <t>75 RUE DE L HOTEL D</t>
  </si>
  <si>
    <t>DSD119444</t>
  </si>
  <si>
    <t>BO2</t>
  </si>
  <si>
    <t>1 Rue Gabriel Lippma</t>
  </si>
  <si>
    <t>DSD119448</t>
  </si>
  <si>
    <t>CANDAU</t>
  </si>
  <si>
    <t>865 route dep 817</t>
  </si>
  <si>
    <t>DSD119450</t>
  </si>
  <si>
    <t>HAC MOUANS SARTOUX</t>
  </si>
  <si>
    <t>Z.I. DE L ARGILE</t>
  </si>
  <si>
    <t>DSD119452</t>
  </si>
  <si>
    <t>Fafin SASU</t>
  </si>
  <si>
    <t>1582 CH des Coudelie</t>
  </si>
  <si>
    <t>DSD119454</t>
  </si>
  <si>
    <t>AIRSTOLL</t>
  </si>
  <si>
    <t>21 rue de la Virvee</t>
  </si>
  <si>
    <t>DSD119460</t>
  </si>
  <si>
    <t>H2C</t>
  </si>
  <si>
    <t>DSD119462</t>
  </si>
  <si>
    <t>SOCIETE ANONYME COMA</t>
  </si>
  <si>
    <t>RUE FERREE CHALON SU</t>
  </si>
  <si>
    <t>DSD119464</t>
  </si>
  <si>
    <t>AZEOTROPE</t>
  </si>
  <si>
    <t>RUE DIEUDONNE COSTES</t>
  </si>
  <si>
    <t>DSD119468</t>
  </si>
  <si>
    <t>SERCLIM</t>
  </si>
  <si>
    <t>431 ROUTE DE NARBONN</t>
  </si>
  <si>
    <t>DSD119470</t>
  </si>
  <si>
    <t>COMETH SOMOCLIM</t>
  </si>
  <si>
    <t>1 PLACE DU CASINO</t>
  </si>
  <si>
    <t>DSD119472</t>
  </si>
  <si>
    <t>TTBE</t>
  </si>
  <si>
    <t>8 TER ROUTE DE BRASS</t>
  </si>
  <si>
    <t>DSD119474</t>
  </si>
  <si>
    <t>OZIL SAS</t>
  </si>
  <si>
    <t>459 RUE DE L INDUSTR</t>
  </si>
  <si>
    <t>DSD119476</t>
  </si>
  <si>
    <t>yann FARYS</t>
  </si>
  <si>
    <t>914 Route des tivill</t>
  </si>
  <si>
    <t>DSD119478</t>
  </si>
  <si>
    <t>EQUIPEMENT TECHNIQUE</t>
  </si>
  <si>
    <t>7 RUE DU SOUVENIR</t>
  </si>
  <si>
    <t>DSD119480</t>
  </si>
  <si>
    <t>HYDECLIM LILLE</t>
  </si>
  <si>
    <t>16 RUE DES CHAMPS</t>
  </si>
  <si>
    <t>DSD119484</t>
  </si>
  <si>
    <t>DSD119486</t>
  </si>
  <si>
    <t>ECO PRESTIGE</t>
  </si>
  <si>
    <t>DSD119488</t>
  </si>
  <si>
    <t>R CONFORT</t>
  </si>
  <si>
    <t>53 RUE NEIL AMSTRONG</t>
  </si>
  <si>
    <t>DSD119490</t>
  </si>
  <si>
    <t>DFS</t>
  </si>
  <si>
    <t>103 AVENUE DES NOELL</t>
  </si>
  <si>
    <t>DSD119492</t>
  </si>
  <si>
    <t>DSD119498</t>
  </si>
  <si>
    <t>RUE ALEXIS DE TOCQUE</t>
  </si>
  <si>
    <t>DSD119500</t>
  </si>
  <si>
    <t>225 BIS AVENUE PIERR</t>
  </si>
  <si>
    <t>DSD119504</t>
  </si>
  <si>
    <t>ALSY SARL</t>
  </si>
  <si>
    <t>436 RUE DE LA CHAPEL</t>
  </si>
  <si>
    <t>DSD119512</t>
  </si>
  <si>
    <t>SPC LALANDE</t>
  </si>
  <si>
    <t>RUE DE CHAIX</t>
  </si>
  <si>
    <t>DSD119514</t>
  </si>
  <si>
    <t>H2C SLV</t>
  </si>
  <si>
    <t>225BIS AVENUE PIERRE</t>
  </si>
  <si>
    <t>DSD119518</t>
  </si>
  <si>
    <t>DSD119520</t>
  </si>
  <si>
    <t>PANI FROID</t>
  </si>
  <si>
    <t>6 RUE ALBERIC CLEMEN</t>
  </si>
  <si>
    <t>DSD119522</t>
  </si>
  <si>
    <t>ECOKLIMA</t>
  </si>
  <si>
    <t>450 AVENUE BLAISE PA</t>
  </si>
  <si>
    <t>DSD119524</t>
  </si>
  <si>
    <t>EI ETIENNE CEDRIC</t>
  </si>
  <si>
    <t>496 route d Angresse</t>
  </si>
  <si>
    <t>DSD119526</t>
  </si>
  <si>
    <t>CLIMOTELEC</t>
  </si>
  <si>
    <t>29 BD DE LA MEDITERR</t>
  </si>
  <si>
    <t>DSD119528</t>
  </si>
  <si>
    <t>HERVE THERMIQUE</t>
  </si>
  <si>
    <t>9 RUE NICOLAS APPERT</t>
  </si>
  <si>
    <t>DSD119530</t>
  </si>
  <si>
    <t>NGLM REFRIGERATION</t>
  </si>
  <si>
    <t>21 ROUTE D ABONDANT</t>
  </si>
  <si>
    <t>DSD119532</t>
  </si>
  <si>
    <t>DSD119534</t>
  </si>
  <si>
    <t>Mr LE CAME</t>
  </si>
  <si>
    <t>132 RUE DE GERJUS</t>
  </si>
  <si>
    <t>DSD119538</t>
  </si>
  <si>
    <t>H2C AUBAGNE</t>
  </si>
  <si>
    <t>AV. FONTFREGE</t>
  </si>
  <si>
    <t>DSD119540</t>
  </si>
  <si>
    <t>TOTOT PIERRE</t>
  </si>
  <si>
    <t>45 RUE D'ORVAL</t>
  </si>
  <si>
    <t>DSD119542</t>
  </si>
  <si>
    <t>CGECLIM</t>
  </si>
  <si>
    <t>17 RUE DE LA PLACE</t>
  </si>
  <si>
    <t>DSD119544</t>
  </si>
  <si>
    <t>KRYSTAL FROID MACHI</t>
  </si>
  <si>
    <t>2 ALLEE DES SOUCHES</t>
  </si>
  <si>
    <t>DSD119548</t>
  </si>
  <si>
    <t>CLIMAT CONCEPT OCEAN</t>
  </si>
  <si>
    <t>23 E ROUTE DE CLOCHE</t>
  </si>
  <si>
    <t>DSD119550</t>
  </si>
  <si>
    <t>H2C FREJUS</t>
  </si>
  <si>
    <t>545 AVENUE DES LIONS</t>
  </si>
  <si>
    <t>DSD119552</t>
  </si>
  <si>
    <t>ETS Delpech</t>
  </si>
  <si>
    <t>112 CHEMIN BELLE CRO</t>
  </si>
  <si>
    <t>DSD119554</t>
  </si>
  <si>
    <t>LARRIPA</t>
  </si>
  <si>
    <t>Espace du Golf</t>
  </si>
  <si>
    <t>DSD119556</t>
  </si>
  <si>
    <t>DSD119558</t>
  </si>
  <si>
    <t>LABOUDIGUE DESLUX</t>
  </si>
  <si>
    <t>2334 route de Sauvet</t>
  </si>
  <si>
    <t>DSD119560</t>
  </si>
  <si>
    <t>MILLIOT JACQUEMART E</t>
  </si>
  <si>
    <t>303 RUE DE L ARTISAN</t>
  </si>
  <si>
    <t>DSD119562</t>
  </si>
  <si>
    <t>CF2C</t>
  </si>
  <si>
    <t>2 RUE DES BEGONNES</t>
  </si>
  <si>
    <t>DSD119566</t>
  </si>
  <si>
    <t>HYDECLIM TOURS</t>
  </si>
  <si>
    <t>20 RUE LOUIS LUMIERE</t>
  </si>
  <si>
    <t>DSD119568</t>
  </si>
  <si>
    <t>DSD119570</t>
  </si>
  <si>
    <t>SARL DENIS FOLKMANN</t>
  </si>
  <si>
    <t>16 rue Leo Valentin</t>
  </si>
  <si>
    <t>DSD119572</t>
  </si>
  <si>
    <t>CPC FROID</t>
  </si>
  <si>
    <t>ZA LES BENOIT</t>
  </si>
  <si>
    <t>DSD119574</t>
  </si>
  <si>
    <t>H2C TOULON</t>
  </si>
  <si>
    <t>CHEMIN G. VENTRE</t>
  </si>
  <si>
    <t>DSD119578</t>
  </si>
  <si>
    <t>HERBILLON ET GOBINET</t>
  </si>
  <si>
    <t>19BIS QUAI GALLIENI</t>
  </si>
  <si>
    <t>DSD119580</t>
  </si>
  <si>
    <t>DSD119582</t>
  </si>
  <si>
    <t>CHAUD FROID SYSTEMES</t>
  </si>
  <si>
    <t>1, Avenue de Mons</t>
  </si>
  <si>
    <t>DSD119584</t>
  </si>
  <si>
    <t>SAFRICLIM</t>
  </si>
  <si>
    <t>111 CHEMIN BERTHILLI</t>
  </si>
  <si>
    <t>DSD119586</t>
  </si>
  <si>
    <t>EDDIA CENTRE VAL DE</t>
  </si>
  <si>
    <t>7 ALLEE COLETTE DUVA</t>
  </si>
  <si>
    <t>DSD119588</t>
  </si>
  <si>
    <t>CNR</t>
  </si>
  <si>
    <t>185 AVENUE D ARGENTO</t>
  </si>
  <si>
    <t>DSD119592</t>
  </si>
  <si>
    <t>FACEO FM SUD OUEST</t>
  </si>
  <si>
    <t>ZI n3</t>
  </si>
  <si>
    <t>DSD119594</t>
  </si>
  <si>
    <t>DSD119596</t>
  </si>
  <si>
    <t>DSD119598</t>
  </si>
  <si>
    <t>CLIMATIC SARL</t>
  </si>
  <si>
    <t>212 IMP DES DELPHINI</t>
  </si>
  <si>
    <t>DSD119600</t>
  </si>
  <si>
    <t>DSD119602</t>
  </si>
  <si>
    <t>185 AVENUE D'ARGENTO</t>
  </si>
  <si>
    <t>DSD119604</t>
  </si>
  <si>
    <t>CLARA DISTRIBUTION A</t>
  </si>
  <si>
    <t>PARC MARSHAM</t>
  </si>
  <si>
    <t>DSD119606</t>
  </si>
  <si>
    <t>H2C AIX EN PROVENCE</t>
  </si>
  <si>
    <t>DSD119608</t>
  </si>
  <si>
    <t>Ljs Energie</t>
  </si>
  <si>
    <t>Route de Cahors</t>
  </si>
  <si>
    <t>DSD119610</t>
  </si>
  <si>
    <t>POINT CLIM</t>
  </si>
  <si>
    <t>81 QUAI DE LA MARNE</t>
  </si>
  <si>
    <t>DSD119612</t>
  </si>
  <si>
    <t>H2C AGENCE DE LILLE</t>
  </si>
  <si>
    <t>DSD119614</t>
  </si>
  <si>
    <t>GEOFFROY &amp; FILS SARL</t>
  </si>
  <si>
    <t>5 RUE SALVADOR ALLEN</t>
  </si>
  <si>
    <t>DSD119616</t>
  </si>
  <si>
    <t>DSD119618</t>
  </si>
  <si>
    <t>FRIGECLIM SA</t>
  </si>
  <si>
    <t>ZA DU GRAND BAN</t>
  </si>
  <si>
    <t>DSD119620</t>
  </si>
  <si>
    <t>DSD119622</t>
  </si>
  <si>
    <t>DSD119624</t>
  </si>
  <si>
    <t>26 RUE NICEPHORE NIE</t>
  </si>
  <si>
    <t>DSD119626</t>
  </si>
  <si>
    <t>DSD119628</t>
  </si>
  <si>
    <t>LES TECHNICIENS CONF</t>
  </si>
  <si>
    <t>4 RUE DU LAITON</t>
  </si>
  <si>
    <t>DSD119630</t>
  </si>
  <si>
    <t>DAVY JEANNE</t>
  </si>
  <si>
    <t>6 RUE DE LA COUTUREL</t>
  </si>
  <si>
    <t>DSD119632</t>
  </si>
  <si>
    <t>david PERON</t>
  </si>
  <si>
    <t>28 RUE LOUIS PERON</t>
  </si>
  <si>
    <t>DSD119634</t>
  </si>
  <si>
    <t>ZA D ARMANVILLE</t>
  </si>
  <si>
    <t>DSD119636</t>
  </si>
  <si>
    <t>BAJON</t>
  </si>
  <si>
    <t>3-5 rue de la cartou</t>
  </si>
  <si>
    <t>DSD119638</t>
  </si>
  <si>
    <t>ALFA THERM</t>
  </si>
  <si>
    <t>BISCE POLJE BB</t>
  </si>
  <si>
    <t>BA</t>
  </si>
  <si>
    <t>DSD119640</t>
  </si>
  <si>
    <t>NEO TEC</t>
  </si>
  <si>
    <t>RUE ETTORE BUGATTI ,</t>
  </si>
  <si>
    <t>DSD119642</t>
  </si>
  <si>
    <t>Mme DE GRAEVE SUZANN</t>
  </si>
  <si>
    <t>6 RUE DE CHATEAU</t>
  </si>
  <si>
    <t>DSD119646</t>
  </si>
  <si>
    <t>RUE JEAN- BATISTE BIOT ,277</t>
  </si>
  <si>
    <t>DSD119648</t>
  </si>
  <si>
    <t>DSD119650</t>
  </si>
  <si>
    <t>CHEMIN GABRIEL VENTR</t>
  </si>
  <si>
    <t>DSD119652</t>
  </si>
  <si>
    <t>ECO LOGIS</t>
  </si>
  <si>
    <t>1 RUE GEORGES CHARPA</t>
  </si>
  <si>
    <t>DSD119664</t>
  </si>
  <si>
    <t>QUARTIER Munein</t>
  </si>
  <si>
    <t>DSD119670</t>
  </si>
  <si>
    <t>DSD119768</t>
  </si>
  <si>
    <t>DSD119770</t>
  </si>
  <si>
    <t>DUCHATEL LEDUC SARL</t>
  </si>
  <si>
    <t>2 RUE GEORGES BRASSE</t>
  </si>
  <si>
    <t>DSD119772</t>
  </si>
  <si>
    <t>PARTEDIS MERIGNAC</t>
  </si>
  <si>
    <t>2 bis Rue Ferdinand de Lesseps</t>
  </si>
  <si>
    <t>DSD119776</t>
  </si>
  <si>
    <t>BERTRAND MICKAEL</t>
  </si>
  <si>
    <t>4 AV DE BELESTA</t>
  </si>
  <si>
    <t>DSD119782</t>
  </si>
  <si>
    <t>DSD118248</t>
  </si>
  <si>
    <t>SILFEO GENIEL CLIMATEQUE</t>
  </si>
  <si>
    <t>RUE NOURISSAT 6</t>
  </si>
  <si>
    <t>DSD119906</t>
  </si>
  <si>
    <t>Humiclima</t>
  </si>
  <si>
    <t>Calle Berroa, nave 2</t>
  </si>
  <si>
    <t>DSD119912</t>
  </si>
  <si>
    <t>PESCADORES DE TERRAN</t>
  </si>
  <si>
    <t>DSD119918</t>
  </si>
  <si>
    <t>DSD119936</t>
  </si>
  <si>
    <t>SONEPAR IBERICA SPAI</t>
  </si>
  <si>
    <t>POLIGONO O CEAO, RUA</t>
  </si>
  <si>
    <t>DSD119948</t>
  </si>
  <si>
    <t>ECOSIONA ENERGIA SL</t>
  </si>
  <si>
    <t>C/VELLUTERS 18 NAVE</t>
  </si>
  <si>
    <t>DSD119962</t>
  </si>
  <si>
    <t>TAIFE SL</t>
  </si>
  <si>
    <t>CARRETERA MADRID (KM</t>
  </si>
  <si>
    <t>DSD119972</t>
  </si>
  <si>
    <t>EULOGIO RUEDA DISTRI</t>
  </si>
  <si>
    <t>C/ ANDARRIOS</t>
  </si>
  <si>
    <t>DSD119978</t>
  </si>
  <si>
    <t>TOTALCLIMA SUR S.L</t>
  </si>
  <si>
    <t>CALLE ALCALDE VELASC</t>
  </si>
  <si>
    <t>DSD119996</t>
  </si>
  <si>
    <t>FB INTEC S.L.</t>
  </si>
  <si>
    <t>C/CANADA 42</t>
  </si>
  <si>
    <t>DSD120002</t>
  </si>
  <si>
    <t>ERFRI SEVILLA</t>
  </si>
  <si>
    <t>DSD120006</t>
  </si>
  <si>
    <t>C/ RAMON Y CAJAL, 24</t>
  </si>
  <si>
    <t>DSD120024</t>
  </si>
  <si>
    <t>C/32 Numero 151</t>
  </si>
  <si>
    <t>DSD120026</t>
  </si>
  <si>
    <t>INSTALACIONES ARTACH</t>
  </si>
  <si>
    <t>CRTA. VILCHES, 89</t>
  </si>
  <si>
    <t>DSD120032</t>
  </si>
  <si>
    <t>POL LA ESPRILLA EDIF</t>
  </si>
  <si>
    <t>DSD120034</t>
  </si>
  <si>
    <t>Soerclimat</t>
  </si>
  <si>
    <t>ANTONIO GAUDI 82</t>
  </si>
  <si>
    <t>DSD120096</t>
  </si>
  <si>
    <t>AISJIBER</t>
  </si>
  <si>
    <t>C/ CRUZ DE LA MIS ES</t>
  </si>
  <si>
    <t>DSD120104</t>
  </si>
  <si>
    <t>DSD120112</t>
  </si>
  <si>
    <t>DINAGAS SA</t>
  </si>
  <si>
    <t>ROCHA REFRIGERACION</t>
  </si>
  <si>
    <t>DSD120118</t>
  </si>
  <si>
    <t>CLIMA9 SA</t>
  </si>
  <si>
    <t>CALLE MAS FALGAS N 5</t>
  </si>
  <si>
    <t>DSD120120</t>
  </si>
  <si>
    <t>CALLE AVIACION 87</t>
  </si>
  <si>
    <t>DSD120124</t>
  </si>
  <si>
    <t>Comercial Valmon</t>
  </si>
  <si>
    <t>VAL D ARAN 2</t>
  </si>
  <si>
    <t>DSD120144</t>
  </si>
  <si>
    <t>Aragonesa de Postven</t>
  </si>
  <si>
    <t>PABLO RUIZ PICASSO 1</t>
  </si>
  <si>
    <t>DSD120146</t>
  </si>
  <si>
    <t>DSD120158</t>
  </si>
  <si>
    <t>COMERCIAL PERALBA, S</t>
  </si>
  <si>
    <t>C/Joan Jaques Pinyol</t>
  </si>
  <si>
    <t>DSD120164</t>
  </si>
  <si>
    <t>TEMPUS INSTALACIONES</t>
  </si>
  <si>
    <t>PARROQUIA DE ROIS, P</t>
  </si>
  <si>
    <t>DSD120172</t>
  </si>
  <si>
    <t>CLIMAYUD S.L.</t>
  </si>
  <si>
    <t>POLIGONO LA CHARLUCA</t>
  </si>
  <si>
    <t>DSD120188</t>
  </si>
  <si>
    <t>INVESTIGACION Y DESA</t>
  </si>
  <si>
    <t>C/FERNANDO II, NUM.</t>
  </si>
  <si>
    <t>DSD120190</t>
  </si>
  <si>
    <t>TELBI-BILBAO</t>
  </si>
  <si>
    <t>C/MORGAN S/N</t>
  </si>
  <si>
    <t>DSD120200</t>
  </si>
  <si>
    <t>SERTEC SL</t>
  </si>
  <si>
    <t>CALLE LARRONDO GOIKO</t>
  </si>
  <si>
    <t>DSD120204</t>
  </si>
  <si>
    <t>Aisjiber</t>
  </si>
  <si>
    <t>CRUZ DE LA MISA ESQU</t>
  </si>
  <si>
    <t>DSD120218</t>
  </si>
  <si>
    <t>AMAFRI SL</t>
  </si>
  <si>
    <t>CALLE JAIME FERRAN,</t>
  </si>
  <si>
    <t>DSD120236</t>
  </si>
  <si>
    <t>FRED MANRESA S.L</t>
  </si>
  <si>
    <t>CARRETERA SANTPEDOR</t>
  </si>
  <si>
    <t>DSD120240</t>
  </si>
  <si>
    <t>DSD120242</t>
  </si>
  <si>
    <t>DSD120244</t>
  </si>
  <si>
    <t>LUCINSA GROUP 2015 S</t>
  </si>
  <si>
    <t>CALLE VIRGEN DEL CAR</t>
  </si>
  <si>
    <t>DSD120246</t>
  </si>
  <si>
    <t>DSD120250</t>
  </si>
  <si>
    <t>ALMACEN GETAFE</t>
  </si>
  <si>
    <t>C/VOLTA 13</t>
  </si>
  <si>
    <t>DSD120260</t>
  </si>
  <si>
    <t>AIZE KLIMA S.L.</t>
  </si>
  <si>
    <t>RIBERA DEUSTO, 65B B</t>
  </si>
  <si>
    <t>DSD120264</t>
  </si>
  <si>
    <t>ARCE CLIMA SISTEMAS</t>
  </si>
  <si>
    <t>POL. IND. ALVEDRO C-</t>
  </si>
  <si>
    <t>DSD120268</t>
  </si>
  <si>
    <t>Electro Mercantil Ex</t>
  </si>
  <si>
    <t>Av. Extremadura 101</t>
  </si>
  <si>
    <t>DSD120270</t>
  </si>
  <si>
    <t>DSD120324</t>
  </si>
  <si>
    <t>POLIGONO LA ESPRILLA</t>
  </si>
  <si>
    <t>DSD120326</t>
  </si>
  <si>
    <t>DSD120360</t>
  </si>
  <si>
    <t>JOSE LUIS SANTILLAN</t>
  </si>
  <si>
    <t>P.I BETSAIDE PABELLO</t>
  </si>
  <si>
    <t>DSD120368</t>
  </si>
  <si>
    <t>P.I. BIDEBITARTE</t>
  </si>
  <si>
    <t>DSD120380</t>
  </si>
  <si>
    <t>TECNIA-AIR 02 MALAGA</t>
  </si>
  <si>
    <t>C/ MARACAY, 36. POLI</t>
  </si>
  <si>
    <t>DSD120388</t>
  </si>
  <si>
    <t>DSD120438</t>
  </si>
  <si>
    <t>DSD120440</t>
  </si>
  <si>
    <t>DSD120446</t>
  </si>
  <si>
    <t>DSD120448</t>
  </si>
  <si>
    <t>DSD120454</t>
  </si>
  <si>
    <t>CLIMABALBOA SL</t>
  </si>
  <si>
    <t>LUGAR FERRERRIA, 7A</t>
  </si>
  <si>
    <t>DSD119890</t>
  </si>
  <si>
    <t>EFCIS - COMERCIO INT</t>
  </si>
  <si>
    <t>ESTRADA CASAL DO CAN</t>
  </si>
  <si>
    <t>PT</t>
  </si>
  <si>
    <t>DSD119988</t>
  </si>
  <si>
    <t>SUBINAS BIDEA 4-6</t>
  </si>
  <si>
    <t>DSD120016</t>
  </si>
  <si>
    <t>EFCIS-COMERCIO INT</t>
  </si>
  <si>
    <t>Estrada Casal do Canas lote 4</t>
  </si>
  <si>
    <t>DSD120102</t>
  </si>
  <si>
    <t>Centro Empresarial e</t>
  </si>
  <si>
    <t>CENTRO EMPRESARIAL E industrial</t>
  </si>
  <si>
    <t>DSD120166</t>
  </si>
  <si>
    <t>AVDA MONTECELO SN SU</t>
  </si>
  <si>
    <t>DSD120174</t>
  </si>
  <si>
    <t>INTERHOME INVERSIONES</t>
  </si>
  <si>
    <t>BARRIGUELO 5</t>
  </si>
  <si>
    <t>DSD120182</t>
  </si>
  <si>
    <t>DSD120298</t>
  </si>
  <si>
    <t>ADECCO OUTSOURCING</t>
  </si>
  <si>
    <t>CALLE ALUMINIO, 14 N</t>
  </si>
  <si>
    <t>DSD120370</t>
  </si>
  <si>
    <t>NORDES ANCIN S.A.</t>
  </si>
  <si>
    <t>PG. ESP.SANTO</t>
  </si>
  <si>
    <t>DSD120386</t>
  </si>
  <si>
    <t>DSD120398</t>
  </si>
  <si>
    <t>DSD120406</t>
  </si>
  <si>
    <t>Levantina de Suminis</t>
  </si>
  <si>
    <t>DSD117729</t>
  </si>
  <si>
    <t>KINNAN NORGE A S</t>
  </si>
  <si>
    <t>ORHUSVEIEN 1, 3070 SANDE I VESTFOLD</t>
  </si>
  <si>
    <t>NO</t>
  </si>
  <si>
    <t>DSD119790</t>
  </si>
  <si>
    <t>CST CLIMA</t>
  </si>
  <si>
    <t>DSD119888</t>
  </si>
  <si>
    <t>HD KLIMAATSYSTEMEN</t>
  </si>
  <si>
    <t>Antonie van Leeuwenh</t>
  </si>
  <si>
    <t>DSD119894</t>
  </si>
  <si>
    <t>GUNGUI PLOMBERIE</t>
  </si>
  <si>
    <t>66 Rt de Monclar d a</t>
  </si>
  <si>
    <t>DSD119898</t>
  </si>
  <si>
    <t>DSD119910</t>
  </si>
  <si>
    <t>VERA ECOTHERMIE</t>
  </si>
  <si>
    <t>352 Route de la Gare</t>
  </si>
  <si>
    <t>DSD119914</t>
  </si>
  <si>
    <t>FRIGO-VE</t>
  </si>
  <si>
    <t>MARINICI 180</t>
  </si>
  <si>
    <t>HR</t>
  </si>
  <si>
    <t>DSD119916</t>
  </si>
  <si>
    <t>SEINE ET MARNE NORD</t>
  </si>
  <si>
    <t>DSD119920</t>
  </si>
  <si>
    <t>BETON</t>
  </si>
  <si>
    <t>707 Avenue du Brasse</t>
  </si>
  <si>
    <t>DSD119922</t>
  </si>
  <si>
    <t>ACTON ELECTRONICS OO</t>
  </si>
  <si>
    <t>135D TSARIGRADSKO SH</t>
  </si>
  <si>
    <t>BG</t>
  </si>
  <si>
    <t>DSD119924</t>
  </si>
  <si>
    <t>TERMOIDRAULICA TEDES</t>
  </si>
  <si>
    <t>CONTRADA NOVESOLDI 2</t>
  </si>
  <si>
    <t>DSD119926</t>
  </si>
  <si>
    <t>48 AVENUE DES AUREAT</t>
  </si>
  <si>
    <t>DSD119932</t>
  </si>
  <si>
    <t>COSTA MARCO</t>
  </si>
  <si>
    <t>LOT 5 LES PRAIRIES C</t>
  </si>
  <si>
    <t>DSD119934</t>
  </si>
  <si>
    <t>SEC SINERGIE</t>
  </si>
  <si>
    <t>DSD119946</t>
  </si>
  <si>
    <t>DSD119956</t>
  </si>
  <si>
    <t>JAUHIAINEN TOMMI</t>
  </si>
  <si>
    <t>9 RUE DU FOUR BANAL</t>
  </si>
  <si>
    <t>DSD119958</t>
  </si>
  <si>
    <t>POUMIRAU</t>
  </si>
  <si>
    <t>ZI BERLANNE - RUE D'</t>
  </si>
  <si>
    <t>DSD119964</t>
  </si>
  <si>
    <t>REITTER FERENC U. 13</t>
  </si>
  <si>
    <t>DSD119966</t>
  </si>
  <si>
    <t>DSD119970</t>
  </si>
  <si>
    <t>E2C</t>
  </si>
  <si>
    <t>ZA BROY DE HAUT, ROU</t>
  </si>
  <si>
    <t>DSD119982</t>
  </si>
  <si>
    <t>VIA TORTONA 39 R</t>
  </si>
  <si>
    <t>DSD119986</t>
  </si>
  <si>
    <t>DSD119998</t>
  </si>
  <si>
    <t>DSD120004</t>
  </si>
  <si>
    <t>DSD120008</t>
  </si>
  <si>
    <t>DELTA T</t>
  </si>
  <si>
    <t>8 ALLEE DES PLEUS</t>
  </si>
  <si>
    <t>DSD120012</t>
  </si>
  <si>
    <t>ROSSI EDDY</t>
  </si>
  <si>
    <t>1566 ROUTE DES LOUBE</t>
  </si>
  <si>
    <t>DSD120018</t>
  </si>
  <si>
    <t>SA ETTORI TADDEI MOS</t>
  </si>
  <si>
    <t>Rue Pierre Andreani</t>
  </si>
  <si>
    <t>DSD120020</t>
  </si>
  <si>
    <t>12 RUE DENIS PAPIN</t>
  </si>
  <si>
    <t>DSD120022</t>
  </si>
  <si>
    <t>EVISS LTD.</t>
  </si>
  <si>
    <t>1 Alexandrovska Str.</t>
  </si>
  <si>
    <t>DSD120028</t>
  </si>
  <si>
    <t>RECON SRL</t>
  </si>
  <si>
    <t>VIA DELL'INFORMATICA</t>
  </si>
  <si>
    <t>DSD120042</t>
  </si>
  <si>
    <t>DSD120044</t>
  </si>
  <si>
    <t>MOYNET Frederic</t>
  </si>
  <si>
    <t>28 Chemin des Cafes</t>
  </si>
  <si>
    <t>DSD120048</t>
  </si>
  <si>
    <t>KYLKONTROLL GOTEBORG</t>
  </si>
  <si>
    <t>E A ROSENGRENS GATA</t>
  </si>
  <si>
    <t>SE</t>
  </si>
  <si>
    <t>DSD120052</t>
  </si>
  <si>
    <t>RN 193 - FURIANI</t>
  </si>
  <si>
    <t>DSD120056</t>
  </si>
  <si>
    <t>AHLSELL SVERIGE AB</t>
  </si>
  <si>
    <t>Port 4-16 TRANSIT</t>
  </si>
  <si>
    <t>DSD120058</t>
  </si>
  <si>
    <t>IMMERCLIMA SRL</t>
  </si>
  <si>
    <t>VIA GUICCIARDI 7/F</t>
  </si>
  <si>
    <t>DSD120060</t>
  </si>
  <si>
    <t>IEF</t>
  </si>
  <si>
    <t>7 CHEMIN DES 3 PIGNO</t>
  </si>
  <si>
    <t>DSD120062</t>
  </si>
  <si>
    <t>AIRCCO</t>
  </si>
  <si>
    <t>6 RUE GEORGES BRASSE</t>
  </si>
  <si>
    <t>DSD120066</t>
  </si>
  <si>
    <t>TRISEC AB</t>
  </si>
  <si>
    <t>SANDBACKENS ROR</t>
  </si>
  <si>
    <t>DSD120068</t>
  </si>
  <si>
    <t>AHLSELL DANMARK APS</t>
  </si>
  <si>
    <t>ABILDAGER ,24</t>
  </si>
  <si>
    <t>DK</t>
  </si>
  <si>
    <t>DSD120070</t>
  </si>
  <si>
    <t>MCI</t>
  </si>
  <si>
    <t>CENTRE D AFFAIRE KEN</t>
  </si>
  <si>
    <t>DSD120074</t>
  </si>
  <si>
    <t>TUVACHE</t>
  </si>
  <si>
    <t>7 IMPASSE JEAN ROSTA</t>
  </si>
  <si>
    <t>DSD120076</t>
  </si>
  <si>
    <t>224 AVENUE JEAN MERM</t>
  </si>
  <si>
    <t>DSD120078</t>
  </si>
  <si>
    <t>FERREIRA Freres</t>
  </si>
  <si>
    <t>4 CHEMIN DES AYGUETTES</t>
  </si>
  <si>
    <t>DSD120080</t>
  </si>
  <si>
    <t>BE CLIM BC AUVERGNE</t>
  </si>
  <si>
    <t>DSD120086</t>
  </si>
  <si>
    <t>DSD120092</t>
  </si>
  <si>
    <t>DSD120094</t>
  </si>
  <si>
    <t>HYDROSTILE SAS DI MA</t>
  </si>
  <si>
    <t>VIA TORQUATO TASSO ,</t>
  </si>
  <si>
    <t>DSD120098</t>
  </si>
  <si>
    <t>CECCATO SRL</t>
  </si>
  <si>
    <t>VIA BALTERA, 19</t>
  </si>
  <si>
    <t>DSD120106</t>
  </si>
  <si>
    <t>STARTIJENN ENR</t>
  </si>
  <si>
    <t>22 HENT PENHOAT BRAZ</t>
  </si>
  <si>
    <t>DSD120108</t>
  </si>
  <si>
    <t>DSD120114</t>
  </si>
  <si>
    <t>FRANCKS KYLIND. I NO</t>
  </si>
  <si>
    <t>MURBRUKSVAGEN 13</t>
  </si>
  <si>
    <t>DSD120116</t>
  </si>
  <si>
    <t>ALB ENERGIE</t>
  </si>
  <si>
    <t>7 RUE PORTE NEUVE</t>
  </si>
  <si>
    <t>DSD120126</t>
  </si>
  <si>
    <t>DSD120128</t>
  </si>
  <si>
    <t>SILFEO - GENIE CLIMA</t>
  </si>
  <si>
    <t>RUE NOURISSAT ,6</t>
  </si>
  <si>
    <t>DSD120134</t>
  </si>
  <si>
    <t>DSD120138</t>
  </si>
  <si>
    <t>AUTO PATANA</t>
  </si>
  <si>
    <t>51 AVENUE DE LA LIBE</t>
  </si>
  <si>
    <t>DSD120140</t>
  </si>
  <si>
    <t>DALKIA FROID SOLUTIO</t>
  </si>
  <si>
    <t>2051 ROUTE DE MAREMN</t>
  </si>
  <si>
    <t>DSD120150</t>
  </si>
  <si>
    <t>67 Av. Maryse Bastiי</t>
  </si>
  <si>
    <t>DSD120152</t>
  </si>
  <si>
    <t>Frauenstein GmbH</t>
  </si>
  <si>
    <t>Beethovenstrasse 22</t>
  </si>
  <si>
    <t>DSD120168</t>
  </si>
  <si>
    <t>3 Chem. de Jorlis</t>
  </si>
  <si>
    <t>DSD120178</t>
  </si>
  <si>
    <t>DSD120180</t>
  </si>
  <si>
    <t>DSD120184</t>
  </si>
  <si>
    <t>ASSISTANCE CLIMATISA</t>
  </si>
  <si>
    <t>PARC EDONIA, LA CORN</t>
  </si>
  <si>
    <t>DSD120186</t>
  </si>
  <si>
    <t>DSD120198</t>
  </si>
  <si>
    <t>COOLING INDUSTRIE</t>
  </si>
  <si>
    <t>433B Route du Plach</t>
  </si>
  <si>
    <t>DSD120202</t>
  </si>
  <si>
    <t>Alain bonadei</t>
  </si>
  <si>
    <t>4 Rue Colomies</t>
  </si>
  <si>
    <t>DSD120206</t>
  </si>
  <si>
    <t>DSD120208</t>
  </si>
  <si>
    <t>JEAN YVES TOULLEC</t>
  </si>
  <si>
    <t>SORELEC</t>
  </si>
  <si>
    <t>DSD120210</t>
  </si>
  <si>
    <t>PARC D ACTIVITES DU</t>
  </si>
  <si>
    <t>DSD120220</t>
  </si>
  <si>
    <t>DSD120230</t>
  </si>
  <si>
    <t>CAVIA.R</t>
  </si>
  <si>
    <t>ZAC de la Nau</t>
  </si>
  <si>
    <t>DSD120232</t>
  </si>
  <si>
    <t>DSD120234</t>
  </si>
  <si>
    <t>CAERIS GmbH</t>
  </si>
  <si>
    <t>Christine-Englerth-S</t>
  </si>
  <si>
    <t>DSD120254</t>
  </si>
  <si>
    <t>ATRF VOILLOT</t>
  </si>
  <si>
    <t>12 AV. DES TIRVETS</t>
  </si>
  <si>
    <t>DSD120256</t>
  </si>
  <si>
    <t>DSD120258</t>
  </si>
  <si>
    <t>DSD120262</t>
  </si>
  <si>
    <t>DSD120272</t>
  </si>
  <si>
    <t>DSD120282</t>
  </si>
  <si>
    <t>CLIM CONCEPT</t>
  </si>
  <si>
    <t>19 RUE BERNARD PALIS</t>
  </si>
  <si>
    <t>DSD120284</t>
  </si>
  <si>
    <t>GASCON PHILIPPE</t>
  </si>
  <si>
    <t>31 RUE DU GENERAL LE</t>
  </si>
  <si>
    <t>DSD120286</t>
  </si>
  <si>
    <t>ENGIE HOME SRVICES</t>
  </si>
  <si>
    <t>27 RUE DE GLAIRAUX</t>
  </si>
  <si>
    <t>DSD120288</t>
  </si>
  <si>
    <t>EMMECLIMA SRL</t>
  </si>
  <si>
    <t>VIA CAVOUR 28/A</t>
  </si>
  <si>
    <t>DSD120290</t>
  </si>
  <si>
    <t>DSD120292</t>
  </si>
  <si>
    <t>BRONZEAU MICHEL</t>
  </si>
  <si>
    <t>33 ALLEE DU PRE LAMB</t>
  </si>
  <si>
    <t>DSD120294</t>
  </si>
  <si>
    <t>Eiffage services</t>
  </si>
  <si>
    <t>Arena de REIMS</t>
  </si>
  <si>
    <t>DSD120296</t>
  </si>
  <si>
    <t>Adecoterm</t>
  </si>
  <si>
    <t>10 Chemin de Perpign</t>
  </si>
  <si>
    <t>DSD120300</t>
  </si>
  <si>
    <t>ENGIE SOLUTIONS</t>
  </si>
  <si>
    <t>330 avenue du Danema</t>
  </si>
  <si>
    <t>DSD120304</t>
  </si>
  <si>
    <t>CSC BOSSETTI</t>
  </si>
  <si>
    <t>LOCALITA' S. SPIRITO</t>
  </si>
  <si>
    <t>DSD120306</t>
  </si>
  <si>
    <t>DSD120308</t>
  </si>
  <si>
    <t>DAHURON SARL</t>
  </si>
  <si>
    <t>ALLEE PARC DE BEL AI</t>
  </si>
  <si>
    <t>DSD120312</t>
  </si>
  <si>
    <t>DSD120316</t>
  </si>
  <si>
    <t>8 rue des Bruyeres</t>
  </si>
  <si>
    <t>DSD120318</t>
  </si>
  <si>
    <t>DUPRE SOLUTIONS ENER</t>
  </si>
  <si>
    <t>120 COURS PAUL DOUME</t>
  </si>
  <si>
    <t>DSD120322</t>
  </si>
  <si>
    <t>PACLIMSERVICES</t>
  </si>
  <si>
    <t>32 RUE DE LA LIBERTE</t>
  </si>
  <si>
    <t>DSD120328</t>
  </si>
  <si>
    <t>CALOPORTAGE</t>
  </si>
  <si>
    <t>16 av des nations</t>
  </si>
  <si>
    <t>DSD120330</t>
  </si>
  <si>
    <t>DSD120334</t>
  </si>
  <si>
    <t>Suedkaelte GmbH</t>
  </si>
  <si>
    <t>Gruenstr. 13</t>
  </si>
  <si>
    <t>DSD120338</t>
  </si>
  <si>
    <t>PROXICLIM</t>
  </si>
  <si>
    <t>LA BELLE GRAPPE</t>
  </si>
  <si>
    <t>DSD120340</t>
  </si>
  <si>
    <t>DSD120344</t>
  </si>
  <si>
    <t>DSD120348</t>
  </si>
  <si>
    <t>MARTIN YANNICK</t>
  </si>
  <si>
    <t>66 ALLEE DE LA SENTE</t>
  </si>
  <si>
    <t>DSD120354</t>
  </si>
  <si>
    <t>PARTEDIS AGENCE RODE</t>
  </si>
  <si>
    <t>23 RUE NICOLAS APPER</t>
  </si>
  <si>
    <t>DSD120372</t>
  </si>
  <si>
    <t>ETD HEILLECOURT</t>
  </si>
  <si>
    <t>35 ALLEE DES GRAND P</t>
  </si>
  <si>
    <t>DSD120374</t>
  </si>
  <si>
    <t>135D TARIGRADSKO SHO</t>
  </si>
  <si>
    <t>DSD120376</t>
  </si>
  <si>
    <t>FL ENERGIES</t>
  </si>
  <si>
    <t>QUARTIER LE CLOMBIER</t>
  </si>
  <si>
    <t>DSD120378</t>
  </si>
  <si>
    <t>35 ALLEE DES GRANDS</t>
  </si>
  <si>
    <t>DSD120382</t>
  </si>
  <si>
    <t>FERRARI ROMOLO &amp; C.</t>
  </si>
  <si>
    <t>VIA PASQUALE PAOLI,</t>
  </si>
  <si>
    <t>DSD120392</t>
  </si>
  <si>
    <t>DSD120400</t>
  </si>
  <si>
    <t>DSD120402</t>
  </si>
  <si>
    <t>LE COMPTOIR CVC CAEN</t>
  </si>
  <si>
    <t>30 rue Madeleine Bre</t>
  </si>
  <si>
    <t>DSD120408</t>
  </si>
  <si>
    <t>CBM</t>
  </si>
  <si>
    <t>DSD120410</t>
  </si>
  <si>
    <t>DSD120412</t>
  </si>
  <si>
    <t>DSD120414</t>
  </si>
  <si>
    <t>30 Rue Madeleine Bre</t>
  </si>
  <si>
    <t>DSD120418</t>
  </si>
  <si>
    <t>LC Pro Energies</t>
  </si>
  <si>
    <t>ZI rue de l Orne</t>
  </si>
  <si>
    <t>DSD120420</t>
  </si>
  <si>
    <t>DSD120422</t>
  </si>
  <si>
    <t>POINT SERVICES</t>
  </si>
  <si>
    <t>23 ROUTE DE DELINCOU</t>
  </si>
  <si>
    <t>DSD120424</t>
  </si>
  <si>
    <t>DSD120426</t>
  </si>
  <si>
    <t>G.M. SERVICE S.A.S.</t>
  </si>
  <si>
    <t>VIA G. CESARE 3</t>
  </si>
  <si>
    <t>DSD120430</t>
  </si>
  <si>
    <t>CHAUFFACLIM</t>
  </si>
  <si>
    <t>12 ROUTE DU CHATEAU</t>
  </si>
  <si>
    <t>DSD120434</t>
  </si>
  <si>
    <t>DSD120436</t>
  </si>
  <si>
    <t>GCI-SUD</t>
  </si>
  <si>
    <t>5 A CHEMIN DE SAINT</t>
  </si>
  <si>
    <t>DSD120444</t>
  </si>
  <si>
    <t>DSD120450</t>
  </si>
  <si>
    <t>DSD120460</t>
  </si>
  <si>
    <t>DSD120466</t>
  </si>
  <si>
    <t>DSD119892</t>
  </si>
  <si>
    <t>RE.CLI. SAS DI TIZZA</t>
  </si>
  <si>
    <t>CORSO ITALIA, 151</t>
  </si>
  <si>
    <t>DSD119896</t>
  </si>
  <si>
    <t>Elektro-Schwab GmbH</t>
  </si>
  <si>
    <t>Friedrich-Ebert-Str.</t>
  </si>
  <si>
    <t>DSD119908</t>
  </si>
  <si>
    <t>CLIMA CENTER SRL</t>
  </si>
  <si>
    <t>VIA VITTORIO BARBIER</t>
  </si>
  <si>
    <t>DSD119928</t>
  </si>
  <si>
    <t>SOC TGK DI PICCIOLI</t>
  </si>
  <si>
    <t>VIA NAZIONALE ,319/1</t>
  </si>
  <si>
    <t>DSD119930</t>
  </si>
  <si>
    <t>PR 2000 SRL</t>
  </si>
  <si>
    <t>VIA DEL CAMPO, 2</t>
  </si>
  <si>
    <t>DSD119944</t>
  </si>
  <si>
    <t>CONDTERM SRL</t>
  </si>
  <si>
    <t>VIA FABBRICHETTA 57</t>
  </si>
  <si>
    <t>DSD119950</t>
  </si>
  <si>
    <t>I TECNO SRL</t>
  </si>
  <si>
    <t>VIA BARCA 4</t>
  </si>
  <si>
    <t>DSD119968</t>
  </si>
  <si>
    <t>Yves Schirmer</t>
  </si>
  <si>
    <t>Herrenstr. 7/8</t>
  </si>
  <si>
    <t>DSD119974</t>
  </si>
  <si>
    <t>GLOBAL ASSISTANCE SN</t>
  </si>
  <si>
    <t>VIA DELLE QUERCE 13</t>
  </si>
  <si>
    <t>DSD119980</t>
  </si>
  <si>
    <t>DSD119984</t>
  </si>
  <si>
    <t>CLIMADRIATIC SRL</t>
  </si>
  <si>
    <t>VIA A. VOLTA, 11</t>
  </si>
  <si>
    <t>DSD119990</t>
  </si>
  <si>
    <t>CLIMACOOL SRL</t>
  </si>
  <si>
    <t>STRADA COMUNALE BELL</t>
  </si>
  <si>
    <t>DSD120000</t>
  </si>
  <si>
    <t>VIA DEL SASSONE 5/A</t>
  </si>
  <si>
    <t>DSD120014</t>
  </si>
  <si>
    <t>T.M. GROUP SRL</t>
  </si>
  <si>
    <t>VIA DEL LAVORO, 40/4</t>
  </si>
  <si>
    <t>DSD120030</t>
  </si>
  <si>
    <t>Fit-Cool GmbH</t>
  </si>
  <si>
    <t>Kiefernstrasse 22</t>
  </si>
  <si>
    <t>DSD120036</t>
  </si>
  <si>
    <t>S.E.C SINERGIE SRL</t>
  </si>
  <si>
    <t>Via del Sassone 5/a</t>
  </si>
  <si>
    <t>DSD120040</t>
  </si>
  <si>
    <t>MAZZINI MAURO</t>
  </si>
  <si>
    <t>VIA UGO FOSCOLO 16</t>
  </si>
  <si>
    <t>DSD120046</t>
  </si>
  <si>
    <t>AKL-Condition Buse</t>
  </si>
  <si>
    <t>Schulstr. 16</t>
  </si>
  <si>
    <t>DSD120050</t>
  </si>
  <si>
    <t>SC CLIMA SRLS</t>
  </si>
  <si>
    <t>VIA TRINITA' 18</t>
  </si>
  <si>
    <t>DSD120054</t>
  </si>
  <si>
    <t>ELMATIC GmbH</t>
  </si>
  <si>
    <t>Hannoversche Strasse</t>
  </si>
  <si>
    <t>DSD120064</t>
  </si>
  <si>
    <t>Bormuth-Stumpf GmbH</t>
  </si>
  <si>
    <t>Borsigstrasse 2</t>
  </si>
  <si>
    <t>DSD120072</t>
  </si>
  <si>
    <t>Pentaservice Snc</t>
  </si>
  <si>
    <t>Via M. Piovesana 146</t>
  </si>
  <si>
    <t>DSD120082</t>
  </si>
  <si>
    <t>FIT SERVICE SPA</t>
  </si>
  <si>
    <t>VIA STANISLAO INTINI</t>
  </si>
  <si>
    <t>DSD120084</t>
  </si>
  <si>
    <t>Roland Kaelte GmbH</t>
  </si>
  <si>
    <t>Mittelwendung 13</t>
  </si>
  <si>
    <t>DSD120088</t>
  </si>
  <si>
    <t>CLIMAT&amp;C SRL</t>
  </si>
  <si>
    <t>VIA PETRA NIEDDA ,1/</t>
  </si>
  <si>
    <t>DSD120090</t>
  </si>
  <si>
    <t>2 EMME SRL</t>
  </si>
  <si>
    <t>VIA A. COSTA 27</t>
  </si>
  <si>
    <t>DSD120110</t>
  </si>
  <si>
    <t>VIA FABIO SEVERO 42</t>
  </si>
  <si>
    <t>DSD120122</t>
  </si>
  <si>
    <t>Wirth Service GmbH</t>
  </si>
  <si>
    <t>Otto-von-Guericke-Ri</t>
  </si>
  <si>
    <t>DSD120142</t>
  </si>
  <si>
    <t>Cremers GmbH</t>
  </si>
  <si>
    <t>Stollwerckstr. 1</t>
  </si>
  <si>
    <t>DSD120154</t>
  </si>
  <si>
    <t>P.D.A.Clima</t>
  </si>
  <si>
    <t>PIAZZA DELLA TRIVULZ</t>
  </si>
  <si>
    <t>DSD120170</t>
  </si>
  <si>
    <t>Mario Freiberger</t>
  </si>
  <si>
    <t>Waldstrasse 36</t>
  </si>
  <si>
    <t>DSD120176</t>
  </si>
  <si>
    <t>Hein Kaelteanlagen</t>
  </si>
  <si>
    <t>Im Gewerbepark 3A</t>
  </si>
  <si>
    <t>DSD120192</t>
  </si>
  <si>
    <t>ERTL Kaelte Klima</t>
  </si>
  <si>
    <t>Felsburgstr. 17</t>
  </si>
  <si>
    <t>DSD120194</t>
  </si>
  <si>
    <t>Kaelte Schuessler</t>
  </si>
  <si>
    <t>Benzstr. 8</t>
  </si>
  <si>
    <t>DSD120196</t>
  </si>
  <si>
    <t>Nordpol Kaelte Klima</t>
  </si>
  <si>
    <t>Friedrich-List-Str.</t>
  </si>
  <si>
    <t>DSD120228</t>
  </si>
  <si>
    <t>DSD120248</t>
  </si>
  <si>
    <t>MORA CESARE SRL</t>
  </si>
  <si>
    <t>DSD120266</t>
  </si>
  <si>
    <t>ING CLIMA DI PREDA G</t>
  </si>
  <si>
    <t>DSD120302</t>
  </si>
  <si>
    <t>Rudolph GmbH</t>
  </si>
  <si>
    <t>In der Schneithohl 1</t>
  </si>
  <si>
    <t>DSD120310</t>
  </si>
  <si>
    <t>POOL CLIMA 9002 SRL</t>
  </si>
  <si>
    <t>VIA CESARE BATTISTI</t>
  </si>
  <si>
    <t>DSD120314</t>
  </si>
  <si>
    <t>CASTAGNINI ROBERTO</t>
  </si>
  <si>
    <t>PIAZZA DEL DONATORE</t>
  </si>
  <si>
    <t>DSD120320</t>
  </si>
  <si>
    <t>AVA CLIMA SRL</t>
  </si>
  <si>
    <t>VIA GRIECO N. 1</t>
  </si>
  <si>
    <t>DSD120332</t>
  </si>
  <si>
    <t>DSD120336</t>
  </si>
  <si>
    <t>BIASI LUCIANO SRL</t>
  </si>
  <si>
    <t>CORSO LIBERTA' 71</t>
  </si>
  <si>
    <t>DSD120342</t>
  </si>
  <si>
    <t>SEKOMP GmbH</t>
  </si>
  <si>
    <t>Friedrich-Woehler-St</t>
  </si>
  <si>
    <t>DSD120346</t>
  </si>
  <si>
    <t>DSD120350</t>
  </si>
  <si>
    <t>DSD120352</t>
  </si>
  <si>
    <t>DSD120358</t>
  </si>
  <si>
    <t>CLIMATEK SNC DI DEBI</t>
  </si>
  <si>
    <t>VIA AI BOLLERI ,8</t>
  </si>
  <si>
    <t>DSD120362</t>
  </si>
  <si>
    <t>DSD120364</t>
  </si>
  <si>
    <t>CARMELLINI S.R.L.</t>
  </si>
  <si>
    <t>VIA MARCELLO MALPIG</t>
  </si>
  <si>
    <t>DSD120366</t>
  </si>
  <si>
    <t>CLIMAZZURRA DI CELIN</t>
  </si>
  <si>
    <t>VIA FORNACI 110</t>
  </si>
  <si>
    <t>DSD120394</t>
  </si>
  <si>
    <t>L&amp;K Service GmbH</t>
  </si>
  <si>
    <t>Dorfaue 15</t>
  </si>
  <si>
    <t>DSD120396</t>
  </si>
  <si>
    <t>DSD120404</t>
  </si>
  <si>
    <t>GKK AG Gottschalk</t>
  </si>
  <si>
    <t>Lange Goehren 19</t>
  </si>
  <si>
    <t>DSD120416</t>
  </si>
  <si>
    <t>ICEBERG DI SAMBO STE</t>
  </si>
  <si>
    <t>VIA ALDO MORO ,32</t>
  </si>
  <si>
    <t>DSD120432</t>
  </si>
  <si>
    <t>EXSUS SRL</t>
  </si>
  <si>
    <t>VIA DELLA SCIENZA, 3</t>
  </si>
  <si>
    <t>DSD120442</t>
  </si>
  <si>
    <t>Kaelte-Bast GmbH</t>
  </si>
  <si>
    <t>Foersterweg 81</t>
  </si>
  <si>
    <t>DSD120456</t>
  </si>
  <si>
    <t>SATET SRL</t>
  </si>
  <si>
    <t>VIA KENNEDY ,22/24</t>
  </si>
  <si>
    <t>DSD120462</t>
  </si>
  <si>
    <t>absent</t>
  </si>
  <si>
    <t>refused</t>
  </si>
  <si>
    <t>Cuenta de Status</t>
  </si>
  <si>
    <t>DSD120476</t>
  </si>
  <si>
    <t>DSD120502</t>
  </si>
  <si>
    <t>DSD120510</t>
  </si>
  <si>
    <t>AIRCLIMADRID SLU</t>
  </si>
  <si>
    <t>AV VALDELAPARRA 4</t>
  </si>
  <si>
    <t>DSD120514</t>
  </si>
  <si>
    <t>GAMA SL</t>
  </si>
  <si>
    <t>BESA, 7</t>
  </si>
  <si>
    <t>DSD120528</t>
  </si>
  <si>
    <t>SUAREP Y LLADO S.A.</t>
  </si>
  <si>
    <t>C/ SICILIA 335</t>
  </si>
  <si>
    <t>DSD120536</t>
  </si>
  <si>
    <t>AIRCLIMADRID</t>
  </si>
  <si>
    <t>DSD120542</t>
  </si>
  <si>
    <t>AFRISA SEVILLA</t>
  </si>
  <si>
    <t>C/ GRAMIL, 48</t>
  </si>
  <si>
    <t>DSD120642</t>
  </si>
  <si>
    <t>PEDREGAR COSTA SL</t>
  </si>
  <si>
    <t>RAMBLA DEL MANJON 41</t>
  </si>
  <si>
    <t>DSD120780</t>
  </si>
  <si>
    <t>EDICLIMA SLU</t>
  </si>
  <si>
    <t>CALLE VALLE DE TOBAL</t>
  </si>
  <si>
    <t>DSD120812</t>
  </si>
  <si>
    <t>DSD120938</t>
  </si>
  <si>
    <t>DSD121010</t>
  </si>
  <si>
    <t>VENTA MATERIAL DE AI</t>
  </si>
  <si>
    <t>C/ CIUDAD DE FRIAS,</t>
  </si>
  <si>
    <t>DSD120494</t>
  </si>
  <si>
    <t>CALLE VOLTA 13</t>
  </si>
  <si>
    <t>DSD120496</t>
  </si>
  <si>
    <t>ACCESORIOS FRIGORIFI</t>
  </si>
  <si>
    <t>C/ MEJORADA, 4 POL.</t>
  </si>
  <si>
    <t>DSD120598</t>
  </si>
  <si>
    <t>DOMINGO CABRERA</t>
  </si>
  <si>
    <t>DON JUAN HERNANDEZ Gonzalez</t>
  </si>
  <si>
    <t>DSD120648</t>
  </si>
  <si>
    <t>INGENIERIA INSTALACI</t>
  </si>
  <si>
    <t>C/ DAIMLER 60, PARCE</t>
  </si>
  <si>
    <t>DSD120478</t>
  </si>
  <si>
    <t>KINNAN AB</t>
  </si>
  <si>
    <t>TRAKTORGATAN 2</t>
  </si>
  <si>
    <t>DSD120480</t>
  </si>
  <si>
    <t>DSD120482</t>
  </si>
  <si>
    <t>TECHNISCHE VERTRIEBS</t>
  </si>
  <si>
    <t>DSD120484</t>
  </si>
  <si>
    <t>DSD120486</t>
  </si>
  <si>
    <t>Sols Solutions</t>
  </si>
  <si>
    <t>15 rue de Chatenay</t>
  </si>
  <si>
    <t>DSD120488</t>
  </si>
  <si>
    <t>ASTU FROID</t>
  </si>
  <si>
    <t>7 LOTISSEMENT LA HAY</t>
  </si>
  <si>
    <t>DSD120490</t>
  </si>
  <si>
    <t>TECHNI THERM</t>
  </si>
  <si>
    <t>ZA DE BLEU</t>
  </si>
  <si>
    <t>DSD120492</t>
  </si>
  <si>
    <t>CONSULENZA ENERGETIC</t>
  </si>
  <si>
    <t>DSD120498</t>
  </si>
  <si>
    <t>AXOCLIM</t>
  </si>
  <si>
    <t>93 RUE MAURICE BERTE</t>
  </si>
  <si>
    <t>DSD120500</t>
  </si>
  <si>
    <t>HITACHI ARRAS SAV EC</t>
  </si>
  <si>
    <t>RUE DU FOUR A CHAUX</t>
  </si>
  <si>
    <t>DSD120504</t>
  </si>
  <si>
    <t>41 ALLEE EVARISTE GA</t>
  </si>
  <si>
    <t>DSD120516</t>
  </si>
  <si>
    <t>DSD120522</t>
  </si>
  <si>
    <t>DSD120530</t>
  </si>
  <si>
    <t>DSD120532</t>
  </si>
  <si>
    <t>TOURNIER ELEC</t>
  </si>
  <si>
    <t>1550 AVENUE DE COS</t>
  </si>
  <si>
    <t>DSD120534</t>
  </si>
  <si>
    <t>DSD120544</t>
  </si>
  <si>
    <t>DSD120546</t>
  </si>
  <si>
    <t>DSD120548</t>
  </si>
  <si>
    <t>DSD120550</t>
  </si>
  <si>
    <t>ARMOR GENIE THERMIQU</t>
  </si>
  <si>
    <t>RUE DE POULPATRE ,12</t>
  </si>
  <si>
    <t>DSD120552</t>
  </si>
  <si>
    <t>CLIMAX SAV</t>
  </si>
  <si>
    <t>4 RUE PAUL ROCACHE</t>
  </si>
  <si>
    <t>DSD120554</t>
  </si>
  <si>
    <t>AGS ENR</t>
  </si>
  <si>
    <t>7 IMPASSE PAUL RIQUE</t>
  </si>
  <si>
    <t>DSD120556</t>
  </si>
  <si>
    <t>SOLIPAC TOULOUSE</t>
  </si>
  <si>
    <t>39 AVENUE JEAN FRANC</t>
  </si>
  <si>
    <t>DSD120560</t>
  </si>
  <si>
    <t>SOLIPAC BEZIERS</t>
  </si>
  <si>
    <t>259 IMPASSE JEREMY B</t>
  </si>
  <si>
    <t>DSD120566</t>
  </si>
  <si>
    <t>4A RUE RICHARD LENOI</t>
  </si>
  <si>
    <t>DSD120568</t>
  </si>
  <si>
    <t>PARTEDIS</t>
  </si>
  <si>
    <t>42 RUE DE LA GUYAMAU</t>
  </si>
  <si>
    <t>DSD120570</t>
  </si>
  <si>
    <t>DSD120572</t>
  </si>
  <si>
    <t>COMPTOIR ALPIN DU TE</t>
  </si>
  <si>
    <t>2 RUE DE MAYENCIN</t>
  </si>
  <si>
    <t>DSD120576</t>
  </si>
  <si>
    <t>DSD120578</t>
  </si>
  <si>
    <t>LE ROI SOLAIRE</t>
  </si>
  <si>
    <t>DSD120580</t>
  </si>
  <si>
    <t>TESSIER CLIM PAC</t>
  </si>
  <si>
    <t>4 RUE CAMILLE BRETON</t>
  </si>
  <si>
    <t>DSD120582</t>
  </si>
  <si>
    <t>NEEL FRAISSE</t>
  </si>
  <si>
    <t>42 RUE DES GRANDS CH</t>
  </si>
  <si>
    <t>DSD120584</t>
  </si>
  <si>
    <t>ENGIE HOME CHOLET</t>
  </si>
  <si>
    <t>3 Square du Champ Bl</t>
  </si>
  <si>
    <t>DSD120586</t>
  </si>
  <si>
    <t>SUD ENERGEO</t>
  </si>
  <si>
    <t>LES CANNABES</t>
  </si>
  <si>
    <t>DSD120588</t>
  </si>
  <si>
    <t>RUE DES BRUYERES ,8</t>
  </si>
  <si>
    <t>DSD120590</t>
  </si>
  <si>
    <t>595 RUE JACQUES ANG</t>
  </si>
  <si>
    <t>DSD120592</t>
  </si>
  <si>
    <t>AMP PLUS</t>
  </si>
  <si>
    <t>.</t>
  </si>
  <si>
    <t>DSD120594</t>
  </si>
  <si>
    <t>ETE HIVER</t>
  </si>
  <si>
    <t>12 PLACE DE LA MAIRI</t>
  </si>
  <si>
    <t>DSD120596</t>
  </si>
  <si>
    <t>MACIEJOWSKI SERVICES</t>
  </si>
  <si>
    <t>28 AVENUE JEAN REBIE</t>
  </si>
  <si>
    <t>DSD120600</t>
  </si>
  <si>
    <t>SOLIPAC ALES</t>
  </si>
  <si>
    <t>739 AVENUE DE CROUPI</t>
  </si>
  <si>
    <t>DSD120602</t>
  </si>
  <si>
    <t>A.F.C.C.</t>
  </si>
  <si>
    <t>18 RUE DU MESNIL</t>
  </si>
  <si>
    <t>DSD120604</t>
  </si>
  <si>
    <t>Entreprise Villaret</t>
  </si>
  <si>
    <t>74 route de conthe</t>
  </si>
  <si>
    <t>DSD120606</t>
  </si>
  <si>
    <t>DSD120608</t>
  </si>
  <si>
    <t>DSD120612</t>
  </si>
  <si>
    <t>DSD120614</t>
  </si>
  <si>
    <t>LE COMPTOIR THERMIQU</t>
  </si>
  <si>
    <t>2 ALLEE FRANCOIS ARA</t>
  </si>
  <si>
    <t>DSD120616</t>
  </si>
  <si>
    <t>DSD120618</t>
  </si>
  <si>
    <t>5 PROMENADE DE LA BA</t>
  </si>
  <si>
    <t>DSD120620</t>
  </si>
  <si>
    <t>ORA DEVELOPPEMENT</t>
  </si>
  <si>
    <t>11 Rue Saint Hubert</t>
  </si>
  <si>
    <t>DSD120624</t>
  </si>
  <si>
    <t>AIR CLIMATISATION</t>
  </si>
  <si>
    <t>RUE DES COLIBRIS</t>
  </si>
  <si>
    <t>DSD120626</t>
  </si>
  <si>
    <t>DSD120628</t>
  </si>
  <si>
    <t>DSD120630</t>
  </si>
  <si>
    <t>EIFFAGE ENERGIE SYST</t>
  </si>
  <si>
    <t>3 RUE GUSTAVE EIFFEL</t>
  </si>
  <si>
    <t>DSD120632</t>
  </si>
  <si>
    <t>FOR FUTURE VIT S.R.O</t>
  </si>
  <si>
    <t>HVIEZDOSLAVOVA 1206</t>
  </si>
  <si>
    <t>CZ</t>
  </si>
  <si>
    <t>DSD120634</t>
  </si>
  <si>
    <t>VF CONFORT DIJON</t>
  </si>
  <si>
    <t>20 RUE DES ARDENNES</t>
  </si>
  <si>
    <t>DSD120636</t>
  </si>
  <si>
    <t>DSD120638</t>
  </si>
  <si>
    <t>ENGIE Solutions</t>
  </si>
  <si>
    <t>1161 Avenue Roger Br</t>
  </si>
  <si>
    <t>DSD120640</t>
  </si>
  <si>
    <t>DSD120644</t>
  </si>
  <si>
    <t>CEVENNES ENERGIE</t>
  </si>
  <si>
    <t>13 RUE DES MENESTREL</t>
  </si>
  <si>
    <t>DSD120646</t>
  </si>
  <si>
    <t>DSD120650</t>
  </si>
  <si>
    <t>GATEAU FRERES</t>
  </si>
  <si>
    <t>4 BD POMPIDOU</t>
  </si>
  <si>
    <t>DSD120652</t>
  </si>
  <si>
    <t>SOLIPAC PERPIGNAN</t>
  </si>
  <si>
    <t>217 RUE LOUIS DELAUN</t>
  </si>
  <si>
    <t>DSD120656</t>
  </si>
  <si>
    <t>LEPROU CHRISTIAN</t>
  </si>
  <si>
    <t>25 BD RICOUX</t>
  </si>
  <si>
    <t>DSD120658</t>
  </si>
  <si>
    <t>752 AVENUE JEAN MOUL</t>
  </si>
  <si>
    <t>DSD120660</t>
  </si>
  <si>
    <t>MFC</t>
  </si>
  <si>
    <t>660 CHEMIN DES ENTRE</t>
  </si>
  <si>
    <t>DSD120662</t>
  </si>
  <si>
    <t>EDDAOUDI AIMAD</t>
  </si>
  <si>
    <t>529 CHEMIN DE NAUZE</t>
  </si>
  <si>
    <t>DSD120664</t>
  </si>
  <si>
    <t>DAMOTTE GENIE CLIMAT</t>
  </si>
  <si>
    <t>11 RUE JEAN BAPTISTE</t>
  </si>
  <si>
    <t>DSD120666</t>
  </si>
  <si>
    <t>LEHOUX</t>
  </si>
  <si>
    <t>10-12 RUE EDOUARD BR</t>
  </si>
  <si>
    <t>DSD120668</t>
  </si>
  <si>
    <t>CVI</t>
  </si>
  <si>
    <t>235 RUE EDMEE CHANDO</t>
  </si>
  <si>
    <t>DSD120670</t>
  </si>
  <si>
    <t>DSD120672</t>
  </si>
  <si>
    <t>TUNZINI LE MANS</t>
  </si>
  <si>
    <t>40 B RUE ALBERT EINS</t>
  </si>
  <si>
    <t>DSD120674</t>
  </si>
  <si>
    <t>SASPRO</t>
  </si>
  <si>
    <t>6 ZA ARTIPOLE</t>
  </si>
  <si>
    <t>DSD120676</t>
  </si>
  <si>
    <t>Klima-expert</t>
  </si>
  <si>
    <t>DSD120678</t>
  </si>
  <si>
    <t>ADEXPRESS EURL</t>
  </si>
  <si>
    <t>14 RUE FRANCOIS THER</t>
  </si>
  <si>
    <t>DSD120680</t>
  </si>
  <si>
    <t>ATF</t>
  </si>
  <si>
    <t>12 AVENUE DES TIRVERTS</t>
  </si>
  <si>
    <t>DSD120682</t>
  </si>
  <si>
    <t>GRODNO SA</t>
  </si>
  <si>
    <t>Poznanska 312</t>
  </si>
  <si>
    <t>DSD120684</t>
  </si>
  <si>
    <t>ROLESCO</t>
  </si>
  <si>
    <t>10BIS RUE DU COMMERC</t>
  </si>
  <si>
    <t>DSD120686</t>
  </si>
  <si>
    <t>CSTI ARBOIS</t>
  </si>
  <si>
    <t>ZI L'ETHOLE</t>
  </si>
  <si>
    <t>DSD120688</t>
  </si>
  <si>
    <t>AMBITHERM SARL</t>
  </si>
  <si>
    <t>27 CHE DES MOLES</t>
  </si>
  <si>
    <t>DSD120690</t>
  </si>
  <si>
    <t>DSD120692</t>
  </si>
  <si>
    <t>DSD120694</t>
  </si>
  <si>
    <t>Mr Renard Lucien</t>
  </si>
  <si>
    <t>2 rue de la gare</t>
  </si>
  <si>
    <t>DSD120696</t>
  </si>
  <si>
    <t>DAVAL SARL</t>
  </si>
  <si>
    <t>3 rue leon foucault</t>
  </si>
  <si>
    <t>DSD120698</t>
  </si>
  <si>
    <t>DSD120700</t>
  </si>
  <si>
    <t>VF CONFORT EXINCOURT</t>
  </si>
  <si>
    <t>22 RUE DU CANAL</t>
  </si>
  <si>
    <t>DSD120702</t>
  </si>
  <si>
    <t>HAC PARIS WISSOUS</t>
  </si>
  <si>
    <t>8 RUE COLBERT</t>
  </si>
  <si>
    <t>DSD120704</t>
  </si>
  <si>
    <t>PIECES EXPRESS</t>
  </si>
  <si>
    <t>1 RUE PHILIPPE LEBON</t>
  </si>
  <si>
    <t>DSD120706</t>
  </si>
  <si>
    <t>JAFFUS SYLVIE</t>
  </si>
  <si>
    <t>7 CHEMIN DES JARDINS</t>
  </si>
  <si>
    <t>DSD120708</t>
  </si>
  <si>
    <t>QUALIENERGETIQUE</t>
  </si>
  <si>
    <t>3 CHEMIN BERNAHET</t>
  </si>
  <si>
    <t>DSD120710</t>
  </si>
  <si>
    <t>DISTRITEC CVC RENNES</t>
  </si>
  <si>
    <t>20 RUE DE LA RETARDA</t>
  </si>
  <si>
    <t>DSD120712</t>
  </si>
  <si>
    <t>DSD120714</t>
  </si>
  <si>
    <t>ORTIZ SEBASTIEN - CL</t>
  </si>
  <si>
    <t>2 CHEMIN FRANCOIS FE</t>
  </si>
  <si>
    <t>DSD120716</t>
  </si>
  <si>
    <t>SAS DUPRE MAINTENANC</t>
  </si>
  <si>
    <t>97 AVENUE GAMBETTA</t>
  </si>
  <si>
    <t>DSD120718</t>
  </si>
  <si>
    <t>AB KLIMATIZACE S.R.O</t>
  </si>
  <si>
    <t>LUCNI 3096 24B</t>
  </si>
  <si>
    <t>DSD120720</t>
  </si>
  <si>
    <t>PRESTICLIM</t>
  </si>
  <si>
    <t>RUE DE LA MARTINIERE</t>
  </si>
  <si>
    <t>DSD120722</t>
  </si>
  <si>
    <t>DSD120724</t>
  </si>
  <si>
    <t>Avenue fontfrege qua</t>
  </si>
  <si>
    <t>DSD120726</t>
  </si>
  <si>
    <t>SMER</t>
  </si>
  <si>
    <t>275 ROUTE DE VARS</t>
  </si>
  <si>
    <t>DSD120728</t>
  </si>
  <si>
    <t>DSD120730</t>
  </si>
  <si>
    <t>CLIMATAIR</t>
  </si>
  <si>
    <t>SECTEUR SUD ZAC D A</t>
  </si>
  <si>
    <t>DSD120732</t>
  </si>
  <si>
    <t>PARTEDIS PIECES DETA</t>
  </si>
  <si>
    <t>23 RUE JEAN DALLET</t>
  </si>
  <si>
    <t>DSD120734</t>
  </si>
  <si>
    <t>DSD120738</t>
  </si>
  <si>
    <t>DSD120740</t>
  </si>
  <si>
    <t>ISULAMAT-ELEC</t>
  </si>
  <si>
    <t>LIEU DIT PINZUTA</t>
  </si>
  <si>
    <t>DSD120744</t>
  </si>
  <si>
    <t>BADET SA</t>
  </si>
  <si>
    <t>46 AVE.MARECHAL LECL</t>
  </si>
  <si>
    <t>DSD120746</t>
  </si>
  <si>
    <t>COMAINTEF</t>
  </si>
  <si>
    <t>6 RUE CAROLINE AIGLE</t>
  </si>
  <si>
    <t>DSD120754</t>
  </si>
  <si>
    <t>DSD120758</t>
  </si>
  <si>
    <t>DSD120760</t>
  </si>
  <si>
    <t>32 AVENUE Jean Perri</t>
  </si>
  <si>
    <t>DSD120762</t>
  </si>
  <si>
    <t>DSD120764</t>
  </si>
  <si>
    <t>DSD120768</t>
  </si>
  <si>
    <t>DSD120770</t>
  </si>
  <si>
    <t>DSD120772</t>
  </si>
  <si>
    <t>AQUITAINE THERMIQUE</t>
  </si>
  <si>
    <t>20 RUE DES ENTREPREN</t>
  </si>
  <si>
    <t>DSD120776</t>
  </si>
  <si>
    <t>DSD120778</t>
  </si>
  <si>
    <t>2AMR CONSEILS</t>
  </si>
  <si>
    <t>282 Avenue de Nantes</t>
  </si>
  <si>
    <t>DSD120782</t>
  </si>
  <si>
    <t>FS PLOMBERIE</t>
  </si>
  <si>
    <t>22 RUE DODERE</t>
  </si>
  <si>
    <t>DSD120788</t>
  </si>
  <si>
    <t>DSD120790</t>
  </si>
  <si>
    <t>TEMPCOLD SP.Z O.O.</t>
  </si>
  <si>
    <t>DSD120792</t>
  </si>
  <si>
    <t>CLIMATRONIC</t>
  </si>
  <si>
    <t>DSD120796</t>
  </si>
  <si>
    <t>SYNAPTIC</t>
  </si>
  <si>
    <t>20 AVENUE DIDIER DAU</t>
  </si>
  <si>
    <t>DSD120798</t>
  </si>
  <si>
    <t>SEEM CLIMATISATION</t>
  </si>
  <si>
    <t>6 RUE DES SABLONS</t>
  </si>
  <si>
    <t>DSD120800</t>
  </si>
  <si>
    <t>DSD120802</t>
  </si>
  <si>
    <t>DSD120804</t>
  </si>
  <si>
    <t>SOLIPAC NARBONNE</t>
  </si>
  <si>
    <t>38 AV DU CHAMP DE MA</t>
  </si>
  <si>
    <t>DSD120806</t>
  </si>
  <si>
    <t>MOREL LAURENT</t>
  </si>
  <si>
    <t>84 RUE DU GRAND PARC</t>
  </si>
  <si>
    <t>DSD120808</t>
  </si>
  <si>
    <t>ARTOIS CLIM SAV FAN</t>
  </si>
  <si>
    <t>5 RUE DE GIVENCHY</t>
  </si>
  <si>
    <t>DSD120810</t>
  </si>
  <si>
    <t>DSD120814</t>
  </si>
  <si>
    <t>DSD120816</t>
  </si>
  <si>
    <t>AGP</t>
  </si>
  <si>
    <t>9 RUE DENIS PAPIN</t>
  </si>
  <si>
    <t>DSD120820</t>
  </si>
  <si>
    <t>CEFTECH</t>
  </si>
  <si>
    <t>266 DOMAINE DES BAUX</t>
  </si>
  <si>
    <t>DSD120822</t>
  </si>
  <si>
    <t>ZA D ARMANVILLE, 15</t>
  </si>
  <si>
    <t>DSD120824</t>
  </si>
  <si>
    <t>CLIM ASSISTANCE SERV</t>
  </si>
  <si>
    <t>575 RUE DE LA FARNIE</t>
  </si>
  <si>
    <t>DSD120826</t>
  </si>
  <si>
    <t>C F 2 C</t>
  </si>
  <si>
    <t>ZA CHAMPS LAMET</t>
  </si>
  <si>
    <t>DSD120828</t>
  </si>
  <si>
    <t>DSD120830</t>
  </si>
  <si>
    <t>DSD120836</t>
  </si>
  <si>
    <t>JUSTUMUS</t>
  </si>
  <si>
    <t>9 rue marc chagall</t>
  </si>
  <si>
    <t>DSD120838</t>
  </si>
  <si>
    <t>PARODI GIORGIO</t>
  </si>
  <si>
    <t>VIA PISACANE 3A C</t>
  </si>
  <si>
    <t>DSD120840</t>
  </si>
  <si>
    <t>BIDAULT DAVID</t>
  </si>
  <si>
    <t>26 RUE DE CHAMPSORT</t>
  </si>
  <si>
    <t>DSD120842</t>
  </si>
  <si>
    <t>TROK JEAN-PASCAL</t>
  </si>
  <si>
    <t>103 ROUTE DE SAINT M</t>
  </si>
  <si>
    <t>DSD120846</t>
  </si>
  <si>
    <t>DSD120848</t>
  </si>
  <si>
    <t>DSD120850</t>
  </si>
  <si>
    <t>DSD120852</t>
  </si>
  <si>
    <t>DSD120854</t>
  </si>
  <si>
    <t>GOYENECHE</t>
  </si>
  <si>
    <t>Maison UDATXOA</t>
  </si>
  <si>
    <t>DSD120860</t>
  </si>
  <si>
    <t>DSD120862</t>
  </si>
  <si>
    <t>DSD120864</t>
  </si>
  <si>
    <t>AIR AZUR DISTRIBUTIO</t>
  </si>
  <si>
    <t>26 RUE JOSEPH CADEן</t>
  </si>
  <si>
    <t>DSD120866</t>
  </si>
  <si>
    <t>LUCIEN SIROT ET ASSO</t>
  </si>
  <si>
    <t>25 RUE DE LA MALADRE</t>
  </si>
  <si>
    <t>DSD120868</t>
  </si>
  <si>
    <t>DSD120870</t>
  </si>
  <si>
    <t>CAU</t>
  </si>
  <si>
    <t>16 RUE DE PASQUIS</t>
  </si>
  <si>
    <t>DSD120874</t>
  </si>
  <si>
    <t>JUILLARD CHAUFFAGE</t>
  </si>
  <si>
    <t>705 RUE DES VAREYS</t>
  </si>
  <si>
    <t>DSD120878</t>
  </si>
  <si>
    <t>DECOSANIT</t>
  </si>
  <si>
    <t>27 COURS LAFAYETTE</t>
  </si>
  <si>
    <t>DSD120880</t>
  </si>
  <si>
    <t>MORO ET PRATO</t>
  </si>
  <si>
    <t>ZI DE L ARGILE LOT 6</t>
  </si>
  <si>
    <t>DSD120882</t>
  </si>
  <si>
    <t>BIT SYSTEM SRL</t>
  </si>
  <si>
    <t>DSD120884</t>
  </si>
  <si>
    <t>11 RUE SAINT HUBERT</t>
  </si>
  <si>
    <t>DSD120892</t>
  </si>
  <si>
    <t>EVOLI ENERGIES</t>
  </si>
  <si>
    <t>8 RUEDES VAUGEREUX</t>
  </si>
  <si>
    <t>DSD120894</t>
  </si>
  <si>
    <t>TEKNOCLIMA SRL</t>
  </si>
  <si>
    <t>SITAM SAS - Manutenz</t>
  </si>
  <si>
    <t>DSD120896</t>
  </si>
  <si>
    <t>SARL AD CLIM</t>
  </si>
  <si>
    <t>ROUTE DE PONTAULT-CO</t>
  </si>
  <si>
    <t>DSD120898</t>
  </si>
  <si>
    <t>CAUSSANEL G</t>
  </si>
  <si>
    <t>1 CHEMIN DE MIRANDE</t>
  </si>
  <si>
    <t>DSD120900</t>
  </si>
  <si>
    <t>SOLIPAC TOULOUSE THI</t>
  </si>
  <si>
    <t>39 AV JEAN FRANCOIS</t>
  </si>
  <si>
    <t>DSD120902</t>
  </si>
  <si>
    <t>DSD120908</t>
  </si>
  <si>
    <t>ARTUR GRAD</t>
  </si>
  <si>
    <t>DLUGA 29</t>
  </si>
  <si>
    <t>DSD120910</t>
  </si>
  <si>
    <t>SYSTEM FREE</t>
  </si>
  <si>
    <t>ul. Koszalinska 29A</t>
  </si>
  <si>
    <t>DSD120912</t>
  </si>
  <si>
    <t>RAN, s. r. o.</t>
  </si>
  <si>
    <t>Jilovistska</t>
  </si>
  <si>
    <t>DSD120914</t>
  </si>
  <si>
    <t>BUTEAUX KARINE</t>
  </si>
  <si>
    <t>15 RUE DU RUISSEAU</t>
  </si>
  <si>
    <t>DSD120916</t>
  </si>
  <si>
    <t>DOUBS CLIMAT</t>
  </si>
  <si>
    <t>8 RUE DES VALLIERES</t>
  </si>
  <si>
    <t>DSD120918</t>
  </si>
  <si>
    <t>ELMITRA UAB</t>
  </si>
  <si>
    <t>RAUDONDVARIO PL. 150</t>
  </si>
  <si>
    <t>LT</t>
  </si>
  <si>
    <t>DSD120920</t>
  </si>
  <si>
    <t>DSD120922</t>
  </si>
  <si>
    <t>DSD120924</t>
  </si>
  <si>
    <t>ERALEC</t>
  </si>
  <si>
    <t>AVENUE DU MAL DE LAT</t>
  </si>
  <si>
    <t>DSD120926</t>
  </si>
  <si>
    <t>DSD120928</t>
  </si>
  <si>
    <t>Mr Gauduchon Guillau</t>
  </si>
  <si>
    <t>Residence porte de l</t>
  </si>
  <si>
    <t>DSD120930</t>
  </si>
  <si>
    <t>VIA VITTORIO VENETO</t>
  </si>
  <si>
    <t>DSD120932</t>
  </si>
  <si>
    <t>16 RUE DE LA PLAINE</t>
  </si>
  <si>
    <t>DSD120934</t>
  </si>
  <si>
    <t>SARL BAUER ET FILS</t>
  </si>
  <si>
    <t>24 RUE PRINCIPALE</t>
  </si>
  <si>
    <t>DSD120940</t>
  </si>
  <si>
    <t>DSD120942</t>
  </si>
  <si>
    <t>LINOVA</t>
  </si>
  <si>
    <t>ZI IMPASSE DE BARBE</t>
  </si>
  <si>
    <t>DSD120944</t>
  </si>
  <si>
    <t>DSD120946</t>
  </si>
  <si>
    <t>CLIMATISATION VAUNAG</t>
  </si>
  <si>
    <t>13 RUE DE LA LIBERTE</t>
  </si>
  <si>
    <t>DSD120948</t>
  </si>
  <si>
    <t>LEROY CLIMATIQUE SER</t>
  </si>
  <si>
    <t>5 LES MARJOUX</t>
  </si>
  <si>
    <t>DSD120950</t>
  </si>
  <si>
    <t>DSD120952</t>
  </si>
  <si>
    <t>MOREAU ST GENISLAVAL</t>
  </si>
  <si>
    <t>150 CHEMIN DE LA PLU</t>
  </si>
  <si>
    <t>DSD120954</t>
  </si>
  <si>
    <t>SARL VOTRE PLOMBIER</t>
  </si>
  <si>
    <t>25 plan de L AIRE</t>
  </si>
  <si>
    <t>DSD120956</t>
  </si>
  <si>
    <t>C2 ENERGIE</t>
  </si>
  <si>
    <t>7 Avenue de la Resis</t>
  </si>
  <si>
    <t>DSD120958</t>
  </si>
  <si>
    <t>DSD120960</t>
  </si>
  <si>
    <t>LEBEL</t>
  </si>
  <si>
    <t>17, BOULEVARD PAUL G</t>
  </si>
  <si>
    <t>DSD120962</t>
  </si>
  <si>
    <t>DSD120964</t>
  </si>
  <si>
    <t>I D K</t>
  </si>
  <si>
    <t>26 RUE ISAAC NEWTON</t>
  </si>
  <si>
    <t>DSD120966</t>
  </si>
  <si>
    <t>DSD120968</t>
  </si>
  <si>
    <t>MOUTON DIDIER</t>
  </si>
  <si>
    <t>LE BAS LIGNOL</t>
  </si>
  <si>
    <t>DSD120970</t>
  </si>
  <si>
    <t>DSD120972</t>
  </si>
  <si>
    <t>DSD120974</t>
  </si>
  <si>
    <t>DSD120976</t>
  </si>
  <si>
    <t>EUROCLIM</t>
  </si>
  <si>
    <t>811 Route de Cluquel</t>
  </si>
  <si>
    <t>DSD120978</t>
  </si>
  <si>
    <t>BRUNET</t>
  </si>
  <si>
    <t>4 RUE LUCIEN BOIS</t>
  </si>
  <si>
    <t>DSD120980</t>
  </si>
  <si>
    <t>SOLIPAC RODEZ</t>
  </si>
  <si>
    <t>812 RUE SAINT CRHIST</t>
  </si>
  <si>
    <t>DSD120982</t>
  </si>
  <si>
    <t>FCDE</t>
  </si>
  <si>
    <t>15 ROUTE DE BESANCON</t>
  </si>
  <si>
    <t>DSD120988</t>
  </si>
  <si>
    <t>SAS PALISSOT</t>
  </si>
  <si>
    <t>4 CHEMIN DU MOULIN N</t>
  </si>
  <si>
    <t>DSD120992</t>
  </si>
  <si>
    <t>CROZAT</t>
  </si>
  <si>
    <t>103 RUE JEAN LIGONNE</t>
  </si>
  <si>
    <t>DSD120994</t>
  </si>
  <si>
    <t>PETITJEAN PLOMBERIE</t>
  </si>
  <si>
    <t>17 QUARTIER DES HORT</t>
  </si>
  <si>
    <t>DSD120996</t>
  </si>
  <si>
    <t>DSD120998</t>
  </si>
  <si>
    <t>ANVOLIA</t>
  </si>
  <si>
    <t>ANVOLIA 8 RUE DE SAI</t>
  </si>
  <si>
    <t>DSD121002</t>
  </si>
  <si>
    <t>SOLIPAC CHASSIEU</t>
  </si>
  <si>
    <t>13 RUE D'ARSONVAL</t>
  </si>
  <si>
    <t>DSD121004</t>
  </si>
  <si>
    <t>480 RUE FAMILLE LAUR</t>
  </si>
  <si>
    <t>DSD121006</t>
  </si>
  <si>
    <t>MINORIA SYSTEM</t>
  </si>
  <si>
    <t>16 route de la Brede</t>
  </si>
  <si>
    <t>DSD121008</t>
  </si>
  <si>
    <t>AES CLIMATISATION</t>
  </si>
  <si>
    <t>37 BD PAUL DOUMER</t>
  </si>
  <si>
    <t>DSD121012</t>
  </si>
  <si>
    <t>GAUVRIT LETANG</t>
  </si>
  <si>
    <t>6 TAILLIS DE LA GEOR</t>
  </si>
  <si>
    <t>DSD121014</t>
  </si>
  <si>
    <t>PARTEDIS AGENCE ALBI</t>
  </si>
  <si>
    <t>ZI DE ST JUERY</t>
  </si>
  <si>
    <t>DSD121016</t>
  </si>
  <si>
    <t>DSD121018</t>
  </si>
  <si>
    <t>EIMI</t>
  </si>
  <si>
    <t>3 RUE DU VALLON</t>
  </si>
  <si>
    <t>DSD121020</t>
  </si>
  <si>
    <t>ADL SERVICES</t>
  </si>
  <si>
    <t>712 BOULEVARD MARECH</t>
  </si>
  <si>
    <t>DSD121022</t>
  </si>
  <si>
    <t>DSD121024</t>
  </si>
  <si>
    <t>DSD121026</t>
  </si>
  <si>
    <t>CMCI VINVI FACILITIE</t>
  </si>
  <si>
    <t>2 RUE HENRI BARBUSSE</t>
  </si>
  <si>
    <t>DSD121028</t>
  </si>
  <si>
    <t>DSD121032</t>
  </si>
  <si>
    <t>DSD121034</t>
  </si>
  <si>
    <t>Klimaterm Sp z oo</t>
  </si>
  <si>
    <t>DSD121036</t>
  </si>
  <si>
    <t>DSD121038</t>
  </si>
  <si>
    <t>DSD121040</t>
  </si>
  <si>
    <t>SOLIPAC NIMES</t>
  </si>
  <si>
    <t>280 AVENUE PAVLOV</t>
  </si>
  <si>
    <t>DSD121042</t>
  </si>
  <si>
    <t>DSD121044</t>
  </si>
  <si>
    <t>DSD121046</t>
  </si>
  <si>
    <t>DSD121048</t>
  </si>
  <si>
    <t>MALAKOFF HUMANIS</t>
  </si>
  <si>
    <t>4 A 6 RUE BRETONNEAU</t>
  </si>
  <si>
    <t>DSD121050</t>
  </si>
  <si>
    <t>DSD121052</t>
  </si>
  <si>
    <t>ID ENERGIES H&amp;M</t>
  </si>
  <si>
    <t>46 COURS CARNOT</t>
  </si>
  <si>
    <t>DSD121054</t>
  </si>
  <si>
    <t>DSD121056</t>
  </si>
  <si>
    <t>DSD120470</t>
  </si>
  <si>
    <t>Angelo Battisti</t>
  </si>
  <si>
    <t>VIA DEL TEMPIO DI DI</t>
  </si>
  <si>
    <t>DSD120472</t>
  </si>
  <si>
    <t>GREENCLIMA DI MONDOL</t>
  </si>
  <si>
    <t>VIA DELLA REPUBBLICA</t>
  </si>
  <si>
    <t>DSD120474</t>
  </si>
  <si>
    <t>CDR CLIMA SERVICE S.</t>
  </si>
  <si>
    <t>VIA PADANIA 2</t>
  </si>
  <si>
    <t>DSD120506</t>
  </si>
  <si>
    <t>HANS KAUT GMBH &amp; CO.</t>
  </si>
  <si>
    <t>HOELKER FELD ,6-8</t>
  </si>
  <si>
    <t>DSD120508</t>
  </si>
  <si>
    <t>GT SERVICE SRL</t>
  </si>
  <si>
    <t>LARGO MONSIGNOR BIAG</t>
  </si>
  <si>
    <t>DSD120512</t>
  </si>
  <si>
    <t>GEOS SRL</t>
  </si>
  <si>
    <t>VIA APRILIA, 3</t>
  </si>
  <si>
    <t>DSD120540</t>
  </si>
  <si>
    <t>DSD120558</t>
  </si>
  <si>
    <t>KRIOTEC GmbH</t>
  </si>
  <si>
    <t>Fritz-Ullmann-Str. 1</t>
  </si>
  <si>
    <t>DSD120562</t>
  </si>
  <si>
    <t>SERVICE COM.842 SRL</t>
  </si>
  <si>
    <t>VIA MADONNA ,56</t>
  </si>
  <si>
    <t>DSD120564</t>
  </si>
  <si>
    <t>DSD120574</t>
  </si>
  <si>
    <t>VERCO MILANO SRL</t>
  </si>
  <si>
    <t>VIA GIANFRANCO MALIP</t>
  </si>
  <si>
    <t>DSD120610</t>
  </si>
  <si>
    <t>CRISTIAN ZAMPARO- SE</t>
  </si>
  <si>
    <t>VIA BATTISTI 43</t>
  </si>
  <si>
    <t>DSD120622</t>
  </si>
  <si>
    <t>DSD120654</t>
  </si>
  <si>
    <t>MV SERVICE</t>
  </si>
  <si>
    <t>VIA CALABRIA 4070</t>
  </si>
  <si>
    <t>DSD120736</t>
  </si>
  <si>
    <t>DSD120742</t>
  </si>
  <si>
    <t>CON. TER SRL</t>
  </si>
  <si>
    <t>VIA CHERUBINI ,33</t>
  </si>
  <si>
    <t>DSD120748</t>
  </si>
  <si>
    <t>DSD120750</t>
  </si>
  <si>
    <t>DSD120766</t>
  </si>
  <si>
    <t>GIACOMAZZI GIOVANNI</t>
  </si>
  <si>
    <t>VIA SAN LUCA ,29</t>
  </si>
  <si>
    <t>DSD120784</t>
  </si>
  <si>
    <t>DSD120786</t>
  </si>
  <si>
    <t>DSD120794</t>
  </si>
  <si>
    <t>VERONESE ALESSANDRO</t>
  </si>
  <si>
    <t>VIA LUIGI EINAUDI 20</t>
  </si>
  <si>
    <t>DSD120818</t>
  </si>
  <si>
    <t>DSD120834</t>
  </si>
  <si>
    <t>Iaccarini Michele</t>
  </si>
  <si>
    <t>Via Calabria n. 3</t>
  </si>
  <si>
    <t>DSD120844</t>
  </si>
  <si>
    <t>IETIS SRL</t>
  </si>
  <si>
    <t>I.E.T.I.S. SRL</t>
  </si>
  <si>
    <t>DSD120856</t>
  </si>
  <si>
    <t>BI-CLIMA SRL</t>
  </si>
  <si>
    <t>VIA CONFINI ,2</t>
  </si>
  <si>
    <t>DSD120876</t>
  </si>
  <si>
    <t>MELIS MAURIZIO</t>
  </si>
  <si>
    <t>DSD120886</t>
  </si>
  <si>
    <t>DSD120888</t>
  </si>
  <si>
    <t>DSD120890</t>
  </si>
  <si>
    <t>DSD120906</t>
  </si>
  <si>
    <t>F.LLI CARPARELLI</t>
  </si>
  <si>
    <t>DSD120936</t>
  </si>
  <si>
    <t>DSD120984</t>
  </si>
  <si>
    <t>DSD120986</t>
  </si>
  <si>
    <t>DSD120990</t>
  </si>
  <si>
    <t>DSD121000</t>
  </si>
  <si>
    <t>DSD121030</t>
  </si>
  <si>
    <t>SPECIALE GAS DI GENN</t>
  </si>
  <si>
    <t>VIALE MEDUSA, 31</t>
  </si>
  <si>
    <t>DSD120524</t>
  </si>
  <si>
    <t>FRIGICOLL</t>
  </si>
  <si>
    <t>Carrer Blasco de Gar</t>
  </si>
  <si>
    <t>DSD121150</t>
  </si>
  <si>
    <t>COPREMAN SERVICIOS</t>
  </si>
  <si>
    <t>Carrer Maria Fortuny</t>
  </si>
  <si>
    <t>DSD121124</t>
  </si>
  <si>
    <t>DIFUSORA DEL CLIMA</t>
  </si>
  <si>
    <t>C/ QUARTER DE SIMANC</t>
  </si>
  <si>
    <t>DSD120520</t>
  </si>
  <si>
    <t>ASEA BROWN BOVERI SA</t>
  </si>
  <si>
    <t>KM NATIONAL ROAD ,13</t>
  </si>
  <si>
    <t>DSD121058</t>
  </si>
  <si>
    <t>KBS Sp. z o.o.</t>
  </si>
  <si>
    <t>DSD121060</t>
  </si>
  <si>
    <t>ROULIN ET FILS</t>
  </si>
  <si>
    <t>ZA ARINTHOD BP17</t>
  </si>
  <si>
    <t>DSD121062</t>
  </si>
  <si>
    <t>GL SERVICE DI RICCAR</t>
  </si>
  <si>
    <t>VIA REBOANI 55</t>
  </si>
  <si>
    <t>DSD121068</t>
  </si>
  <si>
    <t>EKO-MAT</t>
  </si>
  <si>
    <t>DSD121070</t>
  </si>
  <si>
    <t>DSD121072</t>
  </si>
  <si>
    <t>TE.CO. CENTROCLIMA S</t>
  </si>
  <si>
    <t>VIA FELTRINA NUOVA,1</t>
  </si>
  <si>
    <t>DSD121074</t>
  </si>
  <si>
    <t>SAC ACEP</t>
  </si>
  <si>
    <t>132 RUE THOMAS EDISO</t>
  </si>
  <si>
    <t>DSD121076</t>
  </si>
  <si>
    <t>SET STE ELECTRO THER</t>
  </si>
  <si>
    <t>ZI DE L ARGILE LOT 3</t>
  </si>
  <si>
    <t>DSD121078</t>
  </si>
  <si>
    <t>ZAE FONT DE LA BANQU</t>
  </si>
  <si>
    <t>DSD121080</t>
  </si>
  <si>
    <t>ENERGIES SERVICES 25</t>
  </si>
  <si>
    <t>2 LE BAS DE CHARME</t>
  </si>
  <si>
    <t>DSD121082</t>
  </si>
  <si>
    <t>VINCI FACILITIES</t>
  </si>
  <si>
    <t>ZA LES PRES CHALOTS</t>
  </si>
  <si>
    <t>DSD121084</t>
  </si>
  <si>
    <t>DSD121086</t>
  </si>
  <si>
    <t>PZN Sp. z o.o.</t>
  </si>
  <si>
    <t>DSD121088</t>
  </si>
  <si>
    <t>Vaminstal SRL</t>
  </si>
  <si>
    <t>Str. Pomiculturii nr</t>
  </si>
  <si>
    <t>RO</t>
  </si>
  <si>
    <t>DSD121090</t>
  </si>
  <si>
    <t>E2B MOULIMOUS HENRI</t>
  </si>
  <si>
    <t>45 impasse Gazte Xok</t>
  </si>
  <si>
    <t>DSD121092</t>
  </si>
  <si>
    <t>1 RUE PHILLIPE LEBON</t>
  </si>
  <si>
    <t>DSD121094</t>
  </si>
  <si>
    <t>11 BIS AV LOUIS LUMI</t>
  </si>
  <si>
    <t>DSD121096</t>
  </si>
  <si>
    <t>TEC SERVICE</t>
  </si>
  <si>
    <t>70 Gozategiko bidea</t>
  </si>
  <si>
    <t>DSD121098</t>
  </si>
  <si>
    <t>CP Clim Concept</t>
  </si>
  <si>
    <t>1020 Chemin du Fort</t>
  </si>
  <si>
    <t>DSD121100</t>
  </si>
  <si>
    <t>MAINTENANCE GENIE CL</t>
  </si>
  <si>
    <t>ZI DU PLOUVIER</t>
  </si>
  <si>
    <t>DSD121102</t>
  </si>
  <si>
    <t>DELOCHE PLOMBERIE</t>
  </si>
  <si>
    <t>35 CHEMIN DE MARGUER</t>
  </si>
  <si>
    <t>DSD121106</t>
  </si>
  <si>
    <t>JACOUTON</t>
  </si>
  <si>
    <t>ZA CHAMPAGNE</t>
  </si>
  <si>
    <t>DSD121108</t>
  </si>
  <si>
    <t>I TER RAVEZIES AXIMA</t>
  </si>
  <si>
    <t>Cote Parc Relais</t>
  </si>
  <si>
    <t>DSD121110</t>
  </si>
  <si>
    <t>ATEC</t>
  </si>
  <si>
    <t>19 RUE EUGENE SUE</t>
  </si>
  <si>
    <t>DSD121112</t>
  </si>
  <si>
    <t>MOYSAN ENERGIES</t>
  </si>
  <si>
    <t>16 ROUTE DE ST POL</t>
  </si>
  <si>
    <t>DSD121114</t>
  </si>
  <si>
    <t>DSD121116</t>
  </si>
  <si>
    <t>DSD121118</t>
  </si>
  <si>
    <t>DSD121120</t>
  </si>
  <si>
    <t>OSMOSE</t>
  </si>
  <si>
    <t>QUAI BEAUMON</t>
  </si>
  <si>
    <t>DSD121126</t>
  </si>
  <si>
    <t>FERN SERVICES</t>
  </si>
  <si>
    <t>36 RUE FRANCIS COMBE</t>
  </si>
  <si>
    <t>DSD121128</t>
  </si>
  <si>
    <t>M RACHEDI</t>
  </si>
  <si>
    <t>5 TER RUE DE LA COMB</t>
  </si>
  <si>
    <t>DSD121130</t>
  </si>
  <si>
    <t>TRICHET LOUE ENERGIE</t>
  </si>
  <si>
    <t>15 RUE CAMAMINE</t>
  </si>
  <si>
    <t>DSD121132</t>
  </si>
  <si>
    <t>FRIGO-VE D.O.O</t>
  </si>
  <si>
    <t>DSD121134</t>
  </si>
  <si>
    <t>DSD121136</t>
  </si>
  <si>
    <t>ONE CONCEPT DISTRIBU</t>
  </si>
  <si>
    <t>DECEBAL 24 RUDENI</t>
  </si>
  <si>
    <t>DSD121138</t>
  </si>
  <si>
    <t>ZAC DU BOIS MOUSSAY</t>
  </si>
  <si>
    <t>17-25 AVENUE DU BOIS</t>
  </si>
  <si>
    <t>DSD121142</t>
  </si>
  <si>
    <t>DSD121144</t>
  </si>
  <si>
    <t>DSD121146</t>
  </si>
  <si>
    <t>DSD121148</t>
  </si>
  <si>
    <t>AVENUE FONTFREGE QUA</t>
  </si>
  <si>
    <t>DSD121152</t>
  </si>
  <si>
    <t>VAUCLUSE FROID CLIMA</t>
  </si>
  <si>
    <t>100 IMPASSE DE LA CH</t>
  </si>
  <si>
    <t>DSD121154</t>
  </si>
  <si>
    <t>ELETTROCLIMA SRL</t>
  </si>
  <si>
    <t>VIA PADANA SUPERIORE</t>
  </si>
  <si>
    <t>DSD121156</t>
  </si>
  <si>
    <t>LMF2C</t>
  </si>
  <si>
    <t>232 AVENUE FERNAND A</t>
  </si>
  <si>
    <t>DSD121158</t>
  </si>
  <si>
    <t>F.LLI PRATESI DI PRA</t>
  </si>
  <si>
    <t>VIA PIEVAN LANDI ,46</t>
  </si>
  <si>
    <t>DSD121160</t>
  </si>
  <si>
    <t>Z.A. d'Armanville</t>
  </si>
  <si>
    <t>DSD121162</t>
  </si>
  <si>
    <t>jean yves CRAPET</t>
  </si>
  <si>
    <t>6 ALLEE DE LA FONTAI</t>
  </si>
  <si>
    <t>DSD121164</t>
  </si>
  <si>
    <t>LC PRO ENERGIES</t>
  </si>
  <si>
    <t>ZI, Rue de l Orne</t>
  </si>
  <si>
    <t>DSD121166</t>
  </si>
  <si>
    <t>DSD121168</t>
  </si>
  <si>
    <t>BONVALLET FROID CLIM</t>
  </si>
  <si>
    <t>ROUTE DE RIOTTIER ,1</t>
  </si>
  <si>
    <t>DSD121170</t>
  </si>
  <si>
    <t>DSD121172</t>
  </si>
  <si>
    <t>LRI POUR ENGIE</t>
  </si>
  <si>
    <t>56 RUE LEON TROTSKI</t>
  </si>
  <si>
    <t>DSD121174</t>
  </si>
  <si>
    <t>SOLAIRCIE</t>
  </si>
  <si>
    <t>257 AVENUE SAINT ANTOINE</t>
  </si>
  <si>
    <t>DSD121176</t>
  </si>
  <si>
    <t>RADEK FRONEK</t>
  </si>
  <si>
    <t>MASARYKOVA 379</t>
  </si>
  <si>
    <t>DSD121178</t>
  </si>
  <si>
    <t>ABF</t>
  </si>
  <si>
    <t>3 Impasse Remy</t>
  </si>
  <si>
    <t>DSD121182</t>
  </si>
  <si>
    <t>SAS HOUEIX</t>
  </si>
  <si>
    <t>ZA du Bois Vert Rue</t>
  </si>
  <si>
    <t>DSD121186</t>
  </si>
  <si>
    <t>PV SYSTEM</t>
  </si>
  <si>
    <t>13 rue de la Gesse B</t>
  </si>
  <si>
    <t>DSD121188</t>
  </si>
  <si>
    <t>DSD121190</t>
  </si>
  <si>
    <t>Engie Home Service</t>
  </si>
  <si>
    <t>78 rue de Berlin</t>
  </si>
  <si>
    <t>DSD121192</t>
  </si>
  <si>
    <t>ASCC</t>
  </si>
  <si>
    <t>12 RUE IRENE ET FRED</t>
  </si>
  <si>
    <t>DSD121194</t>
  </si>
  <si>
    <t>12 quai du canal</t>
  </si>
  <si>
    <t>DSD121198</t>
  </si>
  <si>
    <t>CRISTAL AIR</t>
  </si>
  <si>
    <t>2 RUE DU POTEAU</t>
  </si>
  <si>
    <t>DSD121200</t>
  </si>
  <si>
    <t>DSD121202</t>
  </si>
  <si>
    <t>GASTROTECHNO GROUP S</t>
  </si>
  <si>
    <t>Kastanova 495/64a</t>
  </si>
  <si>
    <t>DSD121204</t>
  </si>
  <si>
    <t>SANITVAL</t>
  </si>
  <si>
    <t>1176 AVENUE ST MARTI</t>
  </si>
  <si>
    <t>DSD121212</t>
  </si>
  <si>
    <t>CERFIC FROID</t>
  </si>
  <si>
    <t>83 IMPASSE DES BARRI</t>
  </si>
  <si>
    <t>DSD121214</t>
  </si>
  <si>
    <t>CENTRE CLIM</t>
  </si>
  <si>
    <t>72 RUE DES PIEDS BLA</t>
  </si>
  <si>
    <t>DSD121216</t>
  </si>
  <si>
    <t>FL SERVICES</t>
  </si>
  <si>
    <t>POUR PARIS CLIM</t>
  </si>
  <si>
    <t>DSD121218</t>
  </si>
  <si>
    <t>Clim et vous</t>
  </si>
  <si>
    <t>4 le petit Treherman</t>
  </si>
  <si>
    <t>DSD121220</t>
  </si>
  <si>
    <t>C-CLIM</t>
  </si>
  <si>
    <t>DSD121224</t>
  </si>
  <si>
    <t>YANNICK CHEVREUX</t>
  </si>
  <si>
    <t>184 ROUTE DE LA BRAU</t>
  </si>
  <si>
    <t>DSD121226</t>
  </si>
  <si>
    <t>ATOUTS FER</t>
  </si>
  <si>
    <t>13 RUE DE CROQUANT</t>
  </si>
  <si>
    <t>DSD121228</t>
  </si>
  <si>
    <t>CLIMATIC ENERGIES</t>
  </si>
  <si>
    <t>4 Rue des Freres Lum</t>
  </si>
  <si>
    <t>DSD121230</t>
  </si>
  <si>
    <t>ETM Porto-Vecchio</t>
  </si>
  <si>
    <t>rue Pierre Andreani</t>
  </si>
  <si>
    <t>DSD121232</t>
  </si>
  <si>
    <t>SPIE INDUSTRIE &amp; TER</t>
  </si>
  <si>
    <t>8 RUE JULES VEDRINES</t>
  </si>
  <si>
    <t>DSD121234</t>
  </si>
  <si>
    <t>CONFORTHERMIC CONFOR</t>
  </si>
  <si>
    <t>3 RUE MASSELIN</t>
  </si>
  <si>
    <t>DSD121236</t>
  </si>
  <si>
    <t>DSD121238</t>
  </si>
  <si>
    <t>AFURIO CLIMATISATION</t>
  </si>
  <si>
    <t>6 BOULEVARD DU MONTO</t>
  </si>
  <si>
    <t>DSD121240</t>
  </si>
  <si>
    <t>CLIMATER MAINTENANCE</t>
  </si>
  <si>
    <t>145 RUE DE LA MARBRE</t>
  </si>
  <si>
    <t>DSD121242</t>
  </si>
  <si>
    <t>rainon sebastien</t>
  </si>
  <si>
    <t>795 route de thoul</t>
  </si>
  <si>
    <t>DSD121244</t>
  </si>
  <si>
    <t>bianchi yves</t>
  </si>
  <si>
    <t>115 rue edouard beli</t>
  </si>
  <si>
    <t>DSD121246</t>
  </si>
  <si>
    <t>DSD121248</t>
  </si>
  <si>
    <t>CLIM ALU CONFORT</t>
  </si>
  <si>
    <t>1 BOULEVARD EUGENE D</t>
  </si>
  <si>
    <t>DSD121250</t>
  </si>
  <si>
    <t>DSD121252</t>
  </si>
  <si>
    <t>DSD121254</t>
  </si>
  <si>
    <t>CLIMETHIK</t>
  </si>
  <si>
    <t>178 MAUVAISE RUE</t>
  </si>
  <si>
    <t>DSD121256</t>
  </si>
  <si>
    <t>MARTIN claudie</t>
  </si>
  <si>
    <t>39 rue du 19 mars 19</t>
  </si>
  <si>
    <t>DSD121258</t>
  </si>
  <si>
    <t>DSD121260</t>
  </si>
  <si>
    <t>DSD121064</t>
  </si>
  <si>
    <t>Melis Maurizio</t>
  </si>
  <si>
    <t>via Stoccolma 4</t>
  </si>
  <si>
    <t>DSD121066</t>
  </si>
  <si>
    <t>DSD121104</t>
  </si>
  <si>
    <t>DSD121140</t>
  </si>
  <si>
    <t>DSD121184</t>
  </si>
  <si>
    <t>AIRSISTEM IMPIANTI S</t>
  </si>
  <si>
    <t>VIA LUIGI CARRER ,12</t>
  </si>
  <si>
    <t>DSD121196</t>
  </si>
  <si>
    <t>address information required</t>
  </si>
  <si>
    <t>DSD121262</t>
  </si>
  <si>
    <t>EIRL HAVIN REMY</t>
  </si>
  <si>
    <t>32 RUE DU 8 MARS 184</t>
  </si>
  <si>
    <t>DSD121264</t>
  </si>
  <si>
    <t>DSD121266</t>
  </si>
  <si>
    <t>SARL DES ETS CAZES</t>
  </si>
  <si>
    <t>8 RUE PARMENTIER</t>
  </si>
  <si>
    <t>DSD121268</t>
  </si>
  <si>
    <t>NCEN</t>
  </si>
  <si>
    <t>36 RUE DES VICTOIRES</t>
  </si>
  <si>
    <t>DSD121270</t>
  </si>
  <si>
    <t>SARL KEVIN CLIM</t>
  </si>
  <si>
    <t>32 BIS CHEMIN DE LA</t>
  </si>
  <si>
    <t>DSD121272</t>
  </si>
  <si>
    <t>ANQUETIL</t>
  </si>
  <si>
    <t>9 CHEMIN DE SAINT TH</t>
  </si>
  <si>
    <t>DSD121274</t>
  </si>
  <si>
    <t>VCF</t>
  </si>
  <si>
    <t>8 RUE JACQUES MONOD</t>
  </si>
  <si>
    <t>DSD121276</t>
  </si>
  <si>
    <t>DSD121278</t>
  </si>
  <si>
    <t>BC AUVERGNE</t>
  </si>
  <si>
    <t>1746 RTE DE CHATEAU</t>
  </si>
  <si>
    <t>DSD121280</t>
  </si>
  <si>
    <t>DSD121282</t>
  </si>
  <si>
    <t>SAS ANVOLIA</t>
  </si>
  <si>
    <t>26 avenue Ferdinand</t>
  </si>
  <si>
    <t>DSD121284</t>
  </si>
  <si>
    <t>DSD121286</t>
  </si>
  <si>
    <t>DSD121288</t>
  </si>
  <si>
    <t>ENGIE ENERGIE SERVIC</t>
  </si>
  <si>
    <t>BLD YVES DU MANOIR</t>
  </si>
  <si>
    <t>DSD121290</t>
  </si>
  <si>
    <t>ATLAS CLIM</t>
  </si>
  <si>
    <t>HICHAM AZOUGAGH</t>
  </si>
  <si>
    <t>DSD121292</t>
  </si>
  <si>
    <t>THIERRY STIGNANI</t>
  </si>
  <si>
    <t>36 CHEMIN DE LA BOUS</t>
  </si>
  <si>
    <t>DSD121294</t>
  </si>
  <si>
    <t>Armiar PARIS</t>
  </si>
  <si>
    <t>2 rue remy Lambert</t>
  </si>
  <si>
    <t>DSD121296</t>
  </si>
  <si>
    <t>Le Comptoir CVC</t>
  </si>
  <si>
    <t>14bis boulevard Ren</t>
  </si>
  <si>
    <t>DSD121300</t>
  </si>
  <si>
    <t>ABF Chauffage Ouest</t>
  </si>
  <si>
    <t>,3 impasse Remy</t>
  </si>
  <si>
    <t>DSD121302</t>
  </si>
  <si>
    <t>DSD121304</t>
  </si>
  <si>
    <t>CHAREL FRANCK</t>
  </si>
  <si>
    <t>170 RUE DE LA FERME</t>
  </si>
  <si>
    <t>DSD121306</t>
  </si>
  <si>
    <t>DSD121310</t>
  </si>
  <si>
    <t>DSD121312</t>
  </si>
  <si>
    <t>ENGIE</t>
  </si>
  <si>
    <t>275 rue du stade</t>
  </si>
  <si>
    <t>DSD121314</t>
  </si>
  <si>
    <t>IBC ENR</t>
  </si>
  <si>
    <t>380 RUE D ARLES</t>
  </si>
  <si>
    <t>DSD121316</t>
  </si>
  <si>
    <t>CERT</t>
  </si>
  <si>
    <t>11 RUE DE LA CROIX D</t>
  </si>
  <si>
    <t>DSD121318</t>
  </si>
  <si>
    <t>COFELY AXIMA</t>
  </si>
  <si>
    <t>SITE EUROTUNNEL, BAT</t>
  </si>
  <si>
    <t>DSD121320</t>
  </si>
  <si>
    <t>DSD121322</t>
  </si>
  <si>
    <t>DSD121324</t>
  </si>
  <si>
    <t>ID Energie</t>
  </si>
  <si>
    <t>15 route de la briqu</t>
  </si>
  <si>
    <t>DSD121326</t>
  </si>
  <si>
    <t>RVT SANITHERMIE</t>
  </si>
  <si>
    <t>2 RUE DELAROCHE</t>
  </si>
  <si>
    <t>DSD121328</t>
  </si>
  <si>
    <t>DSD121330</t>
  </si>
  <si>
    <t>PROJET-CLIM 31</t>
  </si>
  <si>
    <t>235 VOIE TRIPODI</t>
  </si>
  <si>
    <t>DSD121332</t>
  </si>
  <si>
    <t>CLIMSYSTEM</t>
  </si>
  <si>
    <t>5 RUE COURTOIS</t>
  </si>
  <si>
    <t>DSD121334</t>
  </si>
  <si>
    <t>SARL SPAD49</t>
  </si>
  <si>
    <t>57 impasse du carref</t>
  </si>
  <si>
    <t>DSD121336</t>
  </si>
  <si>
    <t>RICHARDEAU</t>
  </si>
  <si>
    <t>4 RUE GERTRUDE BELLE</t>
  </si>
  <si>
    <t>DSD121338</t>
  </si>
  <si>
    <t>INSTAL EAUSUD</t>
  </si>
  <si>
    <t>8 TER ROUTE DE BEAUL</t>
  </si>
  <si>
    <t>DSD121340</t>
  </si>
  <si>
    <t>VIGNAL ENERGIE</t>
  </si>
  <si>
    <t>2 AVENUE DENIS PAPIN</t>
  </si>
  <si>
    <t>DSD121342</t>
  </si>
  <si>
    <t>ESPACES 3</t>
  </si>
  <si>
    <t>35 CHEMIN DE CHIRADI</t>
  </si>
  <si>
    <t>DSD121344</t>
  </si>
  <si>
    <t>SARL LALIN</t>
  </si>
  <si>
    <t>PARC D ACTIVITE PLEI</t>
  </si>
  <si>
    <t>DSD121346</t>
  </si>
  <si>
    <t>caigne gerard</t>
  </si>
  <si>
    <t>6163 chemin de ceser</t>
  </si>
  <si>
    <t>DSD121348</t>
  </si>
  <si>
    <t>ART FROID</t>
  </si>
  <si>
    <t>LIEU DIT BORDE HAUTE</t>
  </si>
  <si>
    <t>DSD121350</t>
  </si>
  <si>
    <t>BENAT LAHIRIGOYEN</t>
  </si>
  <si>
    <t>MEDIKUENIA</t>
  </si>
  <si>
    <t>DSD121352</t>
  </si>
  <si>
    <t>LEJEUNE MICKAEL</t>
  </si>
  <si>
    <t>117 RUE DES ARCHES</t>
  </si>
  <si>
    <t>DSD121354</t>
  </si>
  <si>
    <t>SITE ORANO POUR ENGI</t>
  </si>
  <si>
    <t>ROUTE DE MOUSSAN</t>
  </si>
  <si>
    <t>DSD121356</t>
  </si>
  <si>
    <t>ECOELEC SYSTEM AQUIT</t>
  </si>
  <si>
    <t>11 ALLEE DES VERGERS</t>
  </si>
  <si>
    <t>DSD121358</t>
  </si>
  <si>
    <t>DENIS ERIC</t>
  </si>
  <si>
    <t>9 RUE DE LA FONTENEL</t>
  </si>
  <si>
    <t>DSD121360</t>
  </si>
  <si>
    <t>ATOLL CLIM SERVICES</t>
  </si>
  <si>
    <t>31 ANCIEN CHE DES BE</t>
  </si>
  <si>
    <t>DSD121362</t>
  </si>
  <si>
    <t>DSD121364</t>
  </si>
  <si>
    <t>183 AV DU 8 MAI 1945</t>
  </si>
  <si>
    <t>DSD121366</t>
  </si>
  <si>
    <t>DSD121368</t>
  </si>
  <si>
    <t>84 Rue des Alouettes</t>
  </si>
  <si>
    <t>DSD121370</t>
  </si>
  <si>
    <t>DSD121372</t>
  </si>
  <si>
    <t>1 rue Gabriel Lippma</t>
  </si>
  <si>
    <t>DSD121374</t>
  </si>
  <si>
    <t>MURE Energies</t>
  </si>
  <si>
    <t>41 ROUTE DE LA LIBER</t>
  </si>
  <si>
    <t>DSD121376</t>
  </si>
  <si>
    <t>MME DE GRAEVE SUZANN</t>
  </si>
  <si>
    <t>DSD121384</t>
  </si>
  <si>
    <t>COUVRET SANDRA</t>
  </si>
  <si>
    <t>DSD121386</t>
  </si>
  <si>
    <t>17 RUE LA PLACE</t>
  </si>
  <si>
    <t>DSD121388</t>
  </si>
  <si>
    <t>DOYHARCABAL Pascal</t>
  </si>
  <si>
    <t>200 ZUBIZABALETAKO</t>
  </si>
  <si>
    <t>DSD121390</t>
  </si>
  <si>
    <t>DSD121392</t>
  </si>
  <si>
    <t>115 RUE DES ALLIES</t>
  </si>
  <si>
    <t>DSD121394</t>
  </si>
  <si>
    <t>ECONERGY SUD OUEST</t>
  </si>
  <si>
    <t>Lieu dit la Taillade</t>
  </si>
  <si>
    <t>DSD121396</t>
  </si>
  <si>
    <t>16 RUE VICTOR GRIGNA</t>
  </si>
  <si>
    <t>DSD121398</t>
  </si>
  <si>
    <t>DSD121400</t>
  </si>
  <si>
    <t>DSD121402</t>
  </si>
  <si>
    <t>23 AVENUE DES MONDAU</t>
  </si>
  <si>
    <t>DSD121404</t>
  </si>
  <si>
    <t>7 AVENUE DE LA RESIS</t>
  </si>
  <si>
    <t>DSD121406</t>
  </si>
  <si>
    <t>DSD121408</t>
  </si>
  <si>
    <t>STE AIR FROID</t>
  </si>
  <si>
    <t>ZAC MERMOZ</t>
  </si>
  <si>
    <t>DSD121410</t>
  </si>
  <si>
    <t>SAMORA &amp; MITCH ELEC</t>
  </si>
  <si>
    <t>51 rue de l Industri</t>
  </si>
  <si>
    <t>DSD121412</t>
  </si>
  <si>
    <t>C V T I</t>
  </si>
  <si>
    <t>3 RUE JULES VERNE</t>
  </si>
  <si>
    <t>DSD121414</t>
  </si>
  <si>
    <t>CLIM PAC ECO ENERGIE</t>
  </si>
  <si>
    <t>2 IMPASSE THOMAS EDI</t>
  </si>
  <si>
    <t>DSD121416</t>
  </si>
  <si>
    <t>MOULINIE</t>
  </si>
  <si>
    <t>Le Petit Bijou</t>
  </si>
  <si>
    <t>DSD121418</t>
  </si>
  <si>
    <t>H2C HAC HITACHI</t>
  </si>
  <si>
    <t>58 AVENUE LEON BLUM</t>
  </si>
  <si>
    <t>DSD121420</t>
  </si>
  <si>
    <t>Comptoir CVC</t>
  </si>
  <si>
    <t>33 rue du bois brian</t>
  </si>
  <si>
    <t>DSD121422</t>
  </si>
  <si>
    <t>MARTIN FREDERIC SARL</t>
  </si>
  <si>
    <t>31 RUE DE LA CONVENT</t>
  </si>
  <si>
    <t>DSD121424</t>
  </si>
  <si>
    <t>DSD121426</t>
  </si>
  <si>
    <t>AB2J ENERGIES</t>
  </si>
  <si>
    <t>320C 1 CHE DE LA GRA</t>
  </si>
  <si>
    <t>DSD121428</t>
  </si>
  <si>
    <t>67 AVENUE MARYSE BAS</t>
  </si>
  <si>
    <t>DSD121430</t>
  </si>
  <si>
    <t>DSD121432</t>
  </si>
  <si>
    <t>ENGIE HOME SAUMUR</t>
  </si>
  <si>
    <t>7 ALLEE DE LA GAGNER</t>
  </si>
  <si>
    <t>DSD121434</t>
  </si>
  <si>
    <t>DSD121436</t>
  </si>
  <si>
    <t>ENERGIE 10</t>
  </si>
  <si>
    <t>75 AVENUE MARECHAL L</t>
  </si>
  <si>
    <t>DSD121438</t>
  </si>
  <si>
    <t>DISTRITEC</t>
  </si>
  <si>
    <t>33 RUE DU BOIS BRIAN</t>
  </si>
  <si>
    <t>DSD121440</t>
  </si>
  <si>
    <t>SARL LAURENT DAUZET</t>
  </si>
  <si>
    <t>873 AV DU PEYRAT</t>
  </si>
  <si>
    <t>DSD121442</t>
  </si>
  <si>
    <t>CLIMAT TECH</t>
  </si>
  <si>
    <t>64 CH DU QUARTIER DU</t>
  </si>
  <si>
    <t>DSD121444</t>
  </si>
  <si>
    <t>DSD121446</t>
  </si>
  <si>
    <t>DSD121448</t>
  </si>
  <si>
    <t>DSD121450</t>
  </si>
  <si>
    <t>DSD121452</t>
  </si>
  <si>
    <t>alain GUILLOT</t>
  </si>
  <si>
    <t>46 RUE DE LAPALISSE</t>
  </si>
  <si>
    <t>DSD121454</t>
  </si>
  <si>
    <t>CEA VALDUC</t>
  </si>
  <si>
    <t>VIA REGIS MARTELET</t>
  </si>
  <si>
    <t>DSD121456</t>
  </si>
  <si>
    <t>DSD121458</t>
  </si>
  <si>
    <t>DSD121460</t>
  </si>
  <si>
    <t>DSD121462</t>
  </si>
  <si>
    <t>DSD121464</t>
  </si>
  <si>
    <t>ENGIE HOMES QUIMPER</t>
  </si>
  <si>
    <t>462 ROUTE DE ROSPORD</t>
  </si>
  <si>
    <t>DSD121466</t>
  </si>
  <si>
    <t>PERON</t>
  </si>
  <si>
    <t>3 RUE DE BEAUNE</t>
  </si>
  <si>
    <t>DSD121468</t>
  </si>
  <si>
    <t>HER</t>
  </si>
  <si>
    <t>4 rue Pierre Gilles</t>
  </si>
  <si>
    <t>DSD121470</t>
  </si>
  <si>
    <t>ETS Joseph SAS</t>
  </si>
  <si>
    <t>390 Avenue de Parme</t>
  </si>
  <si>
    <t>DSD121472</t>
  </si>
  <si>
    <t>DSD121474</t>
  </si>
  <si>
    <t>14 RUE ALEXIS DE TOC</t>
  </si>
  <si>
    <t>DSD121476</t>
  </si>
  <si>
    <t>2M2D</t>
  </si>
  <si>
    <t>8 CARRELOT DE PANDEL</t>
  </si>
  <si>
    <t>DSD121478</t>
  </si>
  <si>
    <t>BOUSCASSE</t>
  </si>
  <si>
    <t>8 Avenue de la Borie</t>
  </si>
  <si>
    <t>DSD121480</t>
  </si>
  <si>
    <t>DSD121482</t>
  </si>
  <si>
    <t>45-47 AV DES ARLUCS</t>
  </si>
  <si>
    <t>DSD121484</t>
  </si>
  <si>
    <t>LA CHALLERIE</t>
  </si>
  <si>
    <t>DSD121486</t>
  </si>
  <si>
    <t>DSD121488</t>
  </si>
  <si>
    <t>DSD121490</t>
  </si>
  <si>
    <t>PROVENCE CHAUFFAGE</t>
  </si>
  <si>
    <t>1760 CHEMIN DE LA DE</t>
  </si>
  <si>
    <t>DSD121492</t>
  </si>
  <si>
    <t>DSD121500</t>
  </si>
  <si>
    <t>ANNEXX PERPIGNAN</t>
  </si>
  <si>
    <t>ANNEXX BOX4 POUR AGT</t>
  </si>
  <si>
    <t>DSD121502</t>
  </si>
  <si>
    <t>DSD121504</t>
  </si>
  <si>
    <t>MEJRI ELYES</t>
  </si>
  <si>
    <t>4 BOULEVARD JACQUES</t>
  </si>
  <si>
    <t>DSD121506</t>
  </si>
  <si>
    <t>DSD121508</t>
  </si>
  <si>
    <t>DELCLIM (CLAUGER)</t>
  </si>
  <si>
    <t>150 RUE DU 8 MAI 194</t>
  </si>
  <si>
    <t>DSD121510</t>
  </si>
  <si>
    <t>ARTIC CLIM</t>
  </si>
  <si>
    <t>2 RUE DU PETIT PARC</t>
  </si>
  <si>
    <t>DSD121512</t>
  </si>
  <si>
    <t>DSD121514</t>
  </si>
  <si>
    <t>DSD121516</t>
  </si>
  <si>
    <t>DSD121518</t>
  </si>
  <si>
    <t>38 AVENUE DU CHAMP D</t>
  </si>
  <si>
    <t>DSD121520</t>
  </si>
  <si>
    <t>BRUNET EEGI</t>
  </si>
  <si>
    <t>ZI LAVIGNE</t>
  </si>
  <si>
    <t>DSD121522</t>
  </si>
  <si>
    <t>DSD121524</t>
  </si>
  <si>
    <t>DSD121526</t>
  </si>
  <si>
    <t>DSD121528</t>
  </si>
  <si>
    <t>8 Rue Colbert</t>
  </si>
  <si>
    <t>DSD121530</t>
  </si>
  <si>
    <t>IMTS TOUZEAU</t>
  </si>
  <si>
    <t>RUE PLEIN CHAMPS</t>
  </si>
  <si>
    <t>DSD121532</t>
  </si>
  <si>
    <t>ENR SUD EST</t>
  </si>
  <si>
    <t>139 CHEMIN DES VERNE</t>
  </si>
  <si>
    <t>DSD121534</t>
  </si>
  <si>
    <t>AQUAGAZ SERVICES</t>
  </si>
  <si>
    <t>23 RUE BUFFON</t>
  </si>
  <si>
    <t>DSD121536</t>
  </si>
  <si>
    <t>DSD121538</t>
  </si>
  <si>
    <t>SANDERS PASCAL</t>
  </si>
  <si>
    <t>RUE DU BISSONET</t>
  </si>
  <si>
    <t>DSD121540</t>
  </si>
  <si>
    <t>ACTIV</t>
  </si>
  <si>
    <t>2 rue Darcy</t>
  </si>
  <si>
    <t>DSD121542</t>
  </si>
  <si>
    <t>ARO CONCEPT</t>
  </si>
  <si>
    <t>31 BIS RUE DE LA GAR</t>
  </si>
  <si>
    <t>DSD121544</t>
  </si>
  <si>
    <t>DSD121546</t>
  </si>
  <si>
    <t>BIDAULT David</t>
  </si>
  <si>
    <t>DSD121548</t>
  </si>
  <si>
    <t>DSD121550</t>
  </si>
  <si>
    <t>CP CLIM CONCEPT</t>
  </si>
  <si>
    <t>1020 CHEMIN DU FORT</t>
  </si>
  <si>
    <t>DSD121552</t>
  </si>
  <si>
    <t>IDEX ENERGIES</t>
  </si>
  <si>
    <t>832 AV DE BRUXELLES</t>
  </si>
  <si>
    <t>DSD121554</t>
  </si>
  <si>
    <t>CEGECLIM ENERGIES BR</t>
  </si>
  <si>
    <t>2 Rue Victor Hugo</t>
  </si>
  <si>
    <t>DSD121560</t>
  </si>
  <si>
    <t>ECM</t>
  </si>
  <si>
    <t>670 ROUTE DE LYON</t>
  </si>
  <si>
    <t>DSD121562</t>
  </si>
  <si>
    <t>MORA</t>
  </si>
  <si>
    <t>ZA les AGREOUS</t>
  </si>
  <si>
    <t>DSD121564</t>
  </si>
  <si>
    <t>Allez et CIE</t>
  </si>
  <si>
    <t>ZI du Rooy</t>
  </si>
  <si>
    <t>DSD121566</t>
  </si>
  <si>
    <t>DSD121568</t>
  </si>
  <si>
    <t>DSD121570</t>
  </si>
  <si>
    <t>ZAC DE FROMADAN</t>
  </si>
  <si>
    <t>DSD121574</t>
  </si>
  <si>
    <t>DSD121576</t>
  </si>
  <si>
    <t>chemin Gabriel Ventr</t>
  </si>
  <si>
    <t>DSD121578</t>
  </si>
  <si>
    <t>545 avenue des Lions</t>
  </si>
  <si>
    <t>DSD121580</t>
  </si>
  <si>
    <t>JAS DU PREBIER</t>
  </si>
  <si>
    <t>QUARTIER LE FOURNEL</t>
  </si>
  <si>
    <t>DSD121582</t>
  </si>
  <si>
    <t>58 avenue Leon Blum</t>
  </si>
  <si>
    <t>DSD121584</t>
  </si>
  <si>
    <t>ACI MAINTENANCE</t>
  </si>
  <si>
    <t>582 RUE MADELON DURI</t>
  </si>
  <si>
    <t>DSD121586</t>
  </si>
  <si>
    <t>DSD121588</t>
  </si>
  <si>
    <t>JPMEP</t>
  </si>
  <si>
    <t>2 CHEMIN DE BARATEAU</t>
  </si>
  <si>
    <t>DSD121590</t>
  </si>
  <si>
    <t>ZA d Armanville</t>
  </si>
  <si>
    <t>DSD121592</t>
  </si>
  <si>
    <t>SPIE FACILITIES</t>
  </si>
  <si>
    <t>AV DE L AERODROME</t>
  </si>
  <si>
    <t>DSD121594</t>
  </si>
  <si>
    <t>PRIEUR</t>
  </si>
  <si>
    <t>6 PLACE DE LA LIBERA</t>
  </si>
  <si>
    <t>DSD121596</t>
  </si>
  <si>
    <t>SA COMALEC</t>
  </si>
  <si>
    <t>DSD121598</t>
  </si>
  <si>
    <t>JM ENERGIE</t>
  </si>
  <si>
    <t>13 domaine de la Sau</t>
  </si>
  <si>
    <t>DSD121600</t>
  </si>
  <si>
    <t>DSD121602</t>
  </si>
  <si>
    <t>DSD121604</t>
  </si>
  <si>
    <t>TEC CLIM SERVICES</t>
  </si>
  <si>
    <t>4 AVENUE DE LA POINT</t>
  </si>
  <si>
    <t>DSD121606</t>
  </si>
  <si>
    <t>PICARD SAS</t>
  </si>
  <si>
    <t>ZA D'ETABLES</t>
  </si>
  <si>
    <t>DSD121608</t>
  </si>
  <si>
    <t>POLE BOX</t>
  </si>
  <si>
    <t>BOX CHASSIEU N°0-14</t>
  </si>
  <si>
    <t>DSD121610</t>
  </si>
  <si>
    <t>VAL DE LOIRE MAINTEN</t>
  </si>
  <si>
    <t>MAINTENANCE SERVICE</t>
  </si>
  <si>
    <t>DSD121612</t>
  </si>
  <si>
    <t>Z.A. d Armanville</t>
  </si>
  <si>
    <t>DSD121614</t>
  </si>
  <si>
    <t>AIR FROID</t>
  </si>
  <si>
    <t>13 RUE JEAN BAPTISTE</t>
  </si>
  <si>
    <t>DSD121616</t>
  </si>
  <si>
    <t>DSD121618</t>
  </si>
  <si>
    <t>DELA</t>
  </si>
  <si>
    <t>298 Chemin de Borden</t>
  </si>
  <si>
    <t>DSD121620</t>
  </si>
  <si>
    <t>9 Rue du Pre Meunier</t>
  </si>
  <si>
    <t>DSD121622</t>
  </si>
  <si>
    <t>DSD121624</t>
  </si>
  <si>
    <t>OTIS</t>
  </si>
  <si>
    <t>31 AVENUE DES MONTOI</t>
  </si>
  <si>
    <t>DSD121626</t>
  </si>
  <si>
    <t>DSD121628</t>
  </si>
  <si>
    <t>DSD121630</t>
  </si>
  <si>
    <t>DSD121632</t>
  </si>
  <si>
    <t>LOCAKASE</t>
  </si>
  <si>
    <t>102 AVENUE DES 3 TIL</t>
  </si>
  <si>
    <t>DSD121634</t>
  </si>
  <si>
    <t>37 CHEMIN DE ROUGEMO</t>
  </si>
  <si>
    <t>DSD121636</t>
  </si>
  <si>
    <t>ZA LA FAUCHETIERE 2</t>
  </si>
  <si>
    <t>DSD121638</t>
  </si>
  <si>
    <t>FMS</t>
  </si>
  <si>
    <t>478 Rue Pays de GOSS</t>
  </si>
  <si>
    <t>DSD121640</t>
  </si>
  <si>
    <t>83 AVENUE DE LA REPU</t>
  </si>
  <si>
    <t>DSD121642</t>
  </si>
  <si>
    <t>DSD121644</t>
  </si>
  <si>
    <t>HASSELIN ARNAUD</t>
  </si>
  <si>
    <t>219 CHEMIN DES MURES</t>
  </si>
  <si>
    <t>DSD121646</t>
  </si>
  <si>
    <t>VILLEVEYRAC EHPAD LE</t>
  </si>
  <si>
    <t>DSD121648</t>
  </si>
  <si>
    <t>SNEA</t>
  </si>
  <si>
    <t>16 RUE DU BOIS CERDO</t>
  </si>
  <si>
    <t>DSD121650</t>
  </si>
  <si>
    <t>DSD121652</t>
  </si>
  <si>
    <t>STE AGNIEL</t>
  </si>
  <si>
    <t>91 AVENUE DES PINS D</t>
  </si>
  <si>
    <t>DSD121654</t>
  </si>
  <si>
    <t>DSD121656</t>
  </si>
  <si>
    <t>DSD121658</t>
  </si>
  <si>
    <t>DSD121660</t>
  </si>
  <si>
    <t>DSD121662</t>
  </si>
  <si>
    <t>EURL CARESMEL</t>
  </si>
  <si>
    <t>1 RUE HENRI FABRE</t>
  </si>
  <si>
    <t>DSD121664</t>
  </si>
  <si>
    <t>DSD121666</t>
  </si>
  <si>
    <t>BPC</t>
  </si>
  <si>
    <t>ZA DE LA BRIQUETERIE</t>
  </si>
  <si>
    <t>DSD121668</t>
  </si>
  <si>
    <t>7 RUE GUSTAVE DELORY</t>
  </si>
  <si>
    <t>DSD121670</t>
  </si>
  <si>
    <t>BAJON ANDRES</t>
  </si>
  <si>
    <t>3 - 5 RUE DE LA CART</t>
  </si>
  <si>
    <t>DSD121672</t>
  </si>
  <si>
    <t>CHAUFF CLIM SERVICE</t>
  </si>
  <si>
    <t>Les Clauds</t>
  </si>
  <si>
    <t>DSD121674</t>
  </si>
  <si>
    <t>1188 AVENUE DE L AMA</t>
  </si>
  <si>
    <t>DSD121676</t>
  </si>
  <si>
    <t>DSD121678</t>
  </si>
  <si>
    <t>DSD121680</t>
  </si>
  <si>
    <t>DAUPHINE GAZ</t>
  </si>
  <si>
    <t>42 AVENUE ABEL ROSSI</t>
  </si>
  <si>
    <t>DSD121682</t>
  </si>
  <si>
    <t>FCCE BOUSCASSE</t>
  </si>
  <si>
    <t>8 AVENUE DE LA BORIE</t>
  </si>
  <si>
    <t>DSD121684</t>
  </si>
  <si>
    <t>DSD121298</t>
  </si>
  <si>
    <t>Held awaiting correct address</t>
  </si>
  <si>
    <t>es-spareparts2@logisteed-europe.com</t>
  </si>
  <si>
    <t>francisco.jove@logisteed-europe.com</t>
  </si>
  <si>
    <t>veronique.vanlerberghe@jci-hitachi.com</t>
  </si>
  <si>
    <t>abidin.basan@jci-hitachi.com</t>
  </si>
  <si>
    <t>andrew.henson@jci-hitachi.com</t>
  </si>
  <si>
    <t>anne.seegers@jci-hitachi.com</t>
  </si>
  <si>
    <t>belve.firat@jci.com</t>
  </si>
  <si>
    <t>cecile.fuentes@jci-hitachi.com</t>
  </si>
  <si>
    <t>claudio.viarengo@jci-hitachi.com</t>
  </si>
  <si>
    <t>denise.albuisson-ext@jci-hitachi.com</t>
  </si>
  <si>
    <t>enrico.maggia@jci-hitachi.com</t>
  </si>
  <si>
    <t>florence.tourette@jci-hitachi.com</t>
  </si>
  <si>
    <t>iban.fernandezrodriguez@jci-hitachi.com</t>
  </si>
  <si>
    <t>jerome.stiegler@jci-hitachi.com</t>
  </si>
  <si>
    <t>jessica.bolognesi@jci-hitachi.com</t>
  </si>
  <si>
    <t>julie.hawawini@jci-hitachi.com</t>
  </si>
  <si>
    <t>lesley.shillito@jci-hitachi.com</t>
  </si>
  <si>
    <t>margit.menke@jci-hitachi.com</t>
  </si>
  <si>
    <t>mireia.vara@jci-hitachi.com</t>
  </si>
  <si>
    <t>marie.alcor-ext@jci-hitachi.com</t>
  </si>
  <si>
    <t>monica.bolanos@jci-hitachi.com</t>
  </si>
  <si>
    <t>monica.clavel@jci-hitachi.com</t>
  </si>
  <si>
    <t>pascale.ciccoli@jci-hitachi.com</t>
  </si>
  <si>
    <t>patricia.beneteau.de.laprairie@jci-hitachi.com</t>
  </si>
  <si>
    <t>pawel.pszczolkowski@jci.com</t>
  </si>
  <si>
    <t>saida.chebel@jci-hitachi.com</t>
  </si>
  <si>
    <t>sheena.deaney@jci-hitachi.com</t>
  </si>
  <si>
    <t>susan.widger@jci-hitachi.com</t>
  </si>
  <si>
    <t>umut.baran@jci-hitachi.com</t>
  </si>
  <si>
    <t>valerie.galea@jci-hitachi.com</t>
  </si>
  <si>
    <t>veronica.jimenezperez@jci-hitachi.com</t>
  </si>
  <si>
    <t>yulia.1.luzhkova@jci-hitachi.com</t>
  </si>
  <si>
    <t>soufian.abderrahman@jci-hitachi.com</t>
  </si>
  <si>
    <t>jorge.m1.marquezserret@jci-hitachi.com</t>
  </si>
  <si>
    <t>mark.hancock@jci-hitachi.com</t>
  </si>
  <si>
    <t>grindel.darwich-ext@jci-hitachi.com</t>
  </si>
  <si>
    <t>chloe.fassum-ext@jci-hitachi.com</t>
  </si>
  <si>
    <t>sonia.rodriguez@jci-hitachi.com</t>
  </si>
  <si>
    <t>esther.hackner-ext@jci-hitachi.com</t>
  </si>
  <si>
    <t>johanne.deconinck@jci-hitachi.com</t>
  </si>
  <si>
    <t>elizabeth.gonzales-ext@jci-hitachi.com</t>
  </si>
  <si>
    <t>USA</t>
  </si>
  <si>
    <t>EXCEPTION</t>
  </si>
  <si>
    <t>DAMAGED</t>
  </si>
  <si>
    <t>NACEX</t>
  </si>
  <si>
    <t>adr</t>
  </si>
  <si>
    <t>CONFIRM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</si>
</sst>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pivotButton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left" wrapText="1"/>
    </xf>
    <xf numFmtId="14" fontId="0" fillId="0" borderId="7" xfId="0" applyNumberFormat="1" applyBorder="1" applyAlignment="1">
      <alignment wrapText="1"/>
    </xf>
    <xf numFmtId="0" fontId="1" fillId="0" borderId="1" xfId="0" applyFont="1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14" fontId="1" fillId="0" borderId="1" xfId="0" applyNumberFormat="1" applyFont="1" applyBorder="1"/>
    <xf numFmtId="14" fontId="0" fillId="0" borderId="4" xfId="0" applyNumberFormat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3" fillId="0" borderId="5" xfId="0" pivotButton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4" xfId="0" applyFont="1" applyFill="1" applyBorder="1" applyAlignment="1">
      <alignment wrapText="1"/>
    </xf>
  </cellXfs>
  <cellStyles count="1">
    <cellStyle name="Normal" xfId="0" builtinId="0"/>
  </cellStyles>
  <dxfs count="71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[Testsinmacro_2.xlsx]Dinamic Grafic!Grafico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2764225522591334E-2"/>
              <c:y val="-3.6190481618369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4.9667401140199276E-2"/>
              <c:y val="-5.14285791418941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5.3806351235215731E-2"/>
              <c:y val="-4.38095303801320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1219514381047493E-2"/>
              <c:y val="-9.9290787534915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956369159309867"/>
                  <c:h val="7.9730502390536473E-2"/>
                </c:manualLayout>
              </c15:layout>
            </c:ext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2.8455285767248539E-2"/>
              <c:y val="-1.98581575069829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4.1912906959475547E-2"/>
              <c:y val="-3.49272334025359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3970968986491849E-2"/>
              <c:y val="-3.8808037113928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4.2362980359087971E-3"/>
              <c:y val="-5.17453765302348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270889410772639E-2"/>
              <c:y val="-8.049280793592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3.3890384287270377E-2"/>
              <c:y val="-7.09103308006921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8380084662585"/>
          <c:y val="7.8848841077963847E-2"/>
          <c:w val="0.61424570295111525"/>
          <c:h val="0.848640863554027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'Dinamic Grafic'!$U$4:$U$5</c:f>
              <c:strCache>
                <c:ptCount val="1"/>
                <c:pt idx="0">
                  <c:v>DELIVERED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8CF-46EF-B2E1-B57830E7D768}"/>
              </c:ext>
            </c:extLst>
          </c:dPt>
          <c:dLbls>
            <c:dLbl>
              <c:idx val="0"/>
              <c:layout>
                <c:manualLayout>
                  <c:x val="4.2362980359087971E-3"/>
                  <c:y val="-5.17453765302348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CF-46EF-B2E1-B57830E7D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 Grafic'!$T$6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'Dinamic Grafic'!$U$6</c:f>
              <c:numCache>
                <c:formatCode>General</c:formatCode>
                <c:ptCount val="1"/>
                <c:pt idx="0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CA-4022-A661-78AFE9086BBD}"/>
            </c:ext>
          </c:extLst>
        </c:ser>
        <c:ser>
          <c:idx val="1"/>
          <c:order val="1"/>
          <c:tx>
            <c:strRef>
              <c:f>'Dinamic Grafic'!$V$4:$V$5</c:f>
              <c:strCache>
                <c:ptCount val="1"/>
                <c:pt idx="0">
                  <c:v>EXCEPTION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8CF-46EF-B2E1-B57830E7D768}"/>
              </c:ext>
            </c:extLst>
          </c:dPt>
          <c:dLbls>
            <c:dLbl>
              <c:idx val="0"/>
              <c:layout>
                <c:manualLayout>
                  <c:x val="1.270889410772639E-2"/>
                  <c:y val="-8.0492807935920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CF-46EF-B2E1-B57830E7D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 Grafic'!$T$6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'Dinamic Grafic'!$V$6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CA-4022-A661-78AFE9086BBD}"/>
            </c:ext>
          </c:extLst>
        </c:ser>
        <c:ser>
          <c:idx val="2"/>
          <c:order val="2"/>
          <c:tx>
            <c:strRef>
              <c:f>'Dinamic Grafic'!$W$4:$W$5</c:f>
              <c:strCache>
                <c:ptCount val="1"/>
                <c:pt idx="0">
                  <c:v>IN TRANSIT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8CF-46EF-B2E1-B57830E7D768}"/>
              </c:ext>
            </c:extLst>
          </c:dPt>
          <c:dLbls>
            <c:dLbl>
              <c:idx val="0"/>
              <c:layout>
                <c:manualLayout>
                  <c:x val="3.3890384287270377E-2"/>
                  <c:y val="-7.0910330800692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CF-46EF-B2E1-B57830E7D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 Grafic'!$T$6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'Dinamic Grafic'!$W$6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CA-4022-A661-78AFE908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604232"/>
        <c:axId val="492603576"/>
        <c:axId val="0"/>
      </c:bar3DChart>
      <c:catAx>
        <c:axId val="49260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603576"/>
        <c:crosses val="autoZero"/>
        <c:auto val="1"/>
        <c:lblAlgn val="ctr"/>
        <c:lblOffset val="100"/>
        <c:noMultiLvlLbl val="0"/>
      </c:catAx>
      <c:valAx>
        <c:axId val="4926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60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606000"/>
        <c:axId val="523606360"/>
      </c:barChart>
      <c:catAx>
        <c:axId val="52360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23606360"/>
        <c:crosses val="autoZero"/>
        <c:auto val="1"/>
        <c:lblAlgn val="ctr"/>
        <c:lblOffset val="100"/>
        <c:noMultiLvlLbl val="0"/>
      </c:catAx>
      <c:valAx>
        <c:axId val="5236063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23606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557893</xdr:colOff>
      <xdr:row>0</xdr:row>
      <xdr:rowOff>40820</xdr:rowOff>
    </xdr:from>
    <xdr:to>
      <xdr:col>24</xdr:col>
      <xdr:colOff>8659</xdr:colOff>
      <xdr:row>27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127000</xdr:colOff>
          <xdr:row>1</xdr:row>
          <xdr:rowOff>101600</xdr:rowOff>
        </xdr:from>
        <xdr:to>
          <xdr:col>28</xdr:col>
          <xdr:colOff>533400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_tradnl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ACTUALIZAR</a:t>
              </a:r>
            </a:p>
            <a:p>
              <a:pPr algn="ctr" rtl="0">
                <a:defRPr sz="1000"/>
              </a:pPr>
              <a:r>
                <a:rPr lang="es-ES_tradnl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TABLA Y GRAFICO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152400</xdr:colOff>
          <xdr:row>5</xdr:row>
          <xdr:rowOff>101600</xdr:rowOff>
        </xdr:from>
        <xdr:to>
          <xdr:col>28</xdr:col>
          <xdr:colOff>546100</xdr:colOff>
          <xdr:row>8</xdr:row>
          <xdr:rowOff>177800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_tradnl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MAIL DAILY REPORT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t lleida estival" refreshedDate="45245.466667592591" createdVersion="6" refreshedVersion="8" minRefreshableVersion="3" recordCount="994" xr:uid="{62288C14-4DE0-42AE-9513-A7B99FDD0363}">
  <cacheSource type="worksheet">
    <worksheetSource ref="A1:M1048576" sheet="Report data"/>
  </cacheSource>
  <cacheFields count="13">
    <cacheField name="LOGIS ID" numFmtId="0">
      <sharedItems containsBlank="1"/>
    </cacheField>
    <cacheField name="shiping date" numFmtId="14">
      <sharedItems containsNonDate="0" containsDate="1" containsString="0" containsBlank="1" minDate="2023-09-29T00:00:00" maxDate="2023-10-20T00:00:00"/>
    </cacheField>
    <cacheField name="Reference 1" numFmtId="0">
      <sharedItems containsBlank="1"/>
    </cacheField>
    <cacheField name="Reference 2" numFmtId="0">
      <sharedItems containsBlank="1"/>
    </cacheField>
    <cacheField name="Reference 3" numFmtId="0">
      <sharedItems containsBlank="1"/>
    </cacheField>
    <cacheField name="Service" numFmtId="0">
      <sharedItems containsBlank="1"/>
    </cacheField>
    <cacheField name="Carrier" numFmtId="0">
      <sharedItems containsBlank="1"/>
    </cacheField>
    <cacheField name="T&amp;T reference" numFmtId="0">
      <sharedItems containsBlank="1" containsMixedTypes="1" containsNumber="1" containsInteger="1" minValue="607246000" maxValue="607248195"/>
    </cacheField>
    <cacheField name="Destination name" numFmtId="0">
      <sharedItems containsDate="1" containsBlank="1" containsMixedTypes="1" minDate="2001-10-01T00:00:00" maxDate="2001-10-02T00:00:00"/>
    </cacheField>
    <cacheField name="Destination address" numFmtId="0">
      <sharedItems containsBlank="1"/>
    </cacheField>
    <cacheField name="Postal code" numFmtId="0">
      <sharedItems containsBlank="1"/>
    </cacheField>
    <cacheField name="CC" numFmtId="0">
      <sharedItems containsBlank="1" count="23">
        <s v="FR"/>
        <s v="ES"/>
        <s v="NL"/>
        <s v="IT"/>
        <s v="IE"/>
        <s v="GB"/>
        <s v="GR"/>
        <s v="BA"/>
        <s v="PT"/>
        <s v="NO"/>
        <s v="AT"/>
        <s v="HR"/>
        <s v="BG"/>
        <s v="HU"/>
        <s v="SE"/>
        <s v="DK"/>
        <s v="DE"/>
        <s v="PL"/>
        <s v="CZ"/>
        <s v="LT"/>
        <s v="RO"/>
        <s v="USA"/>
        <m/>
      </sharedItems>
    </cacheField>
    <cacheField name="Status" numFmtId="0">
      <sharedItems containsBlank="1" count="4">
        <s v="IN TRANSIT"/>
        <s v="EXCEPTION"/>
        <s v="DELIVER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t lleida estival" refreshedDate="45245.466668402776" createdVersion="6" refreshedVersion="8" minRefreshableVersion="3" recordCount="994" xr:uid="{1A877552-6A30-402E-99DA-1DC8A7EA0AB8}">
  <cacheSource type="worksheet">
    <worksheetSource ref="M1:M1048576" sheet="Report data"/>
  </cacheSource>
  <cacheFields count="1">
    <cacheField name="Status" numFmtId="0">
      <sharedItems containsBlank="1" count="4">
        <s v="IN TRANSIT"/>
        <s v="EXCEPTION"/>
        <s v="DELIVER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4">
  <r>
    <s v="DSD118248"/>
    <d v="2023-09-29T00:00:00"/>
    <s v="330222625:0830337468"/>
    <m/>
    <s v="7660221819 manual"/>
    <s v="HNXD"/>
    <s v="NACEX"/>
    <s v="607243961"/>
    <s v="SILFEO GENIEL CLIMATEQUE"/>
    <s v="RUE NOURISSAT 6"/>
    <s v="21000"/>
    <x v="0"/>
    <x v="0"/>
  </r>
  <r>
    <s v="DSD119050"/>
    <d v="2023-10-06T00:00:00"/>
    <s v="expansion valve KPI"/>
    <s v="NGUYEN"/>
    <s v="Joan Lopez WARRAN"/>
    <s v="HSTD"/>
    <s v="NACEX"/>
    <s v="DSD119050"/>
    <s v="HITACHI"/>
    <s v="GRAN VIA DE CARLES III, 86,5-1"/>
    <s v="08028"/>
    <x v="1"/>
    <x v="1"/>
  </r>
  <r>
    <s v="DSD119004"/>
    <d v="2023-10-06T00:00:00"/>
    <s v="330237153:0830369182"/>
    <s v="WC SAV BARBET"/>
    <s v="510146345"/>
    <s v="HNXD"/>
    <s v="NACEX"/>
    <s v="607245914"/>
    <s v="ECO'PRESTIGE"/>
    <s v="32 RUE DU KROEMENHOU"/>
    <s v="59180"/>
    <x v="0"/>
    <x v="2"/>
  </r>
  <r>
    <s v="DSD119006"/>
    <d v="2023-10-06T00:00:00"/>
    <s v="330237150:0830369181"/>
    <s v="WC246320 G/NT/LAV"/>
    <s v="510146341"/>
    <s v="HNXD"/>
    <s v="TNT"/>
    <s v="607245928"/>
    <s v="SOLIPAC"/>
    <s v="13 RUE D ARSONVAL"/>
    <s v="69680"/>
    <x v="0"/>
    <x v="1"/>
  </r>
  <r>
    <s v="DSD119008"/>
    <d v="2023-10-06T00:00:00"/>
    <s v="330237148:0830369180"/>
    <s v="WC246421 EHS 56-"/>
    <s v="510146331"/>
    <s v="HNXD"/>
    <s v="TNT"/>
    <s v="607245931"/>
    <s v="ENGIE HOME SERVICES"/>
    <s v="595 Rue Jacques Ange"/>
    <s v="56850"/>
    <x v="0"/>
    <x v="1"/>
  </r>
  <r>
    <s v="DSD119010"/>
    <d v="2023-10-06T00:00:00"/>
    <s v="330237146:0830369179"/>
    <s v="WC246468 EHS BRET"/>
    <s v="510146305"/>
    <s v="HNXD"/>
    <s v="TNT"/>
    <s v="607245945"/>
    <s v="ENGIE HOME SERVICES"/>
    <s v="4 RUE RICHARD LENOIR"/>
    <s v="49000"/>
    <x v="0"/>
    <x v="0"/>
  </r>
  <r>
    <s v="DSD119026"/>
    <d v="2023-10-06T00:00:00"/>
    <s v="330144086:0830358452"/>
    <s v="WC246320 G/NT/LAV"/>
    <s v="MANUAL"/>
    <s v="HSTD"/>
    <s v="TNT"/>
    <s v="607245959"/>
    <s v="CEGECLIM"/>
    <s v="ALLEE DES PRES"/>
    <s v="64000"/>
    <x v="0"/>
    <x v="1"/>
  </r>
  <r>
    <s v="DSD119045"/>
    <d v="2023-10-06T00:00:00"/>
    <s v="330230662 RE"/>
    <s v="WC246326 NGUYEN"/>
    <s v="7660223560"/>
    <s v="HSTD"/>
    <s v="TNT"/>
    <s v="607245980"/>
    <s v="PATINET SAS"/>
    <s v="RUE ALEXIS DE TOCQUEVILLE"/>
    <s v="51100"/>
    <x v="0"/>
    <x v="1"/>
  </r>
  <r>
    <s v="DSD119056"/>
    <d v="2023-10-06T00:00:00"/>
    <s v="330168791 RE"/>
    <s v="NGUYEN"/>
    <s v="7660215562"/>
    <s v="HSTD"/>
    <s v="TNT"/>
    <s v="607245993"/>
    <s v="DIMOTRANS"/>
    <s v="29 RUE DES CHAPELLES"/>
    <s v="38070"/>
    <x v="0"/>
    <x v="2"/>
  </r>
  <r>
    <s v="DSD118996"/>
    <d v="2023-10-06T00:00:00"/>
    <s v="330194367:0830369209"/>
    <s v="23000324"/>
    <s v="7670014134"/>
    <s v="HNXD"/>
    <s v="UPS"/>
    <s v="1Z1V47910445054017"/>
    <s v="HD KLIMAATSYSTEMEN B"/>
    <s v="CARNEOOL ,400"/>
    <s v="3316 KC"/>
    <x v="2"/>
    <x v="2"/>
  </r>
  <r>
    <s v="DSD119038"/>
    <d v="2023-10-06T00:00:00"/>
    <s v="330237119:0830369176"/>
    <m/>
    <s v="560021733 MANUAL"/>
    <s v="HNXD"/>
    <s v="UPS"/>
    <s v="1Z1V47910444499629"/>
    <s v="CLIMASERVICE S.R.L."/>
    <s v="VIA ARGINE SINISTRO"/>
    <s v="18100"/>
    <x v="3"/>
    <x v="2"/>
  </r>
  <r>
    <s v="DSD119028"/>
    <d v="2023-10-06T00:00:00"/>
    <s v="330226275 RE"/>
    <s v="WC246004 ECO UP"/>
    <s v="7660223111"/>
    <s v="HNXD"/>
    <s v="UPS"/>
    <s v="607245962"/>
    <s v="AXIMA CONCEPT"/>
    <s v="ZAE FONT DE LA BANQUIERE"/>
    <s v="34874"/>
    <x v="0"/>
    <x v="2"/>
  </r>
  <r>
    <s v="DSD119036"/>
    <d v="2023-10-06T00:00:00"/>
    <s v="330229602 RE"/>
    <s v="CDC127011 AB0065"/>
    <s v="7660223442"/>
    <s v="HNXD"/>
    <s v="TNT"/>
    <s v="607245976"/>
    <s v="AQUITEC FROID COURRET"/>
    <s v="ZI Peyremail Sud"/>
    <s v="47110"/>
    <x v="0"/>
    <x v="2"/>
  </r>
  <r>
    <s v="DSD119058"/>
    <d v="2023-10-09T00:00:00"/>
    <s v="330237395:0830369703"/>
    <s v="WC246472 G/LANGAG"/>
    <s v="510146344"/>
    <s v="HNXD"/>
    <s v="TNT"/>
    <n v="607246000"/>
    <s v="SOLIPAC"/>
    <s v="2510 AV DE MAURIN"/>
    <s v="34070"/>
    <x v="0"/>
    <x v="2"/>
  </r>
  <r>
    <s v="DSD119060"/>
    <d v="2023-10-09T00:00:00"/>
    <s v="330237396:0830369704"/>
    <s v="WC KLAINE"/>
    <s v="510146346"/>
    <s v="HNXD"/>
    <s v="TNT"/>
    <n v="607246013"/>
    <s v="AIR CONFORT SERVICE"/>
    <s v="19 rue du Bois de la"/>
    <s v="91480"/>
    <x v="0"/>
    <x v="2"/>
  </r>
  <r>
    <s v="DSD119062"/>
    <d v="2023-10-09T00:00:00"/>
    <s v="330237397:0830369705"/>
    <s v="WC RAC-50NP SALMO"/>
    <s v="510146356"/>
    <s v="HNXD"/>
    <s v="TNT"/>
    <n v="607246027"/>
    <s v="CPC"/>
    <s v="7 RUE DE FONTENAY"/>
    <s v="28110"/>
    <x v="0"/>
    <x v="2"/>
  </r>
  <r>
    <s v="DSD119066"/>
    <d v="2023-10-09T00:00:00"/>
    <s v="330221602:0830370340"/>
    <s v="CA2i230911002"/>
    <s v="7660222549"/>
    <s v="HSTD"/>
    <s v="TNT"/>
    <n v="607246035"/>
    <s v="AIR INNOVATION INDUS"/>
    <s v="ZAC DES TOURELLES"/>
    <s v="30111"/>
    <x v="0"/>
    <x v="2"/>
  </r>
  <r>
    <s v="DSD119118"/>
    <d v="2023-10-09T00:00:00"/>
    <s v="330237919:0830370358"/>
    <s v="WC 9691"/>
    <s v="560021877"/>
    <s v="HNXD"/>
    <s v="UPS"/>
    <s v="1Z1V47910444833847"/>
    <s v="CLIMA LOGIC SRL"/>
    <s v="CLIMA LOGIC SRL"/>
    <s v="26030"/>
    <x v="3"/>
    <x v="2"/>
  </r>
  <r>
    <s v="DSD119120"/>
    <d v="2023-10-09T00:00:00"/>
    <s v="330237913:0830370354"/>
    <s v="WC 9690"/>
    <s v="560021879"/>
    <s v="HNXD"/>
    <s v="UPS"/>
    <s v="1Z1V47910443922458"/>
    <s v="SPECIALE GAS"/>
    <s v="GENNARO MARASCO"/>
    <s v="80014"/>
    <x v="3"/>
    <x v="2"/>
  </r>
  <r>
    <s v="DSD119122"/>
    <d v="2023-10-09T00:00:00"/>
    <s v="330237910:0830370351"/>
    <s v="WC 9689"/>
    <s v="560021875"/>
    <s v="HNXD"/>
    <s v="UPS"/>
    <s v="1Z1V47910443092060"/>
    <s v="VECTA SRL"/>
    <s v="VECTA SRL"/>
    <s v="34127"/>
    <x v="3"/>
    <x v="2"/>
  </r>
  <r>
    <s v="DSD119124"/>
    <d v="2023-10-09T00:00:00"/>
    <s v="330237911:0830370352"/>
    <s v="WC 9705"/>
    <s v="560021876"/>
    <s v="HNXD"/>
    <s v="UPS"/>
    <s v="1Z1V47910444442671"/>
    <s v="BASSO &amp; RIVAGLI SRL"/>
    <s v="BASSO &amp; RIVAGLI SRL"/>
    <s v="31010"/>
    <x v="3"/>
    <x v="2"/>
  </r>
  <r>
    <s v="DSD119126"/>
    <d v="2023-10-09T00:00:00"/>
    <s v="330237917:0830370356"/>
    <s v="WC 9681"/>
    <s v="560021888"/>
    <s v="HNXD"/>
    <s v="UPS"/>
    <s v="1Z1V47910444074284"/>
    <s v="BM SERVICE"/>
    <s v="BM SERVICE S.N.C. DI"/>
    <s v="58100"/>
    <x v="3"/>
    <x v="2"/>
  </r>
  <r>
    <s v="DSD119128"/>
    <d v="2023-10-09T00:00:00"/>
    <s v="330237921:0830370360"/>
    <s v="WC 9703"/>
    <s v="560021883"/>
    <s v="HNXD"/>
    <s v="UPS"/>
    <s v="1Z1V47910444086897"/>
    <s v="CLIMA LOGIC SRL"/>
    <s v="CLIMA LOGIC SRL"/>
    <s v="26030"/>
    <x v="3"/>
    <x v="2"/>
  </r>
  <r>
    <s v="DSD119130"/>
    <d v="2023-10-09T00:00:00"/>
    <s v="330237916:0830370355"/>
    <s v="WC 9666"/>
    <s v="560021886"/>
    <s v="HNXD"/>
    <s v="UPS"/>
    <s v="1Z1V47910443580505"/>
    <s v="FURNARI SALVATORE"/>
    <s v="FURNARI SALVATORE"/>
    <s v="95047"/>
    <x v="3"/>
    <x v="2"/>
  </r>
  <r>
    <s v="DSD119132"/>
    <d v="2023-10-09T00:00:00"/>
    <s v="330237920:0830370359"/>
    <s v="WC 9692"/>
    <s v="560021880"/>
    <s v="HNXD"/>
    <s v="UPS"/>
    <s v="1Z1V47910444655110"/>
    <s v="CLIMA LOGIC SRL"/>
    <s v="CLIMA LOGIC SRL"/>
    <s v="26030"/>
    <x v="3"/>
    <x v="2"/>
  </r>
  <r>
    <s v="DSD119134"/>
    <d v="2023-10-09T00:00:00"/>
    <s v="330237912:0830370353"/>
    <s v="WC 9551"/>
    <s v="560021878"/>
    <s v="HNXD"/>
    <s v="UPS"/>
    <s v="1Z1V47910443410724"/>
    <s v="SPECIALE GAS"/>
    <s v="GENNARO MARASCO"/>
    <s v="80014"/>
    <x v="3"/>
    <x v="2"/>
  </r>
  <r>
    <s v="DSD119138"/>
    <d v="2023-10-09T00:00:00"/>
    <s v="330237922:0830370361"/>
    <s v="WC 9704"/>
    <s v="560021885"/>
    <s v="HSTD"/>
    <s v="TNT"/>
    <n v="607246044"/>
    <s v="CLIMA LOGIC SRL"/>
    <s v="CLIMA LOGIC SRL"/>
    <s v="26030"/>
    <x v="3"/>
    <x v="2"/>
  </r>
  <r>
    <s v="DSD119140"/>
    <d v="2023-10-09T00:00:00"/>
    <s v="330237918:0830370357"/>
    <s v="WC 9657"/>
    <s v="560021894"/>
    <s v="HNXD"/>
    <s v="UPS"/>
    <s v="1Z1V47910444947331"/>
    <s v="SECA IMPIANTI SRL"/>
    <s v="SECA IMPIANTI SRL T/"/>
    <s v="90011"/>
    <x v="3"/>
    <x v="2"/>
  </r>
  <r>
    <s v="DSD119142"/>
    <d v="2023-10-09T00:00:00"/>
    <s v="330237925:0830370364"/>
    <s v="WC 9683"/>
    <s v="560021895"/>
    <s v="HSTD"/>
    <s v="TNT"/>
    <n v="607246058"/>
    <s v="A.R.D.A. SERVICE SRL"/>
    <s v="A.R.D.A. SERVICE SRL"/>
    <s v="47843"/>
    <x v="3"/>
    <x v="2"/>
  </r>
  <r>
    <s v="DSD119164"/>
    <d v="2023-10-09T00:00:00"/>
    <s v="330237923:0830370362"/>
    <s v="WC 9577"/>
    <s v="560021887"/>
    <s v="HNXD"/>
    <s v="UPS"/>
    <s v="1Z1V47910445364941"/>
    <s v="C.S.T CLIMA SRL"/>
    <s v="C.S.T CLIMA SRL"/>
    <s v="16139"/>
    <x v="3"/>
    <x v="2"/>
  </r>
  <r>
    <s v="DSD119166"/>
    <d v="2023-10-09T00:00:00"/>
    <s v="330212852:0830317781"/>
    <m/>
    <s v="7710003234 manual"/>
    <s v="HNXD"/>
    <s v="TNT"/>
    <n v="607246089"/>
    <s v="UNITHERM HEATING SYSTEMS"/>
    <s v="UNIT 9 BALLYBRIT BUSINESS PARK"/>
    <s v="H91 FW1H"/>
    <x v="4"/>
    <x v="2"/>
  </r>
  <r>
    <s v="DSD119170"/>
    <d v="2023-10-09T00:00:00"/>
    <s v="330237924:0830370363"/>
    <s v="WC 9682"/>
    <s v="560021890"/>
    <s v="HNXD"/>
    <s v="UPS"/>
    <s v="1Z1V47910443763559"/>
    <s v="A.R.D.A. SERVICE SRL"/>
    <s v="A.R.D.A. SERVICE SRL"/>
    <s v="47843"/>
    <x v="3"/>
    <x v="2"/>
  </r>
  <r>
    <s v="DSD119144"/>
    <d v="2023-10-10T00:00:00"/>
    <s v="330215982:0830370369"/>
    <s v="PO064315"/>
    <s v="7680019654"/>
    <s v="HNXD"/>
    <s v="DHL"/>
    <s v="7137953071"/>
    <s v="HAWCO LTD"/>
    <s v="8 CRANFIELD ROAD"/>
    <s v="BL6 4SB"/>
    <x v="5"/>
    <x v="2"/>
  </r>
  <r>
    <s v="DSD119204"/>
    <d v="2023-10-10T00:00:00"/>
    <s v="330236965:0830369065"/>
    <m/>
    <s v="SW20231005"/>
    <s v="HSTD"/>
    <s v="TNT"/>
    <s v="607246092"/>
    <s v="JOHNSON CONTROLS HITACHI AIR CON EU"/>
    <s v="2 RUE DE LOMBARDIE"/>
    <s v="69800"/>
    <x v="0"/>
    <x v="2"/>
  </r>
  <r>
    <s v="DSD119206"/>
    <d v="2023-10-10T00:00:00"/>
    <s v="330231784:0830370756"/>
    <s v="ESPM232694"/>
    <s v="7700034347"/>
    <s v="HNXD"/>
    <s v="NACEX"/>
    <s v="DSD119206"/>
    <s v="ESPACIOGEO-BOX ANCIN"/>
    <s v="CARRETERA DE MADRID 152"/>
    <s v="36318"/>
    <x v="1"/>
    <x v="2"/>
  </r>
  <r>
    <s v="DSD119236"/>
    <d v="2023-10-10T00:00:00"/>
    <s v="330222647:0830346584"/>
    <m/>
    <s v="7690046769 manual"/>
    <s v="HSTD"/>
    <s v="TNT"/>
    <s v="607246101"/>
    <s v="ABB S.A."/>
    <s v="13 TH KM NATIONAL ROAD ATHENS-LAMIA"/>
    <s v="144 52"/>
    <x v="6"/>
    <x v="2"/>
  </r>
  <r>
    <s v="DSD119242"/>
    <d v="2023-10-10T00:00:00"/>
    <s v="330220468:0830370366"/>
    <m/>
    <s v="7660222391 MANUAL"/>
    <s v="HNXD"/>
    <s v="TNT"/>
    <s v="607246115"/>
    <s v="HM GROUP"/>
    <s v="7 BOULEVARD PIERRE LEFAUCHEUX"/>
    <s v="72100"/>
    <x v="0"/>
    <x v="2"/>
  </r>
  <r>
    <s v="DSD119296"/>
    <d v="2023-10-10T00:00:00"/>
    <s v="330026818:0830042943"/>
    <m/>
    <s v="7660180378 re"/>
    <s v="HSTD"/>
    <s v="TNT"/>
    <n v="607246129"/>
    <s v="ETM"/>
    <s v="RN193"/>
    <s v="20600"/>
    <x v="0"/>
    <x v="2"/>
  </r>
  <r>
    <s v="DSD119302"/>
    <d v="2023-10-10T00:00:00"/>
    <s v="330230786:0830371027"/>
    <s v="23-120"/>
    <s v="7690046997"/>
    <s v="HNXD"/>
    <s v="UPS"/>
    <s v="1Z1V47910445243161"/>
    <s v="SICOND SRL"/>
    <s v="VIA 24 MAGGIO 4"/>
    <s v="20021"/>
    <x v="3"/>
    <x v="2"/>
  </r>
  <r>
    <s v="DSD119324"/>
    <d v="2023-10-10T00:00:00"/>
    <s v="330237593:0830371246"/>
    <s v="WC 9697"/>
    <s v="560021892"/>
    <s v="HNXD"/>
    <s v="UPS"/>
    <s v="1Z1V47910445903779"/>
    <s v="RALLO SERVICE SRL"/>
    <s v="RALLO SERVICE SRL"/>
    <s v="91026"/>
    <x v="3"/>
    <x v="2"/>
  </r>
  <r>
    <s v="DSD119396"/>
    <d v="2023-10-11T00:00:00"/>
    <s v="330238786:0830372881"/>
    <s v="00100133-SAV RAM9"/>
    <s v="510146042"/>
    <s v="HNXD"/>
    <s v="TNT"/>
    <s v="607247169"/>
    <s v="MGLS"/>
    <s v="1993 AV JOSEPH VERNE"/>
    <s v="84810"/>
    <x v="0"/>
    <x v="2"/>
  </r>
  <r>
    <s v="DSD119398"/>
    <d v="2023-10-11T00:00:00"/>
    <s v="330238617:0830372771"/>
    <s v="mme montembault"/>
    <s v="510145974"/>
    <s v="HNXD"/>
    <s v="TNT"/>
    <s v="607247291"/>
    <s v="A2MCF"/>
    <s v="CHALLERIE"/>
    <s v="72210"/>
    <x v="0"/>
    <x v="2"/>
  </r>
  <r>
    <s v="DSD119400"/>
    <d v="2023-10-11T00:00:00"/>
    <s v="330238703:0830372823"/>
    <s v="CDC127540 E0094 S"/>
    <s v="510146236"/>
    <s v="HNXD"/>
    <s v="TNT"/>
    <s v="607247274"/>
    <s v="ENGIE HOME SERVICE P"/>
    <s v="142 BIS RUE DE LA GR"/>
    <s v="86000"/>
    <x v="0"/>
    <x v="2"/>
  </r>
  <r>
    <s v="DSD119402"/>
    <d v="2023-10-11T00:00:00"/>
    <s v="330238566:0830372700"/>
    <s v="WC-POULIQUEN"/>
    <s v="510146437"/>
    <s v="HNXD"/>
    <s v="TNT"/>
    <s v="607246407"/>
    <s v="HAC HITACHI"/>
    <s v="750 RUE MAYOR MONTRI"/>
    <s v="13854"/>
    <x v="0"/>
    <x v="2"/>
  </r>
  <r>
    <s v="DSD119404"/>
    <d v="2023-10-11T00:00:00"/>
    <s v="330238713:0830372829"/>
    <s v="WC LAUGEL"/>
    <s v="510146475"/>
    <s v="HNXD"/>
    <s v="TNT"/>
    <s v="607246163"/>
    <s v="LABEAUNE JMC"/>
    <s v="5 rue des artisans"/>
    <s v="68280"/>
    <x v="0"/>
    <x v="2"/>
  </r>
  <r>
    <s v="DSD119406"/>
    <d v="2023-10-11T00:00:00"/>
    <s v="330238555:0830372692"/>
    <s v="WC AMGARD"/>
    <s v="510146423"/>
    <s v="HSTD"/>
    <s v="TNT"/>
    <n v="607247331"/>
    <s v="JOSEPHSIMON"/>
    <s v="11 Rue Madame Royale"/>
    <s v="68330"/>
    <x v="0"/>
    <x v="2"/>
  </r>
  <r>
    <s v="DSD119408"/>
    <d v="2023-10-11T00:00:00"/>
    <s v="330238730:0830372839"/>
    <s v="00100133-SAV RAM9"/>
    <s v="510146153"/>
    <s v="HNXD"/>
    <s v="TNT"/>
    <s v="607247172"/>
    <s v="MGLS"/>
    <s v="1993 AV JOSEPH VERNE"/>
    <s v="84810"/>
    <x v="0"/>
    <x v="2"/>
  </r>
  <r>
    <s v="DSD119410"/>
    <d v="2023-10-11T00:00:00"/>
    <s v="330238717:0830372832"/>
    <s v="WC PAC SOLIDAIRE"/>
    <s v="510146485"/>
    <s v="HSTD"/>
    <s v="TNT"/>
    <s v="607246185"/>
    <s v="C CLIM"/>
    <s v="RUE DE DION BOUTON"/>
    <s v="26200"/>
    <x v="0"/>
    <x v="2"/>
  </r>
  <r>
    <s v="DSD119412"/>
    <d v="2023-10-11T00:00:00"/>
    <s v="330238560:0830372695"/>
    <s v="WC-PERFECTUBES"/>
    <s v="510146429"/>
    <s v="HNXD"/>
    <s v="TNT"/>
    <s v="607246194"/>
    <s v="HAC HITACHI"/>
    <s v="ZI DE L ARGILE VOIE"/>
    <s v="06370"/>
    <x v="0"/>
    <x v="2"/>
  </r>
  <r>
    <s v="DSD119414"/>
    <d v="2023-10-11T00:00:00"/>
    <s v="330238561:0830372696"/>
    <s v="WC-EHR"/>
    <s v="510146430"/>
    <s v="HNXD"/>
    <s v="TNT"/>
    <s v="607246203"/>
    <s v="HAC HITACHI"/>
    <s v="ZI DE L ARGILE VOIE"/>
    <s v="06370"/>
    <x v="0"/>
    <x v="2"/>
  </r>
  <r>
    <s v="DSD119416"/>
    <d v="2023-10-11T00:00:00"/>
    <s v="330238565:0830372699"/>
    <s v="WC-TRECCO"/>
    <s v="510146435"/>
    <s v="HSTD"/>
    <s v="TNT"/>
    <s v="607246217"/>
    <s v="HAC HITACHI"/>
    <s v="ZI DE L ARGILE VOIE"/>
    <s v="06370"/>
    <x v="0"/>
    <x v="2"/>
  </r>
  <r>
    <s v="DSD119418"/>
    <d v="2023-10-11T00:00:00"/>
    <s v="330238768:0830372870"/>
    <s v="WC-MR COUSIN"/>
    <s v="510146407"/>
    <s v="HNXD"/>
    <s v="TNT"/>
    <s v="607246225"/>
    <s v="H2C HITACHI"/>
    <s v="3 RUE LAVOISIER"/>
    <s v="45140"/>
    <x v="0"/>
    <x v="2"/>
  </r>
  <r>
    <s v="DSD119420"/>
    <d v="2023-10-11T00:00:00"/>
    <s v="330238705:0830372824"/>
    <s v="WC-MR LEBRET"/>
    <s v="510146459"/>
    <s v="HNXD"/>
    <s v="TNT"/>
    <s v="607246234"/>
    <s v="HAC HITACHI"/>
    <s v="420 ROUTE DE LA FORE"/>
    <s v="18500"/>
    <x v="0"/>
    <x v="2"/>
  </r>
  <r>
    <s v="DSD119422"/>
    <d v="2023-10-11T00:00:00"/>
    <s v="330238709:0830372827"/>
    <s v="WC LE ROI SOLAIRE"/>
    <s v="510146478"/>
    <s v="HNXD"/>
    <s v="TNT"/>
    <s v="607246248"/>
    <s v="C CLIM"/>
    <s v="RUE DE DION BOUTON"/>
    <s v="26200"/>
    <x v="0"/>
    <x v="2"/>
  </r>
  <r>
    <s v="DSD119424"/>
    <d v="2023-10-11T00:00:00"/>
    <s v="330238631:0830372783"/>
    <s v="WC"/>
    <s v="510146421"/>
    <s v="HNXD"/>
    <s v="TNT"/>
    <s v="607246251"/>
    <s v="AUVERFROID"/>
    <s v="13 RUE BERNARD PALIS"/>
    <s v="63540"/>
    <x v="0"/>
    <x v="2"/>
  </r>
  <r>
    <s v="DSD119426"/>
    <d v="2023-10-11T00:00:00"/>
    <s v="330238632:0830372784"/>
    <s v="WC-RIDET"/>
    <s v="510146422"/>
    <s v="HNXD"/>
    <s v="TNT"/>
    <s v="607246265"/>
    <s v="ATELIER 144"/>
    <s v="23 bis rue de la Vig"/>
    <s v="18800"/>
    <x v="0"/>
    <x v="2"/>
  </r>
  <r>
    <s v="DSD119428"/>
    <d v="2023-10-11T00:00:00"/>
    <s v="330238594:0830372718"/>
    <s v="CDC127229 S0098 S"/>
    <s v="510145940"/>
    <s v="HSTD"/>
    <s v="TNT"/>
    <s v="607247115"/>
    <s v="SAS SCARLET LAMARQUE"/>
    <s v="210 Av Georges Cleme"/>
    <s v="40100"/>
    <x v="0"/>
    <x v="2"/>
  </r>
  <r>
    <s v="DSD119430"/>
    <d v="2023-10-11T00:00:00"/>
    <s v="330238607:0830372764"/>
    <s v="SAVC Julien QUEUD"/>
    <s v="510146051"/>
    <s v="HNXD"/>
    <s v="TNT"/>
    <s v="607247243"/>
    <s v="PH ENERGIES"/>
    <s v="318 Avenue des Digue"/>
    <s v="14123"/>
    <x v="0"/>
    <x v="2"/>
  </r>
  <r>
    <s v="DSD119432"/>
    <d v="2023-10-11T00:00:00"/>
    <s v="330238582:0830372708"/>
    <s v="00100200-SAV VABR"/>
    <s v="510146001"/>
    <s v="HSTD"/>
    <s v="TNT"/>
    <s v="607246282"/>
    <s v="LE ROI SOLAIRE SARL"/>
    <s v="70 IMPASSE DE LA ZON"/>
    <s v="26790"/>
    <x v="0"/>
    <x v="2"/>
  </r>
  <r>
    <s v="DSD119434"/>
    <d v="2023-10-11T00:00:00"/>
    <s v="330238623:0830372776"/>
    <s v="00100196-SAV 2120"/>
    <s v="510145994"/>
    <s v="HNXD"/>
    <s v="TNT"/>
    <s v="607247305"/>
    <s v="ENGIE TOULON"/>
    <s v="AV DES FRERES LUMIER"/>
    <s v="83160"/>
    <x v="0"/>
    <x v="2"/>
  </r>
  <r>
    <s v="DSD119436"/>
    <d v="2023-10-11T00:00:00"/>
    <s v="330238577:0830372704"/>
    <s v="WC ARC INTERNATI"/>
    <s v="510146456"/>
    <s v="HNXD"/>
    <s v="TNT"/>
    <s v="607246305"/>
    <s v="AXIMA REFRIGERATION"/>
    <s v="31H ROUTE DE WATTEN"/>
    <s v="62910"/>
    <x v="0"/>
    <x v="2"/>
  </r>
  <r>
    <s v="DSD119438"/>
    <d v="2023-10-11T00:00:00"/>
    <s v="330238794:0830372886"/>
    <s v="CF43086"/>
    <s v="510145928"/>
    <s v="HNXD"/>
    <s v="TNT"/>
    <s v="607247230"/>
    <s v="QUERU DISTRIBUTION S"/>
    <s v="RUE PIERRE MARTIN ,3"/>
    <s v="72100"/>
    <x v="0"/>
    <x v="2"/>
  </r>
  <r>
    <s v="DSD119440"/>
    <d v="2023-10-11T00:00:00"/>
    <s v="330238581:0830372707"/>
    <s v="00100199-SAV ROCC"/>
    <s v="510146000"/>
    <s v="HNXD"/>
    <s v="TNT"/>
    <s v="607247288"/>
    <s v="DEAL ECO"/>
    <s v="22 RUE AMPERE"/>
    <s v="17139"/>
    <x v="0"/>
    <x v="2"/>
  </r>
  <r>
    <s v="DSD119442"/>
    <d v="2023-10-11T00:00:00"/>
    <s v="330238715:0830372830"/>
    <s v="WC URGENT V2"/>
    <s v="510146483"/>
    <s v="HNXD"/>
    <s v="TNT"/>
    <s v="607246319"/>
    <s v="THERMACLIM"/>
    <s v="75 RUE DE L HOTEL D"/>
    <s v="54260"/>
    <x v="0"/>
    <x v="2"/>
  </r>
  <r>
    <s v="DSD119444"/>
    <d v="2023-10-11T00:00:00"/>
    <s v="330238748:0830372850"/>
    <s v="6712-NJ TECH - BE"/>
    <s v="510146206"/>
    <s v="HNXD"/>
    <s v="TNT"/>
    <s v="607247141"/>
    <s v="BO2"/>
    <s v="1 Rue Gabriel Lippma"/>
    <s v="71100"/>
    <x v="0"/>
    <x v="2"/>
  </r>
  <r>
    <s v="DSD119448"/>
    <d v="2023-10-11T00:00:00"/>
    <s v="330238780:0830372878"/>
    <s v="CDC127214 C0090 S"/>
    <s v="510145912"/>
    <s v="HNXD"/>
    <s v="TNT"/>
    <s v="607247226"/>
    <s v="CANDAU"/>
    <s v="865 route dep 817"/>
    <s v="64270"/>
    <x v="0"/>
    <x v="2"/>
  </r>
  <r>
    <s v="DSD119450"/>
    <d v="2023-10-11T00:00:00"/>
    <s v="330238739:0830372845"/>
    <s v="00100234-SAV RAS4"/>
    <s v="510146186"/>
    <s v="HSTD"/>
    <s v="TNT"/>
    <s v="607246132"/>
    <s v="HAC MOUANS SARTOUX"/>
    <s v="Z.I. DE L ARGILE"/>
    <s v="06370"/>
    <x v="0"/>
    <x v="2"/>
  </r>
  <r>
    <s v="DSD119452"/>
    <d v="2023-10-11T00:00:00"/>
    <s v="330238716:0830372831"/>
    <s v="WC Pellet"/>
    <s v="510146484"/>
    <s v="HNXD"/>
    <s v="TNT"/>
    <s v="607246146"/>
    <s v="Fafin SASU"/>
    <s v="1582 CH des Coudelie"/>
    <s v="84250"/>
    <x v="0"/>
    <x v="2"/>
  </r>
  <r>
    <s v="DSD119454"/>
    <d v="2023-10-11T00:00:00"/>
    <s v="330238774:0830372874"/>
    <s v="CDC127258-AB0204-"/>
    <s v="510145956"/>
    <s v="HNXD"/>
    <s v="TNT"/>
    <s v="607247155"/>
    <s v="AIRSTOLL"/>
    <s v="21 rue de la Virvee"/>
    <s v="33240"/>
    <x v="0"/>
    <x v="2"/>
  </r>
  <r>
    <s v="DSD119460"/>
    <d v="2023-10-11T00:00:00"/>
    <s v="330238698:0830372819"/>
    <s v="00100261-11307 BG"/>
    <s v="510146223"/>
    <s v="HSTD"/>
    <s v="TNT"/>
    <s v="607247040"/>
    <s v="H2C"/>
    <s v="3 RUE LAVOISIER"/>
    <s v="45140"/>
    <x v="0"/>
    <x v="2"/>
  </r>
  <r>
    <s v="DSD119462"/>
    <d v="2023-10-11T00:00:00"/>
    <s v="330238602:0830372723"/>
    <s v="BC N°32321340"/>
    <s v="510146034"/>
    <s v="HNXD"/>
    <s v="TNT"/>
    <s v="607247212"/>
    <s v="SOCIETE ANONYME COMA"/>
    <s v="RUE FERREE CHALON SU"/>
    <s v="71530"/>
    <x v="0"/>
    <x v="2"/>
  </r>
  <r>
    <s v="DSD119464"/>
    <d v="2023-10-11T00:00:00"/>
    <s v="330238587:0830372712"/>
    <s v="carrefour issoire"/>
    <s v="510146105"/>
    <s v="HNXD"/>
    <s v="TNT"/>
    <s v="607247209"/>
    <s v="AZEOTROPE"/>
    <s v="RUE DIEUDONNE COSTES"/>
    <s v="63800"/>
    <x v="0"/>
    <x v="2"/>
  </r>
  <r>
    <s v="DSD119468"/>
    <d v="2023-10-11T00:00:00"/>
    <s v="330238625:0830372778"/>
    <s v="WC245374 RODRIGUE"/>
    <s v="510146389"/>
    <s v="HNXD"/>
    <s v="TNT"/>
    <s v="607246279"/>
    <s v="SERCLIM"/>
    <s v="431 ROUTE DE NARBONN"/>
    <s v="11890"/>
    <x v="0"/>
    <x v="2"/>
  </r>
  <r>
    <s v="DSD119470"/>
    <d v="2023-10-11T00:00:00"/>
    <s v="330238616:0830372770"/>
    <s v="00100181-SAV 2553"/>
    <s v="510145971"/>
    <s v="HNXD"/>
    <s v="TNT"/>
    <s v="607247190"/>
    <s v="COMETH SOMOCLIM"/>
    <s v="1 PLACE DU CASINO"/>
    <s v="98000"/>
    <x v="0"/>
    <x v="2"/>
  </r>
  <r>
    <s v="DSD119472"/>
    <d v="2023-10-11T00:00:00"/>
    <s v="330238736:0830372842"/>
    <s v="6726-TTBE"/>
    <s v="510146176"/>
    <s v="HNXD"/>
    <s v="TNT"/>
    <s v="607247138"/>
    <s v="TTBE"/>
    <s v="8 TER ROUTE DE BRASS"/>
    <s v="58140"/>
    <x v="0"/>
    <x v="2"/>
  </r>
  <r>
    <s v="DSD119474"/>
    <d v="2023-10-11T00:00:00"/>
    <s v="330238628:0830372781"/>
    <s v="WC PIERRE"/>
    <s v="510146415"/>
    <s v="HSTD"/>
    <s v="TNT"/>
    <s v="607246296"/>
    <s v="OZIL SAS"/>
    <s v="459 RUE DE L INDUSTR"/>
    <s v="01390"/>
    <x v="0"/>
    <x v="2"/>
  </r>
  <r>
    <s v="DSD119476"/>
    <d v="2023-10-11T00:00:00"/>
    <s v="330238777:0830372876"/>
    <s v="w008833"/>
    <s v="510145950"/>
    <s v="HNXD"/>
    <s v="TNT"/>
    <s v="607247186"/>
    <s v="yann FARYS"/>
    <s v="914 Route des tivill"/>
    <s v="74370"/>
    <x v="0"/>
    <x v="2"/>
  </r>
  <r>
    <s v="DSD119478"/>
    <d v="2023-10-11T00:00:00"/>
    <s v="330238791:0830372884"/>
    <s v="00100177-11288"/>
    <s v="510145967"/>
    <s v="HNXD"/>
    <s v="TNT"/>
    <s v="607246322"/>
    <s v="EQUIPEMENT TECHNIQUE"/>
    <s v="7 RUE DU SOUVENIR"/>
    <s v="89600"/>
    <x v="0"/>
    <x v="2"/>
  </r>
  <r>
    <s v="DSD119480"/>
    <d v="2023-10-11T00:00:00"/>
    <s v="330238772:0830372873"/>
    <s v="C2309221 HYD 59BC"/>
    <s v="510146008"/>
    <s v="HNXD"/>
    <s v="TNT"/>
    <s v="607247257"/>
    <s v="HYDECLIM LILLE"/>
    <s v="16 RUE DES CHAMPS"/>
    <s v="59650"/>
    <x v="0"/>
    <x v="2"/>
  </r>
  <r>
    <s v="DSD119484"/>
    <d v="2023-10-11T00:00:00"/>
    <s v="330238562:0830372697"/>
    <s v="WC-YESSS ELECTRIQ"/>
    <s v="510146432"/>
    <s v="HSTD"/>
    <s v="TNT"/>
    <s v="607246336"/>
    <s v="HAC HITACHI"/>
    <s v="ZI DE L ARGILE VOIE"/>
    <s v="06370"/>
    <x v="0"/>
    <x v="2"/>
  </r>
  <r>
    <s v="DSD119486"/>
    <d v="2023-10-11T00:00:00"/>
    <s v="330238558:0830372694"/>
    <s v="WC SAV BARBET"/>
    <s v="510146427"/>
    <s v="HNXD"/>
    <s v="TNT"/>
    <s v="607246384"/>
    <s v="ECO PRESTIGE"/>
    <s v="6 RUE DES SAVEURS"/>
    <s v="59180"/>
    <x v="0"/>
    <x v="2"/>
  </r>
  <r>
    <s v="DSD119488"/>
    <d v="2023-10-11T00:00:00"/>
    <s v="330238592:0830372717"/>
    <s v="CDE 6707-RCONFORT"/>
    <s v="510145931"/>
    <s v="HNXD"/>
    <s v="TNT"/>
    <s v="607247362"/>
    <s v="R CONFORT"/>
    <s v="53 RUE NEIL AMSTRONG"/>
    <s v="38420"/>
    <x v="0"/>
    <x v="2"/>
  </r>
  <r>
    <s v="DSD119490"/>
    <d v="2023-10-11T00:00:00"/>
    <s v="330238767:0830372869"/>
    <s v="WC"/>
    <s v="510146408"/>
    <s v="HNXD"/>
    <s v="TNT"/>
    <s v="607246398"/>
    <s v="DFS"/>
    <s v="103 AVENUE DES NOELL"/>
    <s v="44500"/>
    <x v="0"/>
    <x v="2"/>
  </r>
  <r>
    <s v="DSD119492"/>
    <d v="2023-10-11T00:00:00"/>
    <s v="330238621:0830372775"/>
    <s v="00100195-11291 HT"/>
    <s v="510145993"/>
    <s v="HNXD"/>
    <s v="TNT"/>
    <s v="607247328"/>
    <s v="H2C"/>
    <s v="3 RUE LAVOISIER"/>
    <s v="45140"/>
    <x v="0"/>
    <x v="2"/>
  </r>
  <r>
    <s v="DSD119498"/>
    <d v="2023-10-11T00:00:00"/>
    <s v="330238696:0830372817"/>
    <s v="D2m"/>
    <s v="510146023"/>
    <s v="HSTD"/>
    <s v="TNT"/>
    <s v="607247053"/>
    <s v="PATINET SAS"/>
    <s v="RUE ALEXIS DE TOCQUE"/>
    <s v="51100"/>
    <x v="0"/>
    <x v="2"/>
  </r>
  <r>
    <s v="DSD119500"/>
    <d v="2023-10-11T00:00:00"/>
    <s v="330238572:0830372702"/>
    <s v="WC-MOUSSA T#10996"/>
    <s v="510146446"/>
    <s v="HNXD"/>
    <s v="TNT"/>
    <s v="607246375"/>
    <s v="HAC HITACHI"/>
    <s v="225 BIS AVENUE PIERR"/>
    <s v="06700"/>
    <x v="0"/>
    <x v="2"/>
  </r>
  <r>
    <s v="DSD119504"/>
    <d v="2023-10-11T00:00:00"/>
    <s v="330238589:0830372714"/>
    <s v="SAUER"/>
    <s v="510146126"/>
    <s v="HNXD"/>
    <s v="TNT"/>
    <s v="607247036"/>
    <s v="ALSY SARL"/>
    <s v="436 RUE DE LA CHAPEL"/>
    <s v="69400"/>
    <x v="0"/>
    <x v="2"/>
  </r>
  <r>
    <s v="DSD119512"/>
    <d v="2023-10-11T00:00:00"/>
    <s v="330238747:0830372849"/>
    <s v="courtin rougier"/>
    <s v="510146202"/>
    <s v="HNXD"/>
    <s v="TNT"/>
    <s v="607246415"/>
    <s v="SPC LALANDE"/>
    <s v="RUE DE CHAIX"/>
    <s v="16410"/>
    <x v="0"/>
    <x v="2"/>
  </r>
  <r>
    <s v="DSD119514"/>
    <d v="2023-10-11T00:00:00"/>
    <s v="330238586:0830372711"/>
    <s v="00100208-SAV RAC5"/>
    <s v="510146109"/>
    <s v="HNXD"/>
    <s v="TNT"/>
    <s v="607246424"/>
    <s v="H2C SLV"/>
    <s v="225BIS AVENUE PIERRE"/>
    <s v="06700"/>
    <x v="0"/>
    <x v="2"/>
  </r>
  <r>
    <s v="DSD119518"/>
    <d v="2023-10-11T00:00:00"/>
    <s v="330238766:0830372868"/>
    <s v="WC SAV VASSALLE"/>
    <s v="510146409"/>
    <s v="HNXD"/>
    <s v="TNT"/>
    <s v="607246438"/>
    <s v="ECO PRESTIGE"/>
    <s v="6 RUE DES SAVEURS"/>
    <s v="59180"/>
    <x v="0"/>
    <x v="2"/>
  </r>
  <r>
    <s v="DSD119520"/>
    <d v="2023-10-11T00:00:00"/>
    <s v="330238765:0830372867"/>
    <s v="wc"/>
    <s v="510146410"/>
    <s v="HNXD"/>
    <s v="TNT"/>
    <s v="607246490"/>
    <s v="PANI FROID"/>
    <s v="6 RUE ALBERIC CLEMEN"/>
    <s v="45680"/>
    <x v="0"/>
    <x v="2"/>
  </r>
  <r>
    <s v="DSD119522"/>
    <d v="2023-10-11T00:00:00"/>
    <s v="330238605:0830372762"/>
    <s v="BOUCHARD 280323"/>
    <s v="510146036"/>
    <s v="HNXD"/>
    <s v="TNT"/>
    <s v="607246455"/>
    <s v="ECOKLIMA"/>
    <s v="450 AVENUE BLAISE PA"/>
    <s v="77550"/>
    <x v="0"/>
    <x v="2"/>
  </r>
  <r>
    <s v="DSD119524"/>
    <d v="2023-10-11T00:00:00"/>
    <s v="330238750:0830372852"/>
    <s v="CDC127679 E0088 S"/>
    <s v="510146217"/>
    <s v="HNXD"/>
    <s v="TNT"/>
    <s v="607246469"/>
    <s v="EI ETIENNE CEDRIC"/>
    <s v="496 route d Angresse"/>
    <s v="40230"/>
    <x v="0"/>
    <x v="2"/>
  </r>
  <r>
    <s v="DSD119526"/>
    <d v="2023-10-11T00:00:00"/>
    <s v="330238624:0830372777"/>
    <s v="00100197-SAV RAC3"/>
    <s v="510145995"/>
    <s v="HNXD"/>
    <s v="TNT"/>
    <s v="607246472"/>
    <s v="CLIMOTELEC"/>
    <s v="29 BD DE LA MEDITERR"/>
    <s v="13015"/>
    <x v="0"/>
    <x v="2"/>
  </r>
  <r>
    <s v="DSD119528"/>
    <d v="2023-10-11T00:00:00"/>
    <s v="330238627:0830372780"/>
    <s v="WC EX IFSI"/>
    <s v="510146414"/>
    <s v="HNXD"/>
    <s v="TNT"/>
    <s v="607246509"/>
    <s v="HERVE THERMIQUE"/>
    <s v="9 RUE NICOLAS APPERT"/>
    <s v="55140"/>
    <x v="0"/>
    <x v="2"/>
  </r>
  <r>
    <s v="DSD119530"/>
    <d v="2023-10-11T00:00:00"/>
    <s v="330238749:0830372851"/>
    <s v="bailleau"/>
    <s v="510146215"/>
    <s v="HNXD"/>
    <s v="TNT"/>
    <s v="607247124"/>
    <s v="NGLM REFRIGERATION"/>
    <s v="21 ROUTE D ABONDANT"/>
    <s v="27710"/>
    <x v="0"/>
    <x v="2"/>
  </r>
  <r>
    <s v="DSD119532"/>
    <d v="2023-10-11T00:00:00"/>
    <s v="330238723:0830372834"/>
    <s v="Vipalux"/>
    <s v="510146482"/>
    <s v="HSTD"/>
    <s v="TNT"/>
    <s v="607246512"/>
    <s v="PATINET SAS"/>
    <s v="RUE ALEXIS DE TOCQUE"/>
    <s v="51100"/>
    <x v="0"/>
    <x v="2"/>
  </r>
  <r>
    <s v="DSD119534"/>
    <d v="2023-10-11T00:00:00"/>
    <s v="330238793:0830372885"/>
    <s v="LE CAME"/>
    <s v="510145929"/>
    <s v="HNXD"/>
    <s v="TNT"/>
    <s v="607247067"/>
    <s v="Mr LE CAME"/>
    <s v="132 RUE DE GERJUS"/>
    <s v="89340"/>
    <x v="0"/>
    <x v="2"/>
  </r>
  <r>
    <s v="DSD119538"/>
    <d v="2023-10-11T00:00:00"/>
    <s v="330238744:0830372848"/>
    <s v="00100246-SAV RAI2"/>
    <s v="510146197"/>
    <s v="HNXD"/>
    <s v="TNT"/>
    <s v="607246526"/>
    <s v="H2C AUBAGNE"/>
    <s v="AV. FONTFREGE"/>
    <s v="13420"/>
    <x v="0"/>
    <x v="2"/>
  </r>
  <r>
    <s v="DSD119540"/>
    <d v="2023-10-11T00:00:00"/>
    <s v="330238788:0830372882"/>
    <s v="TOTOT 08"/>
    <s v="510146007"/>
    <s v="HNXD"/>
    <s v="TNT"/>
    <s v="607246530"/>
    <s v="TOTOT PIERRE"/>
    <s v="45 RUE D'ORVAL"/>
    <s v="08370"/>
    <x v="0"/>
    <x v="2"/>
  </r>
  <r>
    <s v="DSD119542"/>
    <d v="2023-10-11T00:00:00"/>
    <s v="330238612:0830372767"/>
    <s v="CDC127416 C0008 S"/>
    <s v="510146073"/>
    <s v="HNXD"/>
    <s v="TNT"/>
    <s v="607246543"/>
    <s v="CGECLIM"/>
    <s v="17 RUE DE LA PLACE"/>
    <s v="33700"/>
    <x v="0"/>
    <x v="2"/>
  </r>
  <r>
    <s v="DSD119544"/>
    <d v="2023-10-11T00:00:00"/>
    <s v="330238708:0830372826"/>
    <s v="WC MR JEHN"/>
    <s v="510146473"/>
    <s v="HSTD"/>
    <s v="TNT"/>
    <s v="607246557"/>
    <s v="KRYSTAL FROID MACHI"/>
    <s v="2 ALLEE DES SOUCHES"/>
    <s v="78260"/>
    <x v="0"/>
    <x v="2"/>
  </r>
  <r>
    <s v="DSD119548"/>
    <d v="2023-10-11T00:00:00"/>
    <s v="330238726:0830372836"/>
    <s v="trait.com"/>
    <s v="510146098"/>
    <s v="HNXD"/>
    <s v="TNT"/>
    <s v="607246565"/>
    <s v="CLIMAT CONCEPT OCEAN"/>
    <s v="23 E ROUTE DE CLOCHE"/>
    <s v="33380"/>
    <x v="0"/>
    <x v="2"/>
  </r>
  <r>
    <s v="DSD119550"/>
    <d v="2023-10-11T00:00:00"/>
    <s v="330238583:0830372709"/>
    <s v="00100202-SAV BDC2"/>
    <s v="510146002"/>
    <s v="HNXD"/>
    <s v="TNT"/>
    <s v="607246574"/>
    <s v="H2C FREJUS"/>
    <s v="545 AVENUE DES LIONS"/>
    <s v="83600"/>
    <x v="0"/>
    <x v="2"/>
  </r>
  <r>
    <s v="DSD119552"/>
    <d v="2023-10-11T00:00:00"/>
    <s v="330238569:0830372701"/>
    <s v="WC Renault"/>
    <s v="510146439"/>
    <s v="HSTD"/>
    <s v="TNT"/>
    <s v="607246588"/>
    <s v="ETS Delpech"/>
    <s v="112 CHEMIN BELLE CRO"/>
    <s v="46000"/>
    <x v="0"/>
    <x v="2"/>
  </r>
  <r>
    <s v="DSD119554"/>
    <d v="2023-10-11T00:00:00"/>
    <s v="330238595:0830372719"/>
    <s v="CDC127236 L0020 S"/>
    <s v="510145945"/>
    <s v="HNXD"/>
    <s v="TNT"/>
    <s v="607246591"/>
    <s v="LARRIPA"/>
    <s v="Espace du Golf"/>
    <s v="64200"/>
    <x v="0"/>
    <x v="2"/>
  </r>
  <r>
    <s v="DSD119556"/>
    <d v="2023-10-11T00:00:00"/>
    <s v="330238734:0830372840"/>
    <s v="00100168-SAV RAD5"/>
    <s v="510146170"/>
    <s v="HSTD"/>
    <s v="TNT"/>
    <s v="607246605"/>
    <s v="H2C FREJUS"/>
    <s v="545 AVENUE DES LIONS"/>
    <s v="83600"/>
    <x v="0"/>
    <x v="2"/>
  </r>
  <r>
    <s v="DSD119558"/>
    <d v="2023-10-11T00:00:00"/>
    <s v="330238613:0830372768"/>
    <s v="CDC127421 L0004 S"/>
    <s v="510146078"/>
    <s v="HNXD"/>
    <s v="TNT"/>
    <s v="607246614"/>
    <s v="LABOUDIGUE DESLUX"/>
    <s v="2334 route de Sauvet"/>
    <s v="64300"/>
    <x v="0"/>
    <x v="2"/>
  </r>
  <r>
    <s v="DSD119560"/>
    <d v="2023-10-11T00:00:00"/>
    <s v="330238735:0830372841"/>
    <s v="00100170-8026"/>
    <s v="510146171"/>
    <s v="HNXD"/>
    <s v="TNT"/>
    <s v="607246628"/>
    <s v="MILLIOT JACQUEMART E"/>
    <s v="303 RUE DE L ARTISAN"/>
    <s v="59141"/>
    <x v="0"/>
    <x v="2"/>
  </r>
  <r>
    <s v="DSD119562"/>
    <d v="2023-10-11T00:00:00"/>
    <s v="330238557:0830372693"/>
    <s v="WC-BOYER LE CHEIX"/>
    <s v="510146425"/>
    <s v="HNXD"/>
    <s v="TNT"/>
    <s v="607246631"/>
    <s v="CF2C"/>
    <s v="2 RUE DES BEGONNES"/>
    <s v="63430"/>
    <x v="0"/>
    <x v="2"/>
  </r>
  <r>
    <s v="DSD119566"/>
    <d v="2023-10-11T00:00:00"/>
    <s v="330238579:0830372706"/>
    <s v="C2309249 HYD 44BC"/>
    <s v="510146086"/>
    <s v="HSTD"/>
    <s v="TNT"/>
    <s v="607246645"/>
    <s v="HYDECLIM TOURS"/>
    <s v="20 RUE LOUIS LUMIERE"/>
    <s v="37550"/>
    <x v="0"/>
    <x v="2"/>
  </r>
  <r>
    <s v="DSD119568"/>
    <d v="2023-10-11T00:00:00"/>
    <s v="330238585:0830372710"/>
    <s v="00100206-SAV RAI2"/>
    <s v="510146107"/>
    <s v="HNXD"/>
    <s v="TNT"/>
    <s v="607246659"/>
    <s v="H2C SLV"/>
    <s v="225BIS AVENUE PIERRE"/>
    <s v="06700"/>
    <x v="0"/>
    <x v="2"/>
  </r>
  <r>
    <s v="DSD119570"/>
    <d v="2023-10-11T00:00:00"/>
    <s v="330238626:0830372779"/>
    <s v="WC IME VAL D AJO"/>
    <s v="510146405"/>
    <s v="HSTD"/>
    <s v="TNT"/>
    <s v="607246662"/>
    <s v="SARL DENIS FOLKMANN"/>
    <s v="16 rue Leo Valentin"/>
    <s v="88000"/>
    <x v="0"/>
    <x v="2"/>
  </r>
  <r>
    <s v="DSD119572"/>
    <d v="2023-10-11T00:00:00"/>
    <s v="330238776:0830372875"/>
    <s v="6707-CPCFROID- CL"/>
    <s v="510145951"/>
    <s v="HNXD"/>
    <s v="TNT"/>
    <s v="607246676"/>
    <s v="CPC FROID"/>
    <s v="ZA LES BENOIT"/>
    <s v="71470"/>
    <x v="0"/>
    <x v="2"/>
  </r>
  <r>
    <s v="DSD119574"/>
    <d v="2023-10-11T00:00:00"/>
    <s v="330238729:0830372838"/>
    <s v="00100118-SAV RAS3"/>
    <s v="510146144"/>
    <s v="HSTD"/>
    <s v="TNT"/>
    <s v="607246693"/>
    <s v="H2C TOULON"/>
    <s v="CHEMIN G. VENTRE"/>
    <s v="83160"/>
    <x v="0"/>
    <x v="2"/>
  </r>
  <r>
    <s v="DSD119578"/>
    <d v="2023-10-11T00:00:00"/>
    <s v="330238619:0830372773"/>
    <s v="00100189-8030"/>
    <s v="510145987"/>
    <s v="HSTD"/>
    <s v="TNT"/>
    <s v="607246702"/>
    <s v="HERBILLON ET GOBINET"/>
    <s v="19BIS QUAI GALLIENI"/>
    <s v="02400"/>
    <x v="0"/>
    <x v="2"/>
  </r>
  <r>
    <s v="DSD119580"/>
    <d v="2023-10-11T00:00:00"/>
    <s v="330238596:0830372720"/>
    <s v="00100090-11268 YU"/>
    <s v="510145947"/>
    <s v="HNXD"/>
    <s v="TNT"/>
    <s v="607246716"/>
    <s v="H2C"/>
    <s v="3 RUE LAVOISIER"/>
    <s v="45140"/>
    <x v="0"/>
    <x v="2"/>
  </r>
  <r>
    <s v="DSD119582"/>
    <d v="2023-10-11T00:00:00"/>
    <s v="330238779:0830372877"/>
    <s v="CDC127216 CB0016"/>
    <s v="510145913"/>
    <s v="HNXD"/>
    <s v="TNT"/>
    <s v="607246720"/>
    <s v="CHAUD FROID SYSTEMES"/>
    <s v="1, Avenue de Mons"/>
    <s v="33360"/>
    <x v="0"/>
    <x v="2"/>
  </r>
  <r>
    <s v="DSD119584"/>
    <d v="2023-10-11T00:00:00"/>
    <s v="330238608:0830372765"/>
    <s v="18952"/>
    <s v="510146053"/>
    <s v="HSTD"/>
    <s v="TNT"/>
    <s v="607246733"/>
    <s v="SAFRICLIM"/>
    <s v="111 CHEMIN BERTHILLI"/>
    <s v="71850"/>
    <x v="0"/>
    <x v="2"/>
  </r>
  <r>
    <s v="DSD119586"/>
    <d v="2023-10-11T00:00:00"/>
    <s v="330238629:0830372782"/>
    <s v="WC - AGNES"/>
    <s v="510146416"/>
    <s v="HNXD"/>
    <s v="TNT"/>
    <s v="607246747"/>
    <s v="EDDIA CENTRE VAL DE"/>
    <s v="7 ALLEE COLETTE DUVA"/>
    <s v="37100"/>
    <x v="0"/>
    <x v="2"/>
  </r>
  <r>
    <s v="DSD119588"/>
    <d v="2023-10-11T00:00:00"/>
    <s v="330238615:0830372769"/>
    <s v="SAFAROV"/>
    <s v="510146096"/>
    <s v="HNXD"/>
    <s v="TNT"/>
    <s v="607246755"/>
    <s v="CNR"/>
    <s v="185 AVENUE D ARGENTO"/>
    <s v="36000"/>
    <x v="0"/>
    <x v="2"/>
  </r>
  <r>
    <s v="DSD119592"/>
    <d v="2023-10-11T00:00:00"/>
    <s v="330237151:0830373137"/>
    <s v="WC246149"/>
    <s v="510146342"/>
    <s v="HNXD"/>
    <s v="TNT"/>
    <s v="607246764"/>
    <s v="FACEO FM SUD OUEST"/>
    <s v="ZI n3"/>
    <s v="16340"/>
    <x v="0"/>
    <x v="2"/>
  </r>
  <r>
    <s v="DSD119594"/>
    <d v="2023-10-11T00:00:00"/>
    <s v="330231895:0830373136"/>
    <s v="WC246483 TFCE"/>
    <s v="7660223821"/>
    <s v="HNXD"/>
    <s v="TNT"/>
    <s v="607246778"/>
    <s v="EURO THERMIC DISTRIBUTION"/>
    <s v="ZI HEILLECOURT EST"/>
    <s v="54180"/>
    <x v="0"/>
    <x v="2"/>
  </r>
  <r>
    <s v="DSD119596"/>
    <d v="2023-10-11T00:00:00"/>
    <s v="330238741:0830372846"/>
    <s v="00100239-11303 PA"/>
    <s v="510146190"/>
    <s v="HNXD"/>
    <s v="TNT"/>
    <s v="607246781"/>
    <s v="H2C"/>
    <s v="3 RUE LAVOISIER"/>
    <s v="45140"/>
    <x v="0"/>
    <x v="2"/>
  </r>
  <r>
    <s v="DSD119598"/>
    <d v="2023-10-11T00:00:00"/>
    <s v="330238789:0830372883"/>
    <s v="00100097-SAV MAIR"/>
    <s v="510146004"/>
    <s v="HNXD"/>
    <s v="TNT"/>
    <s v="607246795"/>
    <s v="CLIMATIC SARL"/>
    <s v="212 IMP DES DELPHINI"/>
    <s v="83190"/>
    <x v="0"/>
    <x v="2"/>
  </r>
  <r>
    <s v="DSD119600"/>
    <d v="2023-10-11T00:00:00"/>
    <s v="330238611:0830372766"/>
    <s v="18964"/>
    <s v="510146062"/>
    <s v="HSTD"/>
    <s v="TNT"/>
    <s v="607246804"/>
    <s v="SAFRICLIM"/>
    <s v="111 CHEMIN BERTHILLI"/>
    <s v="71850"/>
    <x v="0"/>
    <x v="2"/>
  </r>
  <r>
    <s v="DSD119602"/>
    <d v="2023-10-11T00:00:00"/>
    <s v="330238699:0830372820"/>
    <s v="DURIS"/>
    <s v="510146224"/>
    <s v="HNXD"/>
    <s v="TNT"/>
    <s v="607246818"/>
    <s v="CNR"/>
    <s v="185 AVENUE D'ARGENTO"/>
    <s v="36000"/>
    <x v="0"/>
    <x v="2"/>
  </r>
  <r>
    <s v="DSD119604"/>
    <d v="2023-10-11T00:00:00"/>
    <s v="330238597:0830372721"/>
    <s v="00100094-SAV ST T"/>
    <s v="510145948"/>
    <s v="HNXD"/>
    <s v="TNT"/>
    <s v="607246821"/>
    <s v="CLARA DISTRIBUTION A"/>
    <s v="PARC MARSHAM"/>
    <s v="83310"/>
    <x v="0"/>
    <x v="2"/>
  </r>
  <r>
    <s v="DSD119606"/>
    <d v="2023-10-11T00:00:00"/>
    <s v="330238620:0830372774"/>
    <s v="00100193-SAV RAC5"/>
    <s v="510145992"/>
    <s v="HNXD"/>
    <s v="TNT"/>
    <s v="607246968"/>
    <s v="H2C AIX EN PROVENCE"/>
    <s v="750 RUE MAYOR MONTRI"/>
    <s v="13854"/>
    <x v="0"/>
    <x v="2"/>
  </r>
  <r>
    <s v="DSD119608"/>
    <d v="2023-10-11T00:00:00"/>
    <s v="330238712:0830372828"/>
    <s v="WC Mr Montagne"/>
    <s v="510146474"/>
    <s v="HNXD"/>
    <s v="TNT"/>
    <s v="607246985"/>
    <s v="Ljs Energie"/>
    <s v="Route de Cahors"/>
    <s v="46500"/>
    <x v="0"/>
    <x v="2"/>
  </r>
  <r>
    <s v="DSD119610"/>
    <d v="2023-10-11T00:00:00"/>
    <s v="330238769:0830372871"/>
    <s v="ALTGLAS"/>
    <s v="510146022"/>
    <s v="HNXD"/>
    <s v="TNT"/>
    <s v="607246852"/>
    <s v="POINT CLIM"/>
    <s v="81 QUAI DE LA MARNE"/>
    <s v="94340"/>
    <x v="0"/>
    <x v="2"/>
  </r>
  <r>
    <s v="DSD119612"/>
    <d v="2023-10-11T00:00:00"/>
    <s v="330238618:0830372772"/>
    <s v="00100185-8028"/>
    <s v="510145983"/>
    <s v="HNXD"/>
    <s v="TNT"/>
    <s v="607246866"/>
    <s v="H2C AGENCE DE LILLE"/>
    <s v="58 RUE LEON BLUM"/>
    <s v="59370"/>
    <x v="0"/>
    <x v="2"/>
  </r>
  <r>
    <s v="DSD119614"/>
    <d v="2023-10-11T00:00:00"/>
    <s v="330238795:0830372887"/>
    <s v="093091-MORISSET"/>
    <s v="510145919"/>
    <s v="HNXD"/>
    <s v="TNT"/>
    <s v="607246870"/>
    <s v="GEOFFROY &amp; FILS SARL"/>
    <s v="5 RUE SALVADOR ALLEN"/>
    <s v="79200"/>
    <x v="0"/>
    <x v="2"/>
  </r>
  <r>
    <s v="DSD119616"/>
    <d v="2023-10-11T00:00:00"/>
    <s v="330238751:0830372853"/>
    <s v="TDA"/>
    <s v="510146182"/>
    <s v="HNXD"/>
    <s v="TNT"/>
    <s v="607246883"/>
    <s v="PATINET SAS"/>
    <s v="RUE ALEXIS DE TOCQUE"/>
    <s v="51100"/>
    <x v="0"/>
    <x v="2"/>
  </r>
  <r>
    <s v="DSD119618"/>
    <d v="2023-10-11T00:00:00"/>
    <s v="330238601:0830372722"/>
    <s v="BONDUELLE"/>
    <s v="510146031"/>
    <s v="HSTD"/>
    <s v="TNT"/>
    <s v="607246897"/>
    <s v="FRIGECLIM SA"/>
    <s v="ZA DU GRAND BAN"/>
    <s v="08000"/>
    <x v="0"/>
    <x v="2"/>
  </r>
  <r>
    <s v="DSD119620"/>
    <d v="2023-10-11T00:00:00"/>
    <s v="330238576:0830372703"/>
    <s v="WC-Cury (S) T#110"/>
    <s v="510146455"/>
    <s v="HNXD"/>
    <s v="TNT"/>
    <s v="607246906"/>
    <s v="HAC HITACHI"/>
    <s v="ZI DE L ARGILE VOIE"/>
    <s v="06370"/>
    <x v="0"/>
    <x v="2"/>
  </r>
  <r>
    <s v="DSD119622"/>
    <d v="2023-10-11T00:00:00"/>
    <s v="330238738:0830372844"/>
    <s v="00100232-SAV RAC5"/>
    <s v="510146185"/>
    <s v="HNXD"/>
    <s v="TNT"/>
    <s v="607246910"/>
    <s v="H2C FREJUS"/>
    <s v="545 AVENUE DES LIONS"/>
    <s v="83600"/>
    <x v="0"/>
    <x v="2"/>
  </r>
  <r>
    <s v="DSD119624"/>
    <d v="2023-10-11T00:00:00"/>
    <s v="330238724:0830372835"/>
    <s v="00100237-11300 39"/>
    <s v="510146188"/>
    <s v="HNXD"/>
    <s v="TNT"/>
    <s v="607246923"/>
    <s v="ENGIE HOME SERVICES"/>
    <s v="26 RUE NICEPHORE NIE"/>
    <s v="45700"/>
    <x v="0"/>
    <x v="2"/>
  </r>
  <r>
    <s v="DSD119626"/>
    <d v="2023-10-11T00:00:00"/>
    <s v="330238785:0830372880"/>
    <s v="00100149-SAV UGO"/>
    <s v="510146079"/>
    <s v="HNXD"/>
    <s v="TNT"/>
    <s v="607246937"/>
    <s v="HAC MOUANS SARTOUX"/>
    <s v="Z.I. DE L ARGILE"/>
    <s v="06370"/>
    <x v="0"/>
    <x v="2"/>
  </r>
  <r>
    <s v="DSD119628"/>
    <d v="2023-10-11T00:00:00"/>
    <s v="330238588:0830372713"/>
    <s v="GOUHIER"/>
    <s v="510146123"/>
    <s v="HSTD"/>
    <s v="TNT"/>
    <s v="607246945"/>
    <s v="LES TECHNICIENS CONF"/>
    <s v="4 RUE DU LAITON"/>
    <s v="77176"/>
    <x v="0"/>
    <x v="2"/>
  </r>
  <r>
    <s v="DSD119630"/>
    <d v="2023-10-11T00:00:00"/>
    <s v="330238721:0830372833"/>
    <s v="mr malvoisin"/>
    <s v="510146620"/>
    <s v="HNXD"/>
    <s v="TNT"/>
    <s v="607246954"/>
    <s v="DAVY JEANNE"/>
    <s v="6 RUE DE LA COUTUREL"/>
    <s v="02110"/>
    <x v="0"/>
    <x v="2"/>
  </r>
  <r>
    <s v="DSD119632"/>
    <d v="2023-10-11T00:00:00"/>
    <s v="330238578:0830372705"/>
    <s v="w008835"/>
    <s v="510145953"/>
    <s v="HNXD"/>
    <s v="TNT"/>
    <s v="607246971"/>
    <s v="david PERON"/>
    <s v="28 RUE LOUIS PERON"/>
    <s v="29750"/>
    <x v="0"/>
    <x v="2"/>
  </r>
  <r>
    <s v="DSD119634"/>
    <d v="2023-10-11T00:00:00"/>
    <s v="330238606:0830372763"/>
    <s v="SAV ID ENERGIES C"/>
    <s v="510146039"/>
    <s v="HNXD"/>
    <s v="TNT"/>
    <s v="607246999"/>
    <s v="ID ENERGIES"/>
    <s v="ZA D ARMANVILLE"/>
    <s v="50700"/>
    <x v="0"/>
    <x v="2"/>
  </r>
  <r>
    <s v="DSD119636"/>
    <d v="2023-10-11T00:00:00"/>
    <s v="330238706:0830372825"/>
    <s v="WC Bistrot Saint"/>
    <s v="510146465"/>
    <s v="HNXD"/>
    <s v="TNT"/>
    <s v="607247005"/>
    <s v="BAJON"/>
    <s v="3-5 rue de la cartou"/>
    <s v="65000"/>
    <x v="0"/>
    <x v="2"/>
  </r>
  <r>
    <s v="DSD119638"/>
    <d v="2023-10-11T00:00:00"/>
    <s v="330159552:0830239791"/>
    <s v="WC-YESSS ELECTRIQ"/>
    <s v="7690044028"/>
    <s v="HSTD"/>
    <s v="TNT"/>
    <s v="607247345"/>
    <s v="ALFA THERM"/>
    <s v="BISCE POLJE BB"/>
    <s v="88000"/>
    <x v="7"/>
    <x v="2"/>
  </r>
  <r>
    <s v="DSD119640"/>
    <d v="2023-10-11T00:00:00"/>
    <s v="330238590:0830372715"/>
    <s v="AUBERGE PUIT"/>
    <s v="510146129"/>
    <s v="HNXD"/>
    <s v="TNT"/>
    <s v="607247019"/>
    <s v="NEO TEC"/>
    <s v="RUE ETTORE BUGATTI ,"/>
    <s v="66000"/>
    <x v="0"/>
    <x v="2"/>
  </r>
  <r>
    <s v="DSD119642"/>
    <d v="2023-10-11T00:00:00"/>
    <s v="330238591:0830372716"/>
    <s v="DE GRAEVE"/>
    <s v="510146136"/>
    <s v="HNXD"/>
    <s v="TNT"/>
    <s v="607247022"/>
    <s v="Mme DE GRAEVE SUZANN"/>
    <s v="6 RUE DE CHATEAU"/>
    <s v="02820"/>
    <x v="0"/>
    <x v="2"/>
  </r>
  <r>
    <s v="DSD119646"/>
    <d v="2023-10-11T00:00:00"/>
    <s v="330146288:0830373146"/>
    <s v="SOL2305FBC004946"/>
    <s v="7660212059"/>
    <s v="HSTD"/>
    <s v="TNT"/>
    <s v="607247075"/>
    <s v="SOLIPAC"/>
    <s v="RUE JEAN- BATISTE BIOT ,277"/>
    <s v="66000"/>
    <x v="0"/>
    <x v="2"/>
  </r>
  <r>
    <s v="DSD119648"/>
    <d v="2023-10-11T00:00:00"/>
    <s v="330238920:0830373148"/>
    <s v="WC-ESCOTAT T#9769"/>
    <s v="510146450"/>
    <s v="HSTD"/>
    <s v="TNT"/>
    <s v="607247084"/>
    <s v="HAC HITACHI"/>
    <s v="ZI DE L ARGILE VOIE"/>
    <s v="06370"/>
    <x v="0"/>
    <x v="2"/>
  </r>
  <r>
    <s v="DSD119650"/>
    <d v="2023-10-11T00:00:00"/>
    <s v="330238737:0830372843"/>
    <s v="00100229-SAV NOEL"/>
    <s v="510146183"/>
    <s v="HNXD"/>
    <s v="TNT"/>
    <s v="607247098"/>
    <s v="H2C TOULON"/>
    <s v="CHEMIN GABRIEL VENTR"/>
    <s v="83160"/>
    <x v="0"/>
    <x v="2"/>
  </r>
  <r>
    <s v="DSD119652"/>
    <d v="2023-10-11T00:00:00"/>
    <s v="330238771:0830372872"/>
    <s v="BRIANNE CREAFLOR"/>
    <s v="510146014"/>
    <s v="HNXD"/>
    <s v="TNT"/>
    <s v="607247107"/>
    <s v="ECO LOGIS"/>
    <s v="1 RUE GEORGES CHARPA"/>
    <s v="37510"/>
    <x v="0"/>
    <x v="2"/>
  </r>
  <r>
    <s v="DSD119664"/>
    <d v="2023-10-11T00:00:00"/>
    <s v="330238700:0830372821"/>
    <s v="CDC127536 S0053 S"/>
    <s v="510146233"/>
    <s v="HNXD"/>
    <s v="TNT"/>
    <s v="607247265"/>
    <s v="SARRAT"/>
    <s v="QUARTIER Munein"/>
    <s v="64390"/>
    <x v="0"/>
    <x v="2"/>
  </r>
  <r>
    <s v="DSD119670"/>
    <d v="2023-10-11T00:00:00"/>
    <s v="330238702:0830372822"/>
    <s v="CDC127539 E0094 S"/>
    <s v="510146235"/>
    <s v="HNXD"/>
    <s v="TNT"/>
    <s v="607247314"/>
    <s v="ENGIE HOME SERVICE P"/>
    <s v="142 BIS RUE DE LA GR"/>
    <s v="86000"/>
    <x v="0"/>
    <x v="2"/>
  </r>
  <r>
    <s v="DSD119768"/>
    <d v="2023-10-11T00:00:00"/>
    <s v="330238743:0830372847"/>
    <m/>
    <s v="510146192 manual"/>
    <s v="HNXD"/>
    <s v="TNT"/>
    <s v="607247376"/>
    <s v="H2C SLV"/>
    <s v="225BIS AVENUE PIERRE"/>
    <s v="06700"/>
    <x v="0"/>
    <x v="2"/>
  </r>
  <r>
    <s v="DSD119770"/>
    <d v="2023-10-11T00:00:00"/>
    <s v="330238697:0830372818"/>
    <m/>
    <s v="510146221 MANUAL"/>
    <s v="HNXD"/>
    <s v="TNT"/>
    <s v="607247380"/>
    <s v="DUCHATEL LEDUC SARL"/>
    <s v="2 RUE GEORGES BRASSE"/>
    <s v="62650"/>
    <x v="0"/>
    <x v="2"/>
  </r>
  <r>
    <s v="DSD119772"/>
    <d v="2023-10-11T00:00:00"/>
    <s v="330238727:0830372837"/>
    <m/>
    <s v="510146124 MANUAL"/>
    <s v="HNXD"/>
    <s v="TNT"/>
    <s v="607247393"/>
    <s v="PARTEDIS MERIGNAC"/>
    <s v="2 bis Rue Ferdinand de Lesseps"/>
    <s v="33700"/>
    <x v="0"/>
    <x v="2"/>
  </r>
  <r>
    <s v="DSD119776"/>
    <d v="2023-10-11T00:00:00"/>
    <s v="330226185:0830372945"/>
    <m/>
    <s v="7660223046 MANUAL"/>
    <s v="HSTD"/>
    <s v="TNT"/>
    <s v="607247402"/>
    <s v="BERTRAND MICKAEL"/>
    <s v="4 AV DE BELESTA"/>
    <s v="09300"/>
    <x v="0"/>
    <x v="2"/>
  </r>
  <r>
    <s v="DSD119782"/>
    <d v="2023-10-11T00:00:00"/>
    <s v="330238782:0830372879"/>
    <m/>
    <s v="510146090 manual"/>
    <s v="HNXD"/>
    <s v="TNT"/>
    <s v="607247416"/>
    <s v="MILLIOT JACQUEMART E"/>
    <s v="303 RUE DE L ARTISAN"/>
    <s v="59141"/>
    <x v="0"/>
    <x v="2"/>
  </r>
  <r>
    <s v="DSD119906"/>
    <d v="2023-10-16T00:00:00"/>
    <s v="330239483:0830374144"/>
    <s v="WC-ATC FERNANDO A"/>
    <s v="530020136"/>
    <s v="HSTD"/>
    <s v="NACEX"/>
    <s v="DSD119906"/>
    <s v="Humiclima"/>
    <s v="Calle Berroa, nave 2"/>
    <s v="31192"/>
    <x v="1"/>
    <x v="2"/>
  </r>
  <r>
    <s v="DSD119912"/>
    <d v="2023-10-16T00:00:00"/>
    <s v="330239028:0830373905"/>
    <s v="380/23"/>
    <s v="530020092"/>
    <s v="HSTD"/>
    <s v="NACEX"/>
    <s v="DSD119912"/>
    <s v="GIROLAN S.L."/>
    <s v="PESCADORES DE TERRAN"/>
    <s v="20011"/>
    <x v="1"/>
    <x v="2"/>
  </r>
  <r>
    <s v="DSD119918"/>
    <d v="2023-10-16T00:00:00"/>
    <s v="330239462:0830374132"/>
    <s v="389/23."/>
    <s v="530020144"/>
    <s v="HSTD"/>
    <s v="NACEX"/>
    <s v="DSD119918"/>
    <s v="GIROLAN S.L."/>
    <s v="PESCADORES DE TERRAN"/>
    <s v="20011"/>
    <x v="1"/>
    <x v="2"/>
  </r>
  <r>
    <s v="DSD119936"/>
    <d v="2023-10-16T00:00:00"/>
    <s v="330239466:0830374134"/>
    <s v="DI04-2243110"/>
    <s v="530020145"/>
    <s v="HSTD"/>
    <s v="NACEX"/>
    <s v="DSD119936"/>
    <s v="SONEPAR IBERICA SPAI"/>
    <s v="POLIGONO O CEAO, RUA"/>
    <s v="27003"/>
    <x v="1"/>
    <x v="2"/>
  </r>
  <r>
    <s v="DSD119948"/>
    <d v="2023-10-16T00:00:00"/>
    <s v="330239022:0830373903"/>
    <s v="C2301687."/>
    <s v="530020108"/>
    <s v="HSTD"/>
    <s v="NACEX"/>
    <s v="DSD119948"/>
    <s v="ECOSIONA ENERGIA SL"/>
    <s v="C/VELLUTERS 18 NAVE"/>
    <s v="46988"/>
    <x v="1"/>
    <x v="2"/>
  </r>
  <r>
    <s v="DSD119962"/>
    <d v="2023-10-16T00:00:00"/>
    <s v="330239015:0830373901"/>
    <s v="23486"/>
    <s v="530020115"/>
    <s v="HSTD"/>
    <s v="NACEX"/>
    <s v="DSD119962"/>
    <s v="TAIFE SL"/>
    <s v="CARRETERA MADRID (KM"/>
    <s v="37900"/>
    <x v="1"/>
    <x v="2"/>
  </r>
  <r>
    <s v="DSD119972"/>
    <d v="2023-10-16T00:00:00"/>
    <s v="330239074:0830373917"/>
    <s v="23501107"/>
    <s v="530020031"/>
    <s v="HSTD"/>
    <s v="NACEX"/>
    <s v="DSD119972"/>
    <s v="EULOGIO RUEDA DISTRI"/>
    <s v="C/ ANDARRIOS"/>
    <s v="28320"/>
    <x v="1"/>
    <x v="2"/>
  </r>
  <r>
    <s v="DSD119978"/>
    <d v="2023-10-16T00:00:00"/>
    <s v="330239030:0830373906"/>
    <s v="PC001430 - DEZA Z"/>
    <s v="530020090"/>
    <s v="HSTD"/>
    <s v="NACEX"/>
    <s v="DSD119978"/>
    <s v="TOTALCLIMA SUR S.L"/>
    <s v="CALLE ALCALDE VELASC"/>
    <s v="14004"/>
    <x v="1"/>
    <x v="2"/>
  </r>
  <r>
    <s v="DSD119996"/>
    <d v="2023-10-16T00:00:00"/>
    <s v="330239014:0830373900"/>
    <s v="37"/>
    <s v="530020121"/>
    <s v="HSTD"/>
    <s v="NACEX"/>
    <s v="DSD119996"/>
    <s v="FB INTEC S.L."/>
    <s v="C/CANADA 42"/>
    <s v="29006"/>
    <x v="1"/>
    <x v="2"/>
  </r>
  <r>
    <s v="DSD120002"/>
    <d v="2023-10-16T00:00:00"/>
    <s v="330239463:0830374133"/>
    <s v="23102449"/>
    <s v="530020147"/>
    <s v="HSTD"/>
    <s v="NACEX"/>
    <s v="DSD120002"/>
    <s v="EULOGIO RUEDA DISTRI"/>
    <s v="ERFRI SEVILLA"/>
    <s v="41008"/>
    <x v="1"/>
    <x v="2"/>
  </r>
  <r>
    <s v="DSD120006"/>
    <d v="2023-10-16T00:00:00"/>
    <s v="330239478:0830374141"/>
    <s v="GR19-2233037"/>
    <s v="530020131"/>
    <s v="HSTD"/>
    <s v="NACEX"/>
    <s v="DSD120006"/>
    <s v="SONEPAR IBERICA SPAI"/>
    <s v="C/ RAMON Y CAJAL, 24"/>
    <s v="28914"/>
    <x v="1"/>
    <x v="1"/>
  </r>
  <r>
    <s v="DSD120024"/>
    <d v="2023-10-16T00:00:00"/>
    <s v="330239007:0830373898"/>
    <s v="AME11-2240208"/>
    <s v="530020126"/>
    <s v="HSTD"/>
    <s v="NACEX"/>
    <s v="DSD120024"/>
    <s v="SONEPAR IBERICA SPAI"/>
    <s v="C/32 Numero 151"/>
    <s v="46470"/>
    <x v="1"/>
    <x v="2"/>
  </r>
  <r>
    <s v="DSD120026"/>
    <d v="2023-10-16T00:00:00"/>
    <s v="330238987:0830373888"/>
    <s v="WC-OT1113396"/>
    <s v="530020089"/>
    <s v="HSTD"/>
    <s v="NACEX"/>
    <s v="DSD120026"/>
    <s v="INSTALACIONES ARTACH"/>
    <s v="CRTA. VILCHES, 89"/>
    <s v="23400"/>
    <x v="1"/>
    <x v="2"/>
  </r>
  <r>
    <s v="DSD120032"/>
    <d v="2023-10-16T00:00:00"/>
    <s v="330239020:0830373902"/>
    <s v="3101218"/>
    <s v="530020112"/>
    <s v="HSTD"/>
    <s v="NACEX"/>
    <s v="DSD120032"/>
    <s v="HIMY EXPORT IMPORT S"/>
    <s v="POL LA ESPRILLA EDIF"/>
    <s v="39608"/>
    <x v="1"/>
    <x v="2"/>
  </r>
  <r>
    <s v="DSD120034"/>
    <d v="2023-10-16T00:00:00"/>
    <s v="330239485:0830374145"/>
    <s v="WC-OT1113303"/>
    <s v="530020140"/>
    <s v="HSTD"/>
    <s v="NACEX"/>
    <s v="DSD120034"/>
    <s v="Soerclimat"/>
    <s v="ANTONIO GAUDI 82"/>
    <s v="08830"/>
    <x v="1"/>
    <x v="2"/>
  </r>
  <r>
    <s v="DSD120096"/>
    <d v="2023-10-16T00:00:00"/>
    <s v="330239012:0830373899"/>
    <s v="331W03325-101"/>
    <s v="530020122"/>
    <s v="HSTD"/>
    <s v="NACEX"/>
    <s v="DSD120096"/>
    <s v="AISJIBER"/>
    <s v="C/ CRUZ DE LA MIS ES"/>
    <s v="28032"/>
    <x v="1"/>
    <x v="2"/>
  </r>
  <r>
    <s v="DSD120104"/>
    <d v="2023-10-16T00:00:00"/>
    <s v="330239476:0830374140"/>
    <s v="386/23."/>
    <s v="530020130"/>
    <s v="HSTD"/>
    <s v="NACEX"/>
    <s v="DSD120104"/>
    <s v="GIROLAN S.L."/>
    <s v="PESCADORES DE TERRAN"/>
    <s v="20011"/>
    <x v="1"/>
    <x v="2"/>
  </r>
  <r>
    <s v="DSD120112"/>
    <d v="2023-10-16T00:00:00"/>
    <s v="330239038:0830373912"/>
    <s v="3100880"/>
    <s v="530020002"/>
    <s v="HSTD"/>
    <s v="NACEX"/>
    <s v="DSD120112"/>
    <s v="DINAGAS SA"/>
    <s v="ROCHA REFRIGERACION"/>
    <s v="28918"/>
    <x v="1"/>
    <x v="2"/>
  </r>
  <r>
    <s v="DSD120118"/>
    <d v="2023-10-16T00:00:00"/>
    <s v="330239070:0830373915"/>
    <s v="8577/23"/>
    <s v="530020046"/>
    <s v="HSTD"/>
    <s v="NACEX"/>
    <s v="DSD120118"/>
    <s v="CLIMA9 SA"/>
    <s v="CALLE MAS FALGAS N 5"/>
    <s v="17180"/>
    <x v="1"/>
    <x v="2"/>
  </r>
  <r>
    <s v="DSD120120"/>
    <d v="2023-10-16T00:00:00"/>
    <s v="330239026:0830373904"/>
    <s v="3100902"/>
    <s v="530020097"/>
    <s v="HSTD"/>
    <s v="NACEX"/>
    <s v="DSD120120"/>
    <s v="DINAGAS SA"/>
    <s v="CALLE AVIACION 87"/>
    <s v="41007"/>
    <x v="1"/>
    <x v="2"/>
  </r>
  <r>
    <s v="DSD120124"/>
    <d v="2023-10-16T00:00:00"/>
    <s v="330238993:0830373894"/>
    <s v="WC-GR1102009"/>
    <s v="530020080"/>
    <s v="HSTD"/>
    <s v="NACEX"/>
    <s v="DSD120124"/>
    <s v="Comercial Valmon"/>
    <s v="VAL D ARAN 2"/>
    <s v="25300"/>
    <x v="1"/>
    <x v="2"/>
  </r>
  <r>
    <s v="DSD120144"/>
    <d v="2023-10-16T00:00:00"/>
    <s v="330238991:0830373892"/>
    <s v="WC-OT1113435"/>
    <s v="530020082"/>
    <s v="HSTD"/>
    <s v="NACEX"/>
    <s v="DSD120144"/>
    <s v="Aragonesa de Postven"/>
    <s v="PABLO RUIZ PICASSO 1"/>
    <s v="50018"/>
    <x v="1"/>
    <x v="2"/>
  </r>
  <r>
    <s v="DSD120146"/>
    <d v="2023-10-16T00:00:00"/>
    <s v="330239488:0830374146"/>
    <s v="WC-OT1113388"/>
    <s v="530020143"/>
    <s v="HSTD"/>
    <s v="NACEX"/>
    <s v="DSD120146"/>
    <s v="Aragonesa de Postven"/>
    <s v="PABLO RUIZ PICASSO 1"/>
    <s v="50018"/>
    <x v="1"/>
    <x v="2"/>
  </r>
  <r>
    <s v="DSD120158"/>
    <d v="2023-10-16T00:00:00"/>
    <s v="330239011:0830377158"/>
    <s v="231100605"/>
    <s v="530020124"/>
    <s v="HSTD"/>
    <s v="NACEX"/>
    <s v="DSD120158"/>
    <s v="COMERCIAL PERALBA, S"/>
    <s v="C/Joan Jaques Pinyol"/>
    <s v="25230"/>
    <x v="1"/>
    <x v="2"/>
  </r>
  <r>
    <s v="DSD120164"/>
    <d v="2023-10-16T00:00:00"/>
    <s v="330239025:0830377162"/>
    <s v="PC23/2358"/>
    <s v="530020098"/>
    <s v="HSTD"/>
    <s v="NACEX"/>
    <s v="DSD120164"/>
    <s v="TEMPUS INSTALACIONES"/>
    <s v="PARROQUIA DE ROIS, P"/>
    <s v="15166"/>
    <x v="1"/>
    <x v="2"/>
  </r>
  <r>
    <s v="DSD120172"/>
    <d v="2023-10-16T00:00:00"/>
    <s v="330239072:0830377174"/>
    <s v="23AD00215"/>
    <s v="530020037"/>
    <s v="HSTD"/>
    <s v="NACEX"/>
    <s v="DSD120172"/>
    <s v="CLIMAYUD S.L."/>
    <s v="POLIGONO LA CHARLUCA"/>
    <s v="50300"/>
    <x v="1"/>
    <x v="2"/>
  </r>
  <r>
    <s v="DSD120188"/>
    <d v="2023-10-16T00:00:00"/>
    <s v="330239024:0830377161"/>
    <s v="Enrique Iglesias"/>
    <s v="530020099"/>
    <s v="HSTD"/>
    <s v="NACEX"/>
    <s v="DSD120188"/>
    <s v="INVESTIGACION Y DESA"/>
    <s v="C/FERNANDO II, NUM."/>
    <s v="36003"/>
    <x v="1"/>
    <x v="2"/>
  </r>
  <r>
    <s v="DSD120190"/>
    <d v="2023-10-16T00:00:00"/>
    <s v="330239021:0830377160"/>
    <s v="1-26492"/>
    <s v="530020109"/>
    <s v="HSTD"/>
    <s v="NACEX"/>
    <s v="DSD120190"/>
    <s v="TELBI-BILBAO"/>
    <s v="C/MORGAN S/N"/>
    <s v="48014"/>
    <x v="1"/>
    <x v="2"/>
  </r>
  <r>
    <s v="DSD120200"/>
    <d v="2023-10-16T00:00:00"/>
    <s v="330239044:0830377171"/>
    <s v="PE000826/23"/>
    <s v="530019994"/>
    <s v="HNXD"/>
    <s v="NACEX"/>
    <s v="DSD120200"/>
    <s v="SERTEC SL"/>
    <s v="CALLE LARRONDO GOIKO"/>
    <s v="48180"/>
    <x v="1"/>
    <x v="2"/>
  </r>
  <r>
    <s v="DSD120204"/>
    <d v="2023-10-16T00:00:00"/>
    <s v="330238989:0830373890"/>
    <s v="WC-OT1113108"/>
    <s v="530020084"/>
    <s v="HSTD"/>
    <s v="NACEX"/>
    <s v="DSD120204"/>
    <s v="Aisjiber"/>
    <s v="CRUZ DE LA MISA ESQU"/>
    <s v="28032"/>
    <x v="1"/>
    <x v="2"/>
  </r>
  <r>
    <s v="DSD120218"/>
    <d v="2023-10-16T00:00:00"/>
    <s v="330239481:0830374143"/>
    <s v="23AF-01099"/>
    <s v="530020134"/>
    <s v="HSTD"/>
    <s v="NACEX"/>
    <s v="DSD120218"/>
    <s v="AMAFRI SL"/>
    <s v="CALLE JAIME FERRAN,"/>
    <s v="50014"/>
    <x v="1"/>
    <x v="2"/>
  </r>
  <r>
    <s v="DSD120236"/>
    <d v="2023-10-16T00:00:00"/>
    <s v="330239465:0830377201"/>
    <s v="RAUL"/>
    <s v="530020149"/>
    <s v="HSTD"/>
    <s v="NACEX"/>
    <s v="DSD120236"/>
    <s v="FRED MANRESA S.L"/>
    <s v="CARRETERA SANTPEDOR"/>
    <s v="08240"/>
    <x v="1"/>
    <x v="2"/>
  </r>
  <r>
    <s v="DSD120240"/>
    <d v="2023-10-16T00:00:00"/>
    <s v="330239484:0830377206"/>
    <s v="WC-OT1113334"/>
    <s v="530020138"/>
    <s v="HSTD"/>
    <s v="NACEX"/>
    <s v="DSD120240"/>
    <s v="Soerclimat"/>
    <s v="ANTONIO GAUDI 82"/>
    <s v="08830"/>
    <x v="1"/>
    <x v="2"/>
  </r>
  <r>
    <s v="DSD120242"/>
    <d v="2023-10-16T00:00:00"/>
    <s v="330239473:0830377202"/>
    <s v="ispm"/>
    <s v="530020127"/>
    <s v="HSTD"/>
    <s v="NACEX"/>
    <s v="DSD120242"/>
    <s v="FRED MANRESA S.L"/>
    <s v="CARRETERA SANTPEDOR"/>
    <s v="08240"/>
    <x v="1"/>
    <x v="2"/>
  </r>
  <r>
    <s v="DSD120244"/>
    <d v="2023-10-16T00:00:00"/>
    <s v="330239482:0830377205"/>
    <s v="MALIBU"/>
    <s v="530020135"/>
    <s v="HSTD"/>
    <s v="NACEX"/>
    <s v="DSD120244"/>
    <s v="LUCINSA GROUP 2015 S"/>
    <s v="CALLE VIRGEN DEL CAR"/>
    <s v="29100"/>
    <x v="1"/>
    <x v="2"/>
  </r>
  <r>
    <s v="DSD120246"/>
    <d v="2023-10-16T00:00:00"/>
    <s v="330238988:0830373889"/>
    <s v="WC-OT1113398"/>
    <s v="530020088"/>
    <s v="HSTD"/>
    <s v="NACEX"/>
    <s v="DSD120246"/>
    <s v="INSTALACIONES ARTACH"/>
    <s v="CRTA. VILCHES, 89"/>
    <s v="23400"/>
    <x v="1"/>
    <x v="2"/>
  </r>
  <r>
    <s v="DSD120250"/>
    <d v="2023-10-16T00:00:00"/>
    <s v="330239003:0830373896"/>
    <s v="2023/175928."/>
    <s v="530020062"/>
    <s v="HSTD"/>
    <s v="NACEX"/>
    <s v="DSD120250"/>
    <s v="ALMACEN GETAFE"/>
    <s v="C/VOLTA 13"/>
    <s v="28906"/>
    <x v="1"/>
    <x v="2"/>
  </r>
  <r>
    <s v="DSD120260"/>
    <d v="2023-10-16T00:00:00"/>
    <s v="330239036:0830373911"/>
    <s v="326/23"/>
    <s v="530020005"/>
    <s v="HSTD"/>
    <s v="NACEX"/>
    <s v="DSD120260"/>
    <s v="AIZE KLIMA S.L."/>
    <s v="RIBERA DEUSTO, 65B B"/>
    <s v="48014"/>
    <x v="1"/>
    <x v="2"/>
  </r>
  <r>
    <s v="DSD120264"/>
    <d v="2023-10-16T00:00:00"/>
    <s v="330239027:0830377163"/>
    <s v="PC000945"/>
    <s v="530020093"/>
    <s v="HSTD"/>
    <s v="NACEX"/>
    <s v="DSD120264"/>
    <s v="ARCE CLIMA SISTEMAS"/>
    <s v="POL. IND. ALVEDRO C-"/>
    <s v="15180"/>
    <x v="1"/>
    <x v="2"/>
  </r>
  <r>
    <s v="DSD120268"/>
    <d v="2023-10-16T00:00:00"/>
    <s v="330239487:0830377208"/>
    <s v="WC-OT1113371"/>
    <s v="530020142"/>
    <s v="HSTD"/>
    <s v="NACEX"/>
    <s v="DSD120268"/>
    <s v="Electro Mercantil Ex"/>
    <s v="Av. Extremadura 101"/>
    <s v="10840"/>
    <x v="1"/>
    <x v="2"/>
  </r>
  <r>
    <s v="DSD120270"/>
    <d v="2023-10-16T00:00:00"/>
    <s v="330238990:0830373891"/>
    <s v="WC-OT1113370"/>
    <s v="530020083"/>
    <s v="HSTD"/>
    <s v="NACEX"/>
    <s v="DSD120270"/>
    <s v="Aragonesa de Postven"/>
    <s v="PABLO RUIZ PICASSO 1"/>
    <s v="50018"/>
    <x v="1"/>
    <x v="2"/>
  </r>
  <r>
    <s v="DSD120324"/>
    <d v="2023-10-16T00:00:00"/>
    <s v="330239034:0830373909"/>
    <s v="3101164"/>
    <s v="530020007"/>
    <s v="HSTD"/>
    <s v="NACEX"/>
    <s v="DSD120324"/>
    <s v="HIMY EXPORT IMPORT S"/>
    <s v="POLIGONO LA ESPRILLA"/>
    <s v="39608"/>
    <x v="1"/>
    <x v="2"/>
  </r>
  <r>
    <s v="DSD120326"/>
    <d v="2023-10-16T00:00:00"/>
    <s v="330239037:0830377166"/>
    <s v="1-26457"/>
    <s v="530020004"/>
    <s v="HSTD"/>
    <s v="NACEX"/>
    <s v="DSD120326"/>
    <s v="TELBI-BILBAO"/>
    <s v="C/MORGAN S/N"/>
    <s v="48014"/>
    <x v="1"/>
    <x v="2"/>
  </r>
  <r>
    <s v="DSD120360"/>
    <d v="2023-10-16T00:00:00"/>
    <s v="330239005:0830377156"/>
    <s v="61,861"/>
    <s v="530020060"/>
    <s v="HSTD"/>
    <s v="NACEX"/>
    <s v="DSD120360"/>
    <s v="JOSE LUIS SANTILLAN"/>
    <s v="P.I BETSAIDE PABELLO"/>
    <s v="48230"/>
    <x v="1"/>
    <x v="2"/>
  </r>
  <r>
    <s v="DSD120368"/>
    <d v="2023-10-16T00:00:00"/>
    <s v="330239039:0830377167"/>
    <s v="3101159"/>
    <s v="530020001"/>
    <s v="HSTD"/>
    <s v="NACEX"/>
    <s v="DSD120368"/>
    <s v="HIMY EXPORT IMPORT S"/>
    <s v="P.I. BIDEBITARTE"/>
    <s v="20115"/>
    <x v="1"/>
    <x v="2"/>
  </r>
  <r>
    <s v="DSD120380"/>
    <d v="2023-10-16T00:00:00"/>
    <s v="330239041:0830373913"/>
    <s v="CLC AP. 152"/>
    <s v="530019997"/>
    <s v="HSTD"/>
    <s v="NACEX"/>
    <s v="DSD120380"/>
    <s v="TECNIA-AIR 02 MALAGA"/>
    <s v="C/ MARACAY, 36. POLI"/>
    <s v="29006"/>
    <x v="1"/>
    <x v="2"/>
  </r>
  <r>
    <s v="DSD120388"/>
    <d v="2023-10-16T00:00:00"/>
    <s v="330239031:0830373907"/>
    <s v="310207"/>
    <s v="530020052"/>
    <s v="HSTD"/>
    <s v="NACEX"/>
    <s v="DSD120388"/>
    <s v="HIMY EXPORT IMPORT S"/>
    <s v="P.I. BIDEBITARTE"/>
    <s v="20115"/>
    <x v="1"/>
    <x v="2"/>
  </r>
  <r>
    <s v="DSD120438"/>
    <d v="2023-10-16T00:00:00"/>
    <s v="330239475:0830377203"/>
    <s v="optima"/>
    <s v="530020129"/>
    <s v="HSTD"/>
    <s v="NACEX"/>
    <s v="DSD120438"/>
    <s v="FRED MANRESA S.L"/>
    <s v="CARRETERA SANTPEDOR"/>
    <s v="08240"/>
    <x v="1"/>
    <x v="2"/>
  </r>
  <r>
    <s v="DSD120440"/>
    <d v="2023-10-16T00:00:00"/>
    <s v="330239029:0830377164"/>
    <s v="378/23."/>
    <s v="530020091"/>
    <s v="HSTD"/>
    <s v="NACEX"/>
    <s v="DSD120440"/>
    <s v="GIROLAN S.L."/>
    <s v="PESCADORES DE TERRAN"/>
    <s v="20011"/>
    <x v="1"/>
    <x v="2"/>
  </r>
  <r>
    <s v="DSD120446"/>
    <d v="2023-10-16T00:00:00"/>
    <s v="330238997:0830377152"/>
    <s v="23102409"/>
    <s v="530020067"/>
    <s v="HSTD"/>
    <s v="NACEX"/>
    <s v="DSD120446"/>
    <s v="EULOGIO RUEDA DISTRI"/>
    <s v="ERFRI SEVILLA"/>
    <s v="41008"/>
    <x v="1"/>
    <x v="2"/>
  </r>
  <r>
    <s v="DSD120448"/>
    <d v="2023-10-16T00:00:00"/>
    <s v="330239082:0830373921"/>
    <s v="1-26477"/>
    <s v="530020023"/>
    <s v="HSTD"/>
    <s v="NACEX"/>
    <s v="DSD120448"/>
    <s v="TELBI-BILBAO"/>
    <s v="C/MORGAN S/N"/>
    <s v="48014"/>
    <x v="1"/>
    <x v="2"/>
  </r>
  <r>
    <s v="DSD120454"/>
    <d v="2023-10-16T00:00:00"/>
    <s v="330239081:0830377177"/>
    <s v="MANUEL COSTA"/>
    <s v="530020024"/>
    <s v="HSTD"/>
    <s v="NACEX"/>
    <s v="DSD120454"/>
    <s v="CLIMABALBOA SL"/>
    <s v="LUGAR FERRERRIA, 7A"/>
    <s v="15318"/>
    <x v="1"/>
    <x v="2"/>
  </r>
  <r>
    <s v="DSD119890"/>
    <d v="2023-10-16T00:00:00"/>
    <s v="330239480:0830374142"/>
    <s v="sotecnica"/>
    <s v="530020133"/>
    <s v="HSTD"/>
    <s v="SEUR"/>
    <s v="DSD1198890"/>
    <s v="EFCIS - COMERCIO INT"/>
    <s v="ESTRADA CASAL DO CAN"/>
    <s v="2724-523"/>
    <x v="8"/>
    <x v="2"/>
  </r>
  <r>
    <s v="DSD119988"/>
    <d v="2023-10-16T00:00:00"/>
    <s v="330239079:0830373920"/>
    <s v="PEDIDO 3101184"/>
    <s v="530020026"/>
    <s v="HSTD"/>
    <s v="SEUR"/>
    <s v="DSD119988"/>
    <s v="HIMY EXPORT IMPORT S"/>
    <s v="SUBINAS BIDEA 4-6"/>
    <s v="48180"/>
    <x v="1"/>
    <x v="2"/>
  </r>
  <r>
    <s v="DSD120016"/>
    <d v="2023-10-16T00:00:00"/>
    <s v="330238992:0830373893"/>
    <s v="WC-GR1102007"/>
    <s v="530020081"/>
    <s v="HSTD"/>
    <s v="SEUR"/>
    <s v="DSD120016"/>
    <s v="EFCIS-COMERCIO INT"/>
    <s v="Estrada Casal do Canas lote 4"/>
    <s v="2724-523"/>
    <x v="8"/>
    <x v="2"/>
  </r>
  <r>
    <s v="DSD120102"/>
    <d v="2023-10-16T00:00:00"/>
    <s v="330239077:0830373919"/>
    <s v="ECF 514"/>
    <s v="530020028"/>
    <s v="HSTD"/>
    <s v="SEUR"/>
    <s v="DSD120102"/>
    <s v="Centro Empresarial e"/>
    <s v="CENTRO EMPRESARIAL E industrial"/>
    <s v="8100-302"/>
    <x v="8"/>
    <x v="2"/>
  </r>
  <r>
    <s v="DSD120166"/>
    <d v="2023-10-16T00:00:00"/>
    <s v="330239017:0830377159"/>
    <s v="DI07-2239244"/>
    <s v="530020113"/>
    <s v="HSTD"/>
    <s v="SEUR"/>
    <s v="DSD120166"/>
    <s v="SONEPAR IBERICA SPAI"/>
    <s v="AVDA MONTECELO SN SU"/>
    <s v="36161"/>
    <x v="1"/>
    <x v="2"/>
  </r>
  <r>
    <s v="DSD120174"/>
    <d v="2023-10-16T00:00:00"/>
    <s v="330238995:0830373895"/>
    <s v="PEDIDO 3101184"/>
    <s v="530020074"/>
    <s v="HSTD"/>
    <s v="SEUR"/>
    <s v="DSD120174"/>
    <s v="INTERHOME INVERSIONES"/>
    <s v="BARRIGUELO 5"/>
    <s v="26009"/>
    <x v="1"/>
    <x v="2"/>
  </r>
  <r>
    <s v="DSD120182"/>
    <d v="2023-10-16T00:00:00"/>
    <s v="330238994:0830377151"/>
    <s v="WC-GR1102000"/>
    <s v="530020079"/>
    <s v="HSTD"/>
    <s v="SEUR"/>
    <s v="DSD120182"/>
    <s v="Comercial Valmon"/>
    <s v="VAL D ARAN 2"/>
    <s v="25300"/>
    <x v="1"/>
    <x v="2"/>
  </r>
  <r>
    <s v="DSD120298"/>
    <d v="2023-10-16T00:00:00"/>
    <s v="330239042:0830377169"/>
    <s v="DI51-2226536"/>
    <s v="530019996"/>
    <s v="HSTD"/>
    <s v="SEUR"/>
    <s v="DSD120298"/>
    <s v="ADECCO OUTSOURCING"/>
    <s v="CALLE ALUMINIO, 14 N"/>
    <s v="19200"/>
    <x v="1"/>
    <x v="2"/>
  </r>
  <r>
    <s v="DSD120370"/>
    <d v="2023-10-16T00:00:00"/>
    <s v="330239047:0830377173"/>
    <s v="espi230267"/>
    <s v="530019989"/>
    <s v="HSTD"/>
    <s v="SEUR"/>
    <s v="DSD120370"/>
    <s v="NORDES ANCIN S.A."/>
    <s v="PG. ESP.SANTO"/>
    <s v="15650"/>
    <x v="1"/>
    <x v="2"/>
  </r>
  <r>
    <s v="DSD120386"/>
    <d v="2023-10-16T00:00:00"/>
    <s v="330239033:0830377165"/>
    <s v="29.09.2023 thermo"/>
    <s v="530020014"/>
    <s v="HSTD"/>
    <s v="SEUR"/>
    <s v="DSD120386"/>
    <s v="EFCIS - COMERCIO INT"/>
    <s v="ESTRADA CASAL DO CAN"/>
    <s v="2724-523"/>
    <x v="8"/>
    <x v="2"/>
  </r>
  <r>
    <s v="DSD120398"/>
    <d v="2023-10-16T00:00:00"/>
    <s v="330239071:0830373916"/>
    <s v="03.10.2023 mario"/>
    <s v="530020038"/>
    <s v="HSTD"/>
    <s v="SEUR"/>
    <s v="DSD120398"/>
    <s v="EFCIS - COMERCIO INT"/>
    <s v="ESTRADA CASAL DO CAN"/>
    <s v="2724-523"/>
    <x v="8"/>
    <x v="2"/>
  </r>
  <r>
    <s v="DSD120406"/>
    <d v="2023-10-16T00:00:00"/>
    <s v="330239076:0830377175"/>
    <s v="11027"/>
    <s v="530020029"/>
    <s v="HSTD"/>
    <s v="SEUR"/>
    <s v="DSD120406"/>
    <s v="Levantina de Suminis"/>
    <s v="Levantina de Suminis"/>
    <s v="46009"/>
    <x v="1"/>
    <x v="2"/>
  </r>
  <r>
    <s v="DSD117729"/>
    <d v="2023-10-16T00:00:00"/>
    <s v="330200657:0830354167"/>
    <s v="3853"/>
    <s v="7670014183"/>
    <s v="HSTD"/>
    <s v="TNT"/>
    <s v="607248796"/>
    <s v="KINNAN NORGE A S"/>
    <s v="ORHUSVEIEN 1, 3070 SANDE I VESTFOLD"/>
    <s v="3070"/>
    <x v="9"/>
    <x v="2"/>
  </r>
  <r>
    <s v="DSD119790"/>
    <d v="2023-10-16T00:00:00"/>
    <s v="330237915:0830373138"/>
    <s v="WC 9655"/>
    <s v="560021884"/>
    <s v="HSTD"/>
    <s v="TNT"/>
    <s v="607247464"/>
    <s v="CST CLIMA"/>
    <s v="CST CLIMA"/>
    <s v="16139"/>
    <x v="3"/>
    <x v="2"/>
  </r>
  <r>
    <s v="DSD119888"/>
    <d v="2023-10-16T00:00:00"/>
    <s v="330239533:0830374211"/>
    <s v="23000363"/>
    <s v="540012299"/>
    <s v="HSTD"/>
    <s v="TNT"/>
    <s v="607247447"/>
    <s v="HD KLIMAATSYSTEMEN"/>
    <s v="Antonie van Leeuwenh"/>
    <s v="2408 AK"/>
    <x v="2"/>
    <x v="2"/>
  </r>
  <r>
    <s v="DSD119894"/>
    <d v="2023-10-16T00:00:00"/>
    <s v="330239648:0830374246"/>
    <s v="CDC127639 DIVFLO"/>
    <s v="510146247"/>
    <s v="HNXD"/>
    <s v="TNT"/>
    <s v="607247420"/>
    <s v="GUNGUI PLOMBERIE"/>
    <s v="66 Rt de Monclar d a"/>
    <s v="47380"/>
    <x v="0"/>
    <x v="2"/>
  </r>
  <r>
    <s v="DSD119898"/>
    <d v="2023-10-16T00:00:00"/>
    <s v="330150880:0830373886"/>
    <s v="39716"/>
    <s v="7670013690"/>
    <s v="HNXD"/>
    <s v="TNT"/>
    <s v="607247433"/>
    <s v="TVG"/>
    <s v="TECHNISCHE VERTRIEBSGES.MBH"/>
    <s v="1230"/>
    <x v="10"/>
    <x v="2"/>
  </r>
  <r>
    <s v="DSD119910"/>
    <d v="2023-10-16T00:00:00"/>
    <s v="330239548:0830374199"/>
    <s v="CDC127926 V0004 S"/>
    <s v="510146445"/>
    <s v="HNXD"/>
    <s v="TNT"/>
    <s v="607247478"/>
    <s v="VERA ECOTHERMIE"/>
    <s v="352 Route de la Gare"/>
    <s v="64990"/>
    <x v="0"/>
    <x v="2"/>
  </r>
  <r>
    <s v="DSD119914"/>
    <d v="2023-10-16T00:00:00"/>
    <s v="330239603:0830374288"/>
    <s v="66037934"/>
    <s v="560021743"/>
    <s v="HNXD"/>
    <s v="TNT"/>
    <s v="607247481"/>
    <s v="FRIGO-VE"/>
    <s v="MARINICI 180"/>
    <s v="51216"/>
    <x v="11"/>
    <x v="2"/>
  </r>
  <r>
    <s v="DSD119916"/>
    <d v="2023-10-16T00:00:00"/>
    <s v="330239642:0830374241"/>
    <s v="00100291-2719 393"/>
    <s v="510146273"/>
    <s v="HSTD"/>
    <s v="TNT"/>
    <s v="607247495"/>
    <s v="ENGIE HOME SERVICES"/>
    <s v="SEINE ET MARNE NORD"/>
    <s v="77700"/>
    <x v="0"/>
    <x v="2"/>
  </r>
  <r>
    <s v="DSD119920"/>
    <d v="2023-10-16T00:00:00"/>
    <s v="330239643:0830374242"/>
    <s v="CDC127722 B0004 S"/>
    <s v="510146271"/>
    <s v="HNXD"/>
    <s v="TNT"/>
    <s v="607247504"/>
    <s v="BETON"/>
    <s v="707 Avenue du Brasse"/>
    <s v="40110"/>
    <x v="0"/>
    <x v="2"/>
  </r>
  <r>
    <s v="DSD119922"/>
    <d v="2023-10-16T00:00:00"/>
    <s v="330239593:0830374280"/>
    <s v="Vimax burgas 82"/>
    <s v="560021805"/>
    <s v="HNXD"/>
    <s v="TNT"/>
    <s v="607247518"/>
    <s v="ACTON ELECTRONICS OO"/>
    <s v="135D TSARIGRADSKO SH"/>
    <s v="1784"/>
    <x v="12"/>
    <x v="2"/>
  </r>
  <r>
    <s v="DSD119924"/>
    <d v="2023-10-16T00:00:00"/>
    <s v="330239449:0830374122"/>
    <s v="2023 POLLA 2"/>
    <s v="560021828"/>
    <s v="HSTD"/>
    <s v="TNT"/>
    <s v="607247521"/>
    <s v="TERMOIDRAULICA TEDES"/>
    <s v="CONTRADA NOVESOLDI 2"/>
    <s v="83042"/>
    <x v="3"/>
    <x v="0"/>
  </r>
  <r>
    <s v="DSD119926"/>
    <d v="2023-10-16T00:00:00"/>
    <s v="330239541:0830374192"/>
    <s v="WC FIVE ENERGIE"/>
    <s v="510146553"/>
    <s v="HSTD"/>
    <s v="TNT"/>
    <s v="607247535"/>
    <s v="C CLIM"/>
    <s v="48 AVENUE DES AUREAT"/>
    <s v="26000"/>
    <x v="0"/>
    <x v="2"/>
  </r>
  <r>
    <s v="DSD119932"/>
    <d v="2023-10-16T00:00:00"/>
    <s v="330239630:0830374233"/>
    <s v="161615"/>
    <s v="510146488"/>
    <s v="HNXD"/>
    <s v="TNT"/>
    <s v="607247549"/>
    <s v="COSTA MARCO"/>
    <s v="LOT 5 LES PRAIRIES C"/>
    <s v="20137"/>
    <x v="0"/>
    <x v="2"/>
  </r>
  <r>
    <s v="DSD119934"/>
    <d v="2023-10-16T00:00:00"/>
    <s v="330239467:0830374135"/>
    <s v="WC 62-2023"/>
    <s v="560021951"/>
    <s v="HSTD"/>
    <s v="TNT"/>
    <s v="607247552"/>
    <s v="SEC SINERGIE"/>
    <s v="SEC SINERGIE"/>
    <s v="00043"/>
    <x v="3"/>
    <x v="2"/>
  </r>
  <r>
    <s v="DSD119946"/>
    <d v="2023-10-16T00:00:00"/>
    <s v="330239640:0830374239"/>
    <s v="00100292-8041"/>
    <s v="510146295"/>
    <s v="HNXD"/>
    <s v="TNT"/>
    <s v="607247566"/>
    <s v="H2C AGENCE DE LILLE"/>
    <s v="58 RUE LEON BLUM"/>
    <s v="59370"/>
    <x v="0"/>
    <x v="2"/>
  </r>
  <r>
    <s v="DSD119956"/>
    <d v="2023-10-16T00:00:00"/>
    <s v="330239555:0830374227"/>
    <s v="161660"/>
    <s v="510146495"/>
    <s v="HNXD"/>
    <s v="TNT"/>
    <s v="607247570"/>
    <s v="JAUHIAINEN TOMMI"/>
    <s v="9 RUE DU FOUR BANAL"/>
    <s v="58210"/>
    <x v="0"/>
    <x v="2"/>
  </r>
  <r>
    <s v="DSD119958"/>
    <d v="2023-10-16T00:00:00"/>
    <s v="330239539:0830374190"/>
    <s v="WC ORTHEZ"/>
    <s v="510146567"/>
    <s v="HNXD"/>
    <s v="TNT"/>
    <s v="607247623"/>
    <s v="POUMIRAU"/>
    <s v="ZI BERLANNE - RUE D'"/>
    <s v="64140"/>
    <x v="0"/>
    <x v="2"/>
  </r>
  <r>
    <s v="DSD119964"/>
    <d v="2023-10-16T00:00:00"/>
    <s v="330239602:0830374287"/>
    <s v="0926Raktar"/>
    <s v="560021763"/>
    <s v="HNXD"/>
    <s v="TNT"/>
    <s v="607247610"/>
    <s v="KLIMA KFT"/>
    <s v="REITTER FERENC U. 13"/>
    <s v="1131"/>
    <x v="13"/>
    <x v="2"/>
  </r>
  <r>
    <s v="DSD119966"/>
    <d v="2023-10-16T00:00:00"/>
    <s v="330239638:0830374237"/>
    <s v="00100301-SAV FABR"/>
    <s v="510146298"/>
    <s v="HNXD"/>
    <s v="TNT"/>
    <s v="607247606"/>
    <s v="H2C TOULON"/>
    <s v="CHEMIN GABRIEL VENTR"/>
    <s v="83160"/>
    <x v="0"/>
    <x v="2"/>
  </r>
  <r>
    <s v="DSD119970"/>
    <d v="2023-10-16T00:00:00"/>
    <s v="330239540:0830374191"/>
    <s v="WC Residence Laur"/>
    <s v="510146566"/>
    <s v="HSTD"/>
    <s v="TNT"/>
    <s v="607247637"/>
    <s v="E2C"/>
    <s v="ZA BROY DE HAUT, ROU"/>
    <s v="40100"/>
    <x v="0"/>
    <x v="2"/>
  </r>
  <r>
    <s v="DSD119982"/>
    <d v="2023-10-16T00:00:00"/>
    <s v="330239514:0830374163"/>
    <s v="Naschi Argan"/>
    <s v="560021756"/>
    <s v="HSTD"/>
    <s v="TNT"/>
    <s v="607247645"/>
    <s v="C.S.T CLIMA SRL"/>
    <s v="VIA TORTONA 39 R"/>
    <s v="16139"/>
    <x v="3"/>
    <x v="2"/>
  </r>
  <r>
    <s v="DSD119986"/>
    <d v="2023-10-16T00:00:00"/>
    <s v="330239599:0830374284"/>
    <s v="ZajaczLaszlo"/>
    <s v="560021775"/>
    <s v="HNXD"/>
    <s v="TNT"/>
    <s v="607247668"/>
    <s v="KLIMA KFT"/>
    <s v="REITTER FERENC U. 13"/>
    <s v="1131"/>
    <x v="13"/>
    <x v="2"/>
  </r>
  <r>
    <s v="DSD119998"/>
    <d v="2023-10-16T00:00:00"/>
    <s v="330239597:0830374282"/>
    <s v="66037934"/>
    <s v="560021783"/>
    <s v="HSTD"/>
    <s v="TNT"/>
    <s v="607247671"/>
    <s v="FRIGO-VE"/>
    <s v="MARINICI 180"/>
    <s v="51216"/>
    <x v="11"/>
    <x v="2"/>
  </r>
  <r>
    <s v="DSD120004"/>
    <d v="2023-10-16T00:00:00"/>
    <s v="330239551:0830374201"/>
    <s v="CDC127926 V0004 S"/>
    <s v="510146440"/>
    <s v="HNXD"/>
    <s v="TNT"/>
    <s v="607247685"/>
    <s v="VERA ECOTHERMIE"/>
    <s v="352 Route de la Gare"/>
    <s v="64990"/>
    <x v="0"/>
    <x v="0"/>
  </r>
  <r>
    <s v="DSD120008"/>
    <d v="2023-10-16T00:00:00"/>
    <s v="330239538:0830374189"/>
    <s v="WC CHRONODRIVE BA"/>
    <s v="510146572"/>
    <s v="HSTD"/>
    <s v="TNT"/>
    <s v="607247739"/>
    <s v="DELTA T"/>
    <s v="8 ALLEE DES PLEUS"/>
    <s v="77170"/>
    <x v="0"/>
    <x v="2"/>
  </r>
  <r>
    <s v="DSD120012"/>
    <d v="2023-10-16T00:00:00"/>
    <s v="330239554:0830374204"/>
    <s v="161661"/>
    <s v="510146497"/>
    <s v="HNXD"/>
    <s v="TNT"/>
    <s v="607247708"/>
    <s v="ROSSI EDDY"/>
    <s v="1566 ROUTE DES LOUBE"/>
    <s v="83400"/>
    <x v="0"/>
    <x v="2"/>
  </r>
  <r>
    <s v="DSD120018"/>
    <d v="2023-10-16T00:00:00"/>
    <s v="330239657:0830374252"/>
    <s v="563802"/>
    <s v="510146657"/>
    <s v="HNXD"/>
    <s v="TNT"/>
    <s v="607247711"/>
    <s v="SA ETTORI TADDEI MOS"/>
    <s v="Rue Pierre Andreani"/>
    <s v="20137"/>
    <x v="0"/>
    <x v="0"/>
  </r>
  <r>
    <s v="DSD120020"/>
    <d v="2023-10-16T00:00:00"/>
    <s v="330239649:0830374247"/>
    <s v="C2309235 HYD 44BC"/>
    <s v="510146049"/>
    <s v="HSTD"/>
    <s v="TNT"/>
    <s v="607247725"/>
    <s v="HERVE THERMIQUE"/>
    <s v="12 RUE DENIS PAPIN"/>
    <s v="37303"/>
    <x v="0"/>
    <x v="2"/>
  </r>
  <r>
    <s v="DSD120022"/>
    <d v="2023-10-16T00:00:00"/>
    <s v="330239598:0830374283"/>
    <s v="PO-2667"/>
    <s v="560021779"/>
    <s v="HNXD"/>
    <s v="TNT"/>
    <s v="607247742"/>
    <s v="EVISS LTD."/>
    <s v="1 Alexandrovska Str."/>
    <s v="7000"/>
    <x v="12"/>
    <x v="2"/>
  </r>
  <r>
    <s v="DSD120028"/>
    <d v="2023-10-16T00:00:00"/>
    <s v="330239442:0830374118"/>
    <s v="350"/>
    <s v="560021788"/>
    <s v="HSTD"/>
    <s v="TNT"/>
    <s v="607247756"/>
    <s v="RECON SRL"/>
    <s v="VIA DELL'INFORMATICA"/>
    <s v="63821"/>
    <x v="3"/>
    <x v="2"/>
  </r>
  <r>
    <s v="DSD120042"/>
    <d v="2023-10-16T00:00:00"/>
    <s v="330239608:0830374291"/>
    <s v="66037934"/>
    <s v="560021701"/>
    <s v="HNXD"/>
    <s v="TNT"/>
    <s v="607247773"/>
    <s v="FRIGO-VE"/>
    <s v="MARINICI 180"/>
    <s v="51216"/>
    <x v="11"/>
    <x v="2"/>
  </r>
  <r>
    <s v="DSD120044"/>
    <d v="2023-10-16T00:00:00"/>
    <s v="330239536:0830374188"/>
    <s v="CDC1277765 MB0008"/>
    <s v="510146312"/>
    <s v="HNXD"/>
    <s v="TNT"/>
    <s v="607247787"/>
    <s v="MOYNET Frederic"/>
    <s v="28 Chemin des Cafes"/>
    <s v="33340"/>
    <x v="0"/>
    <x v="2"/>
  </r>
  <r>
    <s v="DSD120048"/>
    <d v="2023-10-16T00:00:00"/>
    <s v="330239522:0830374205"/>
    <s v="Ahlsell P.O. 3105"/>
    <s v="540012315"/>
    <s v="HNXD"/>
    <s v="TNT"/>
    <s v="607247795"/>
    <s v="KYLKONTROLL GOTEBORG"/>
    <s v="E A ROSENGRENS GATA"/>
    <s v="421 31"/>
    <x v="14"/>
    <x v="2"/>
  </r>
  <r>
    <s v="DSD120052"/>
    <d v="2023-10-16T00:00:00"/>
    <s v="330239658:0830374253"/>
    <s v="161640"/>
    <s v="510146639"/>
    <s v="HSTD"/>
    <s v="TNT"/>
    <s v="607247800"/>
    <s v="SA ETTORI TADDEI MOS"/>
    <s v="RN 193 - FURIANI"/>
    <s v="20600"/>
    <x v="0"/>
    <x v="2"/>
  </r>
  <r>
    <s v="DSD120056"/>
    <d v="2023-10-16T00:00:00"/>
    <s v="330239560:0830374258"/>
    <s v="31107439"/>
    <s v="540012355"/>
    <s v="HNXD"/>
    <s v="TNT"/>
    <s v="607247813"/>
    <s v="AHLSELL SVERIGE AB"/>
    <s v="Port 4-16 TRANSIT"/>
    <s v="694 35"/>
    <x v="14"/>
    <x v="2"/>
  </r>
  <r>
    <s v="DSD120058"/>
    <d v="2023-10-16T00:00:00"/>
    <s v="330239470:0830374138"/>
    <s v="04102023"/>
    <s v="560021857"/>
    <s v="HSTD"/>
    <s v="TNT"/>
    <s v="607247827"/>
    <s v="IMMERCLIMA SRL"/>
    <s v="VIA GUICCIARDI 7/F"/>
    <s v="42100"/>
    <x v="3"/>
    <x v="2"/>
  </r>
  <r>
    <s v="DSD120060"/>
    <d v="2023-10-16T00:00:00"/>
    <s v="330239639:0830374238"/>
    <s v="00100294-11316"/>
    <s v="510146296"/>
    <s v="HNXD"/>
    <s v="TNT"/>
    <s v="607247835"/>
    <s v="IEF"/>
    <s v="7 CHEMIN DES 3 PIGNO"/>
    <s v="28700"/>
    <x v="0"/>
    <x v="2"/>
  </r>
  <r>
    <s v="DSD120062"/>
    <d v="2023-10-16T00:00:00"/>
    <s v="330239652:0830374249"/>
    <s v="231004369"/>
    <s v="510146599"/>
    <s v="HNXD"/>
    <s v="TNT"/>
    <s v="607247844"/>
    <s v="AIRCCO"/>
    <s v="6 RUE GEORGES BRASSE"/>
    <s v="31140"/>
    <x v="0"/>
    <x v="2"/>
  </r>
  <r>
    <s v="DSD120066"/>
    <d v="2023-10-16T00:00:00"/>
    <s v="330239532:0830374210"/>
    <s v="31015372"/>
    <s v="540012300"/>
    <s v="HNXD"/>
    <s v="TNT"/>
    <s v="607247858"/>
    <s v="TRISEC AB"/>
    <s v="SANDBACKENS ROR"/>
    <s v="602 28"/>
    <x v="14"/>
    <x v="2"/>
  </r>
  <r>
    <s v="DSD120068"/>
    <d v="2023-10-16T00:00:00"/>
    <s v="330239531:0830374209"/>
    <s v="31008706"/>
    <s v="540012301"/>
    <s v="HNXD"/>
    <s v="TNT"/>
    <s v="607247861"/>
    <s v="AHLSELL DANMARK APS"/>
    <s v="ABILDAGER ,24"/>
    <s v="2605"/>
    <x v="15"/>
    <x v="2"/>
  </r>
  <r>
    <s v="DSD120070"/>
    <d v="2023-10-16T00:00:00"/>
    <s v="330238564:0830372698"/>
    <s v="WC SUPERWOOD"/>
    <s v="510146434"/>
    <s v="HNXD"/>
    <s v="TNT"/>
    <s v="607247875"/>
    <s v="MCI"/>
    <s v="CENTRE D AFFAIRE KEN"/>
    <s v="65000"/>
    <x v="0"/>
    <x v="2"/>
  </r>
  <r>
    <s v="DSD120074"/>
    <d v="2023-10-16T00:00:00"/>
    <s v="330239544:0830374195"/>
    <s v="00100360-11326"/>
    <s v="510146515"/>
    <s v="HNXD"/>
    <s v="TNT"/>
    <s v="607247946"/>
    <s v="TUVACHE"/>
    <s v="7 IMPASSE JEAN ROSTA"/>
    <s v="28300"/>
    <x v="0"/>
    <x v="2"/>
  </r>
  <r>
    <s v="DSD120076"/>
    <d v="2023-10-16T00:00:00"/>
    <s v="330239552:0830374202"/>
    <s v="CF103847/CF103848"/>
    <s v="510146436"/>
    <s v="HNXD"/>
    <s v="TNT"/>
    <s v="607247889"/>
    <s v="BE CLIM"/>
    <s v="224 AVENUE JEAN MERM"/>
    <s v="63100"/>
    <x v="0"/>
    <x v="2"/>
  </r>
  <r>
    <s v="DSD120078"/>
    <d v="2023-10-16T00:00:00"/>
    <s v="330230775:0830373887"/>
    <s v="CDC127133 F0043 S"/>
    <s v="7660223658"/>
    <s v="HSTD"/>
    <s v="TNT"/>
    <s v="607247892"/>
    <s v="FERREIRA Freres"/>
    <s v="4 CHEMIN DES AYGUETTES"/>
    <s v="64150"/>
    <x v="0"/>
    <x v="2"/>
  </r>
  <r>
    <s v="DSD120080"/>
    <d v="2023-10-16T00:00:00"/>
    <s v="330239634:0830374235"/>
    <s v="WC MANECO ENERGIE"/>
    <s v="510146540"/>
    <s v="HSTD"/>
    <s v="TNT"/>
    <s v="607247901"/>
    <s v="BE CLIM BC AUVERGNE"/>
    <s v="224 AVENUE JEAN MERM"/>
    <s v="63100"/>
    <x v="0"/>
    <x v="2"/>
  </r>
  <r>
    <s v="DSD120086"/>
    <d v="2023-10-16T00:00:00"/>
    <s v="330239525:0830374206"/>
    <s v="31025989"/>
    <s v="540012310"/>
    <s v="HNXD"/>
    <s v="TNT"/>
    <s v="607247915"/>
    <s v="AHLSELL DANMARK APS"/>
    <s v="ABILDAGER ,24"/>
    <s v="2605"/>
    <x v="15"/>
    <x v="2"/>
  </r>
  <r>
    <s v="DSD120092"/>
    <d v="2023-10-16T00:00:00"/>
    <s v="330239542:0830374193"/>
    <s v="CF103823"/>
    <s v="510146529"/>
    <s v="HNXD"/>
    <s v="TNT"/>
    <s v="607247929"/>
    <s v="BE CLIM"/>
    <s v="224 AVENUE JEAN MERM"/>
    <s v="63100"/>
    <x v="0"/>
    <x v="2"/>
  </r>
  <r>
    <s v="DSD120094"/>
    <d v="2023-10-16T00:00:00"/>
    <s v="330239433:0830374111"/>
    <s v="UNIESSE"/>
    <s v="560021764"/>
    <s v="HSTD"/>
    <s v="TNT"/>
    <s v="607247932"/>
    <s v="HYDROSTILE SAS DI MA"/>
    <s v="VIA TORQUATO TASSO ,"/>
    <s v="20089"/>
    <x v="3"/>
    <x v="2"/>
  </r>
  <r>
    <s v="DSD120098"/>
    <d v="2023-10-16T00:00:00"/>
    <s v="330239500:0830374155"/>
    <s v="ROSATTI"/>
    <s v="560021720"/>
    <s v="HSTD"/>
    <s v="TNT"/>
    <s v="607247950"/>
    <s v="CECCATO SRL"/>
    <s v="VIA BALTERA, 19"/>
    <s v="38066"/>
    <x v="3"/>
    <x v="2"/>
  </r>
  <r>
    <s v="DSD120106"/>
    <d v="2023-10-16T00:00:00"/>
    <s v="330239626:0830374229"/>
    <s v="161659"/>
    <s v="510146494"/>
    <s v="HNXD"/>
    <s v="TNT"/>
    <s v="607247977"/>
    <s v="STARTIJENN ENR"/>
    <s v="22 HENT PENHOAT BRAZ"/>
    <s v="29700"/>
    <x v="0"/>
    <x v="2"/>
  </r>
  <r>
    <s v="DSD120108"/>
    <d v="2023-10-16T00:00:00"/>
    <s v="330239601:0830374286"/>
    <s v="0927Schmidth"/>
    <s v="560021769"/>
    <s v="HNXD"/>
    <s v="TNT"/>
    <s v="607248005"/>
    <s v="KLIMA KFT"/>
    <s v="REITTER FERENC U. 13"/>
    <s v="1131"/>
    <x v="13"/>
    <x v="2"/>
  </r>
  <r>
    <s v="DSD120114"/>
    <d v="2023-10-16T00:00:00"/>
    <s v="330239563:0830374260"/>
    <s v="Ahlsell P.O. 3110"/>
    <s v="540012352"/>
    <s v="HNXD"/>
    <s v="TNT"/>
    <s v="607247994"/>
    <s v="FRANCKS KYLIND. I NO"/>
    <s v="MURBRUKSVAGEN 13"/>
    <s v="973 45"/>
    <x v="14"/>
    <x v="2"/>
  </r>
  <r>
    <s v="DSD120116"/>
    <d v="2023-10-16T00:00:00"/>
    <s v="330239647:0830374245"/>
    <s v="00100266-SAV 1403"/>
    <s v="510146250"/>
    <s v="HNXD"/>
    <s v="TNT"/>
    <s v="607248014"/>
    <s v="ALB ENERGIE"/>
    <s v="7 RUE PORTE NEUVE"/>
    <s v="32190"/>
    <x v="0"/>
    <x v="2"/>
  </r>
  <r>
    <s v="DSD120126"/>
    <d v="2023-10-16T00:00:00"/>
    <s v="330239588:0830374277"/>
    <s v="66037934"/>
    <s v="560021701"/>
    <s v="HNXD"/>
    <s v="TNT"/>
    <s v="607248028"/>
    <s v="FRIGO-VE"/>
    <s v="MARINICI 180"/>
    <s v="51216"/>
    <x v="11"/>
    <x v="2"/>
  </r>
  <r>
    <s v="DSD120128"/>
    <d v="2023-10-16T00:00:00"/>
    <s v="330238614:0830377131"/>
    <s v="A2309943"/>
    <s v="510146089"/>
    <s v="HNXD"/>
    <s v="TNT"/>
    <s v="607248031"/>
    <s v="SILFEO - GENIE CLIMA"/>
    <s v="RUE NOURISSAT ,6"/>
    <s v="21000"/>
    <x v="0"/>
    <x v="2"/>
  </r>
  <r>
    <s v="DSD120134"/>
    <d v="2023-10-16T00:00:00"/>
    <s v="330239571:0830374265"/>
    <s v="31077159"/>
    <s v="540012337"/>
    <s v="HNXD"/>
    <s v="TNT"/>
    <s v="607248059"/>
    <s v="AHLSELL DANMARK APS"/>
    <s v="ABILDAGER ,24"/>
    <s v="2605"/>
    <x v="15"/>
    <x v="2"/>
  </r>
  <r>
    <s v="DSD120138"/>
    <d v="2023-10-16T00:00:00"/>
    <s v="330239628:0830374231"/>
    <s v="161633"/>
    <s v="510146491"/>
    <s v="HNXD"/>
    <s v="TNT"/>
    <s v="607248062"/>
    <s v="AUTO PATANA"/>
    <s v="51 AVENUE DE LA LIBE"/>
    <s v="77830"/>
    <x v="0"/>
    <x v="2"/>
  </r>
  <r>
    <s v="DSD120140"/>
    <d v="2023-10-16T00:00:00"/>
    <s v="330239632:0830374234"/>
    <s v="WC246486 KYRIAD O"/>
    <s v="510146545"/>
    <s v="HNXD"/>
    <s v="TNT"/>
    <s v="607248076"/>
    <s v="DALKIA FROID SOLUTIO"/>
    <s v="2051 ROUTE DE MAREMN"/>
    <s v="40180"/>
    <x v="0"/>
    <x v="2"/>
  </r>
  <r>
    <s v="DSD120150"/>
    <d v="2023-10-16T00:00:00"/>
    <s v="330239547:0830374198"/>
    <s v="CDC127936 TB0010"/>
    <s v="510146472"/>
    <s v="HNXD"/>
    <s v="TNT"/>
    <s v="607248080"/>
    <s v="CEGECLIM"/>
    <s v="67 Av. Maryse Bastiי"/>
    <s v="16340"/>
    <x v="0"/>
    <x v="2"/>
  </r>
  <r>
    <s v="DSD120152"/>
    <d v="2023-10-16T00:00:00"/>
    <s v="330239580:0830374271"/>
    <s v="Finanzamt Peine A"/>
    <s v="540012325"/>
    <s v="HSTD"/>
    <s v="TNT"/>
    <n v="607248195"/>
    <s v="Frauenstein GmbH"/>
    <s v="Beethovenstrasse 22"/>
    <s v="38106"/>
    <x v="16"/>
    <x v="2"/>
  </r>
  <r>
    <s v="DSD120168"/>
    <d v="2023-10-16T00:00:00"/>
    <s v="330239644:0830377108"/>
    <s v="CDC127649 A0060 S"/>
    <s v="510146257"/>
    <s v="HNXD"/>
    <s v="TNT"/>
    <s v="607248093"/>
    <s v="CEGECLIM"/>
    <s v="3 Chem. de Jorlis"/>
    <s v="64600"/>
    <x v="0"/>
    <x v="2"/>
  </r>
  <r>
    <s v="DSD120178"/>
    <d v="2023-10-16T00:00:00"/>
    <s v="330238568:0830377120"/>
    <s v="WC-panetier"/>
    <s v="510146438"/>
    <s v="HNXD"/>
    <s v="TNT"/>
    <s v="607248102"/>
    <s v="HAC HITACHI"/>
    <s v="3 RUE LAVOISIER"/>
    <s v="45140"/>
    <x v="0"/>
    <x v="2"/>
  </r>
  <r>
    <s v="DSD120180"/>
    <d v="2023-10-16T00:00:00"/>
    <s v="330239553:0830374203"/>
    <s v="161688"/>
    <s v="510146498"/>
    <s v="HSTD"/>
    <s v="TNT"/>
    <s v="607248116"/>
    <s v="SA ETTORI TADDEI MOS"/>
    <s v="RN 193 - FURIANI"/>
    <s v="20600"/>
    <x v="0"/>
    <x v="2"/>
  </r>
  <r>
    <s v="DSD120184"/>
    <d v="2023-10-16T00:00:00"/>
    <s v="330239659:0830374254"/>
    <s v="BASTIEN"/>
    <s v="510146645"/>
    <s v="HNXD"/>
    <s v="TNT"/>
    <s v="607248120"/>
    <s v="ASSISTANCE CLIMATISA"/>
    <s v="PARC EDONIA, LA CORN"/>
    <s v="61250"/>
    <x v="0"/>
    <x v="2"/>
  </r>
  <r>
    <s v="DSD120186"/>
    <d v="2023-10-16T00:00:00"/>
    <s v="330239450:0830374123"/>
    <s v="02102023"/>
    <s v="560021829"/>
    <s v="HSTD"/>
    <s v="TNT"/>
    <s v="607248133"/>
    <s v="IMMERCLIMA SRL"/>
    <s v="VIA GUICCIARDI 7/F"/>
    <s v="42100"/>
    <x v="3"/>
    <x v="2"/>
  </r>
  <r>
    <s v="DSD120198"/>
    <d v="2023-10-16T00:00:00"/>
    <s v="330238701:0830377132"/>
    <s v="CDC127538 C0144 S"/>
    <s v="510146234"/>
    <s v="HNXD"/>
    <s v="TNT"/>
    <s v="607248147"/>
    <s v="COOLING INDUSTRIE"/>
    <s v="433B Route du Plach"/>
    <s v="40230"/>
    <x v="0"/>
    <x v="2"/>
  </r>
  <r>
    <s v="DSD120202"/>
    <d v="2023-10-16T00:00:00"/>
    <s v="330238707:0830377133"/>
    <s v="WC Hotel Police"/>
    <s v="510146471"/>
    <s v="HNXD"/>
    <s v="TNT"/>
    <s v="607248155"/>
    <s v="Alain bonadei"/>
    <s v="4 Rue Colomies"/>
    <s v="31100"/>
    <x v="0"/>
    <x v="2"/>
  </r>
  <r>
    <s v="DSD120206"/>
    <d v="2023-10-16T00:00:00"/>
    <s v="330239645:0830374243"/>
    <s v="CDC127643 V0004 S"/>
    <s v="510146255"/>
    <s v="HNXD"/>
    <s v="TNT"/>
    <s v="607248164"/>
    <s v="VERA ECOTHERMIE"/>
    <s v="352 Route de la Gare"/>
    <s v="64990"/>
    <x v="0"/>
    <x v="0"/>
  </r>
  <r>
    <s v="DSD120208"/>
    <d v="2023-10-16T00:00:00"/>
    <s v="330238603:0830377129"/>
    <s v="W008842"/>
    <s v="510146035"/>
    <s v="HNXD"/>
    <s v="TNT"/>
    <s v="607248178"/>
    <s v="JEAN YVES TOULLEC"/>
    <s v="SORELEC"/>
    <s v="35510"/>
    <x v="0"/>
    <x v="2"/>
  </r>
  <r>
    <s v="DSD120210"/>
    <d v="2023-10-16T00:00:00"/>
    <s v="330238584:0830377126"/>
    <s v="00100204-SAV 13S1"/>
    <s v="510146106"/>
    <s v="HNXD"/>
    <s v="TNT"/>
    <s v="607248181"/>
    <s v="SMEF AZUR"/>
    <s v="PARC D ACTIVITES DU"/>
    <s v="13580"/>
    <x v="0"/>
    <x v="2"/>
  </r>
  <r>
    <s v="DSD120220"/>
    <d v="2023-10-16T00:00:00"/>
    <s v="330238559:0830377117"/>
    <s v="WC-ROYA CHAUFFAGE"/>
    <s v="510146428"/>
    <s v="HNXD"/>
    <s v="TNT"/>
    <s v="607248204"/>
    <s v="HAC HITACHI"/>
    <s v="ZI DE L ARGILE VOIE"/>
    <s v="06370"/>
    <x v="0"/>
    <x v="2"/>
  </r>
  <r>
    <s v="DSD120230"/>
    <d v="2023-10-16T00:00:00"/>
    <s v="330239646:0830374244"/>
    <s v="CDC127647 DIV33LA"/>
    <s v="510146249"/>
    <s v="HNXD"/>
    <s v="TNT"/>
    <s v="607248218"/>
    <s v="CAVIA.R"/>
    <s v="ZAC de la Nau"/>
    <s v="19240"/>
    <x v="0"/>
    <x v="2"/>
  </r>
  <r>
    <s v="DSD120232"/>
    <d v="2023-10-16T00:00:00"/>
    <s v="330238714:0830377136"/>
    <s v="WC LE ROI SOLAIRE"/>
    <s v="510146481"/>
    <s v="HNXD"/>
    <s v="TNT"/>
    <s v="607248221"/>
    <s v="C CLIM"/>
    <s v="RUE DE DION BOUTON"/>
    <s v="26200"/>
    <x v="0"/>
    <x v="2"/>
  </r>
  <r>
    <s v="DSD120234"/>
    <d v="2023-10-16T00:00:00"/>
    <s v="330239585:0830374275"/>
    <s v="Seniorenstift Erk"/>
    <s v="540012319"/>
    <s v="HSTD"/>
    <s v="TNT"/>
    <s v="607248235"/>
    <s v="CAERIS GmbH"/>
    <s v="Christine-Englerth-S"/>
    <s v="45665"/>
    <x v="16"/>
    <x v="2"/>
  </r>
  <r>
    <s v="DSD120254"/>
    <d v="2023-10-16T00:00:00"/>
    <s v="330238710:0830377134"/>
    <s v="WC BOUCHER"/>
    <s v="510146479"/>
    <s v="HNXD"/>
    <s v="TNT"/>
    <s v="607248249"/>
    <s v="ATRF VOILLOT"/>
    <s v="12 AV. DES TIRVETS"/>
    <s v="10150"/>
    <x v="0"/>
    <x v="2"/>
  </r>
  <r>
    <s v="DSD120256"/>
    <d v="2023-10-16T00:00:00"/>
    <s v="330238574:0830377124"/>
    <s v="WC-ROYA CHAUFFAGE"/>
    <s v="510146453"/>
    <s v="HNXD"/>
    <s v="TNT"/>
    <s v="607248252"/>
    <s v="HAC HITACHI"/>
    <s v="ZI DE L ARGILE VOIE"/>
    <s v="06370"/>
    <x v="0"/>
    <x v="2"/>
  </r>
  <r>
    <s v="DSD120258"/>
    <d v="2023-10-16T00:00:00"/>
    <s v="330238573:0830377123"/>
    <s v="WC-BARRIER"/>
    <s v="510146449"/>
    <s v="HNXD"/>
    <s v="TNT"/>
    <s v="607248266"/>
    <s v="HAC HITACHI"/>
    <s v="CHEMIN GABRIEL VENTR"/>
    <s v="83160"/>
    <x v="0"/>
    <x v="2"/>
  </r>
  <r>
    <s v="DSD120262"/>
    <d v="2023-10-16T00:00:00"/>
    <s v="330239592:0830374279"/>
    <s v="Nikolai Nikolov 1"/>
    <s v="560021814"/>
    <s v="HSTD"/>
    <s v="TNT"/>
    <s v="607248270"/>
    <s v="ACTON ELECTRONICS OO"/>
    <s v="135D TSARIGRADSKO SH"/>
    <s v="1784"/>
    <x v="12"/>
    <x v="2"/>
  </r>
  <r>
    <s v="DSD120272"/>
    <d v="2023-10-16T00:00:00"/>
    <s v="330238580:0830377125"/>
    <s v="C2309251 HYD 59BC"/>
    <s v="510146093"/>
    <s v="HNXD"/>
    <s v="TNT"/>
    <s v="607248283"/>
    <s v="HYDECLIM LILLE"/>
    <s v="16 RUE DES CHAMPS"/>
    <s v="59650"/>
    <x v="0"/>
    <x v="2"/>
  </r>
  <r>
    <s v="DSD120282"/>
    <d v="2023-10-16T00:00:00"/>
    <s v="330239635:0830374236"/>
    <s v="WC-ASSELINEAU"/>
    <s v="510146536"/>
    <s v="HNXD"/>
    <s v="TNT"/>
    <s v="607248297"/>
    <s v="CLIM CONCEPT"/>
    <s v="19 RUE BERNARD PALIS"/>
    <s v="45140"/>
    <x v="0"/>
    <x v="2"/>
  </r>
  <r>
    <s v="DSD120284"/>
    <d v="2023-10-16T00:00:00"/>
    <s v="330239629:0830374232"/>
    <s v="161628"/>
    <s v="510146490"/>
    <s v="HNXD"/>
    <s v="TNT"/>
    <s v="607248371"/>
    <s v="GASCON PHILIPPE"/>
    <s v="31 RUE DU GENERAL LE"/>
    <s v="60510"/>
    <x v="0"/>
    <x v="2"/>
  </r>
  <r>
    <s v="DSD120286"/>
    <d v="2023-10-16T00:00:00"/>
    <s v="330239550:0830374200"/>
    <s v="ENGIE ST EGREVE"/>
    <s v="510146441"/>
    <s v="HNXD"/>
    <s v="TNT"/>
    <s v="607248473"/>
    <s v="ENGIE HOME SRVICES"/>
    <s v="27 RUE DE GLAIRAUX"/>
    <s v="38120"/>
    <x v="0"/>
    <x v="2"/>
  </r>
  <r>
    <s v="DSD120288"/>
    <d v="2023-10-16T00:00:00"/>
    <s v="330239472:0830374139"/>
    <s v="ENJOY IMMOBILIARE"/>
    <s v="560021757"/>
    <s v="HSTD"/>
    <s v="TNT"/>
    <s v="607248310"/>
    <s v="EMMECLIMA SRL"/>
    <s v="VIA CAVOUR 28/A"/>
    <s v="37060"/>
    <x v="3"/>
    <x v="2"/>
  </r>
  <r>
    <s v="DSD120290"/>
    <d v="2023-10-16T00:00:00"/>
    <s v="330239590:0830374278"/>
    <s v="1002Ozon"/>
    <s v="560021823"/>
    <s v="HNXD"/>
    <s v="TNT"/>
    <s v="607248354"/>
    <s v="KLIMA KFT"/>
    <s v="REITTER FERENC U. 13"/>
    <s v="1131"/>
    <x v="13"/>
    <x v="2"/>
  </r>
  <r>
    <s v="DSD120292"/>
    <d v="2023-10-16T00:00:00"/>
    <s v="330239627:0830374230"/>
    <s v="161658"/>
    <s v="510146493"/>
    <s v="HNXD"/>
    <s v="TNT"/>
    <s v="607248337"/>
    <s v="BRONZEAU MICHEL"/>
    <s v="33 ALLEE DU PRE LAMB"/>
    <s v="91190"/>
    <x v="0"/>
    <x v="2"/>
  </r>
  <r>
    <s v="DSD120294"/>
    <d v="2023-10-16T00:00:00"/>
    <s v="330238563:0830377119"/>
    <s v="WC GSE REIMS ARE"/>
    <s v="510146433"/>
    <s v="HNXD"/>
    <s v="TNT"/>
    <s v="607248368"/>
    <s v="Eiffage services"/>
    <s v="Arena de REIMS"/>
    <s v="51000"/>
    <x v="0"/>
    <x v="0"/>
  </r>
  <r>
    <s v="DSD120296"/>
    <d v="2023-10-16T00:00:00"/>
    <s v="330238711:0830377135"/>
    <s v="WC Villeneuve les"/>
    <s v="510146468"/>
    <s v="HNXD"/>
    <s v="TNT"/>
    <s v="607248385"/>
    <s v="Adecoterm"/>
    <s v="10 Chemin de Perpign"/>
    <s v="31100"/>
    <x v="0"/>
    <x v="2"/>
  </r>
  <r>
    <s v="DSD120300"/>
    <d v="2023-10-16T00:00:00"/>
    <s v="330238719:0830377138"/>
    <s v="WC Mairie Montaub"/>
    <s v="510146492"/>
    <s v="HNXD"/>
    <s v="TNT"/>
    <s v="607248399"/>
    <s v="ENGIE SOLUTIONS"/>
    <s v="330 avenue du Danema"/>
    <s v="82000"/>
    <x v="0"/>
    <x v="0"/>
  </r>
  <r>
    <s v="DSD120304"/>
    <d v="2023-10-16T00:00:00"/>
    <s v="330239496:0830374152"/>
    <s v="CSC"/>
    <s v="560021916"/>
    <s v="HSTD"/>
    <s v="TNT"/>
    <s v="607248456"/>
    <s v="CSC BOSSETTI"/>
    <s v="LOCALITA' S. SPIRITO"/>
    <s v="27027"/>
    <x v="3"/>
    <x v="2"/>
  </r>
  <r>
    <s v="DSD120306"/>
    <d v="2023-10-16T00:00:00"/>
    <s v="330238570:0830377121"/>
    <s v="WC-MR BRUNO"/>
    <s v="510146442"/>
    <s v="HNXD"/>
    <s v="TNT"/>
    <s v="607248411"/>
    <s v="HAC HITACHI"/>
    <s v="3 RUE LAVOISIER"/>
    <s v="45140"/>
    <x v="0"/>
    <x v="2"/>
  </r>
  <r>
    <s v="DSD120308"/>
    <d v="2023-10-16T00:00:00"/>
    <s v="330238763:0830377142"/>
    <s v="WC"/>
    <s v="510146412"/>
    <s v="HNXD"/>
    <s v="TNT"/>
    <s v="607248425"/>
    <s v="DAHURON SARL"/>
    <s v="ALLEE PARC DE BEL AI"/>
    <s v="41100"/>
    <x v="0"/>
    <x v="2"/>
  </r>
  <r>
    <s v="DSD120312"/>
    <d v="2023-10-16T00:00:00"/>
    <s v="330239656:0830374251"/>
    <s v="230904296"/>
    <s v="510145946"/>
    <s v="HNXD"/>
    <s v="TNT"/>
    <s v="607248439"/>
    <s v="AIRCCO"/>
    <s v="6 RUE GEORGES BRASSE"/>
    <s v="31140"/>
    <x v="0"/>
    <x v="2"/>
  </r>
  <r>
    <s v="DSD120316"/>
    <d v="2023-10-16T00:00:00"/>
    <s v="330239636:0830377147"/>
    <s v="WC244834 FLOCON/"/>
    <s v="510146528"/>
    <s v="HNXD"/>
    <s v="TNT"/>
    <s v="607248442"/>
    <s v="V F CONFORT"/>
    <s v="8 rue des Bruyeres"/>
    <s v="25220"/>
    <x v="0"/>
    <x v="2"/>
  </r>
  <r>
    <s v="DSD120318"/>
    <d v="2023-10-16T00:00:00"/>
    <s v="330239637:0830377148"/>
    <s v="WC GOLLANDIERES"/>
    <s v="510146504"/>
    <s v="HNXD"/>
    <s v="TNT"/>
    <s v="607248460"/>
    <s v="DUPRE SOLUTIONS ENER"/>
    <s v="120 COURS PAUL DOUME"/>
    <s v="17100"/>
    <x v="0"/>
    <x v="2"/>
  </r>
  <r>
    <s v="DSD120322"/>
    <d v="2023-10-16T00:00:00"/>
    <s v="330238746:0830377141"/>
    <s v="00100251-RWM6 SAV"/>
    <s v="510146200"/>
    <s v="HNXD"/>
    <s v="TNT"/>
    <s v="607248487"/>
    <s v="PACLIMSERVICES"/>
    <s v="32 RUE DE LA LIBERTE"/>
    <s v="91600"/>
    <x v="0"/>
    <x v="1"/>
  </r>
  <r>
    <s v="DSD120328"/>
    <d v="2023-10-16T00:00:00"/>
    <s v="330238720:0830377139"/>
    <s v="WC"/>
    <s v="510146496"/>
    <s v="HNXD"/>
    <s v="TNT"/>
    <s v="607248495"/>
    <s v="CALOPORTAGE"/>
    <s v="16 av des nations"/>
    <s v="57970"/>
    <x v="0"/>
    <x v="2"/>
  </r>
  <r>
    <s v="DSD120330"/>
    <d v="2023-10-16T00:00:00"/>
    <s v="330238571:0830377122"/>
    <s v="WC-ENGIE"/>
    <s v="510146443"/>
    <s v="HNXD"/>
    <s v="TNT"/>
    <s v="607248500"/>
    <s v="HAC HITACHI"/>
    <s v="ZI DE L ARGILE VOIE"/>
    <s v="06370"/>
    <x v="0"/>
    <x v="2"/>
  </r>
  <r>
    <s v="DSD120334"/>
    <d v="2023-10-16T00:00:00"/>
    <s v="330239586:0830374276"/>
    <s v="Jet J05966 Ettenh"/>
    <s v="540012317"/>
    <s v="HSTD"/>
    <s v="TNT"/>
    <s v="607248527"/>
    <s v="Suedkaelte GmbH"/>
    <s v="Gruenstr. 13"/>
    <s v="79232"/>
    <x v="16"/>
    <x v="2"/>
  </r>
  <r>
    <s v="DSD120338"/>
    <d v="2023-10-16T00:00:00"/>
    <s v="330238610:0830377130"/>
    <s v="CLIENT PELLEGRIN"/>
    <s v="510146056"/>
    <s v="HSTD"/>
    <s v="TNT"/>
    <s v="607248535"/>
    <s v="PROXICLIM"/>
    <s v="LA BELLE GRAPPE"/>
    <s v="13190"/>
    <x v="0"/>
    <x v="2"/>
  </r>
  <r>
    <s v="DSD120340"/>
    <d v="2023-10-16T00:00:00"/>
    <s v="330239434:0830374112"/>
    <s v="UNIESSE"/>
    <s v="560021765"/>
    <s v="HSTD"/>
    <s v="TNT"/>
    <s v="607248544"/>
    <s v="HYDROSTILE SAS DI MA"/>
    <s v="VIA TORQUATO TASSO ,"/>
    <s v="20089"/>
    <x v="3"/>
    <x v="2"/>
  </r>
  <r>
    <s v="DSD120344"/>
    <d v="2023-10-16T00:00:00"/>
    <s v="330238600:0830377128"/>
    <s v="SAV stock"/>
    <s v="510146010"/>
    <s v="HNXD"/>
    <s v="TNT"/>
    <s v="607248558"/>
    <s v="ID ENERGIES"/>
    <s v="ZA D ARMANVILLE"/>
    <s v="50700"/>
    <x v="0"/>
    <x v="2"/>
  </r>
  <r>
    <s v="DSD120348"/>
    <d v="2023-10-16T00:00:00"/>
    <s v="330239631:0830377146"/>
    <s v="161614"/>
    <s v="510146480"/>
    <s v="HNXD"/>
    <s v="TNT"/>
    <s v="607248561"/>
    <s v="MARTIN YANNICK"/>
    <s v="66 ALLEE DE LA SENTE"/>
    <s v="93290"/>
    <x v="0"/>
    <x v="2"/>
  </r>
  <r>
    <s v="DSD120354"/>
    <d v="2023-10-16T00:00:00"/>
    <s v="330239641:0830374240"/>
    <s v="C2310028HYD 44BC0"/>
    <s v="510146279"/>
    <s v="HNXD"/>
    <s v="TNT"/>
    <s v="607248575"/>
    <s v="PARTEDIS AGENCE RODE"/>
    <s v="23 RUE NICOLAS APPER"/>
    <s v="12000"/>
    <x v="0"/>
    <x v="2"/>
  </r>
  <r>
    <s v="DSD120372"/>
    <d v="2023-10-16T00:00:00"/>
    <s v="330239610:0830377225"/>
    <s v="WC PATRICK CUVILL"/>
    <s v="510146562"/>
    <s v="HNXD"/>
    <s v="TNT"/>
    <s v="607248592"/>
    <s v="ETD HEILLECOURT"/>
    <s v="35 ALLEE DES GRAND P"/>
    <s v="54180"/>
    <x v="0"/>
    <x v="2"/>
  </r>
  <r>
    <s v="DSD120374"/>
    <d v="2023-10-16T00:00:00"/>
    <s v="330239600:0830374285"/>
    <s v="Ruvex 155"/>
    <s v="560021770"/>
    <s v="HNXD"/>
    <s v="TNT"/>
    <s v="607248601"/>
    <s v="ACTON ELECTRONICS OO"/>
    <s v="135D TARIGRADSKO SHO"/>
    <s v="1784"/>
    <x v="12"/>
    <x v="2"/>
  </r>
  <r>
    <s v="DSD120376"/>
    <d v="2023-10-16T00:00:00"/>
    <s v="330239546:0830374197"/>
    <s v="FL ENERGIES"/>
    <s v="510146393"/>
    <s v="HNXD"/>
    <s v="TNT"/>
    <s v="607248615"/>
    <s v="FL ENERGIES"/>
    <s v="QUARTIER LE CLOMBIER"/>
    <s v="26110"/>
    <x v="0"/>
    <x v="2"/>
  </r>
  <r>
    <s v="DSD120378"/>
    <d v="2023-10-16T00:00:00"/>
    <s v="330239613:0830374228"/>
    <s v="WC ACLIMGELEC/S"/>
    <s v="510146559"/>
    <s v="HNXD"/>
    <s v="TNT"/>
    <s v="607248629"/>
    <s v="ETD HEILLECOURT"/>
    <s v="35 ALLEE DES GRANDS"/>
    <s v="54180"/>
    <x v="0"/>
    <x v="2"/>
  </r>
  <r>
    <s v="DSD120382"/>
    <d v="2023-10-16T00:00:00"/>
    <s v="330239498:0830377211"/>
    <s v="May-23"/>
    <s v="560021853"/>
    <s v="HSTD"/>
    <s v="TNT"/>
    <s v="607248632"/>
    <s v="FERRARI ROMOLO &amp; C."/>
    <s v="VIA PASQUALE PAOLI,"/>
    <s v="22100"/>
    <x v="3"/>
    <x v="2"/>
  </r>
  <r>
    <s v="DSD120392"/>
    <d v="2023-10-16T00:00:00"/>
    <s v="330239611:0830377226"/>
    <s v="WC MR RUIZ"/>
    <s v="510146561"/>
    <s v="HSTD"/>
    <s v="TNT"/>
    <s v="607248650"/>
    <s v="C CLIM"/>
    <s v="48 AVENUE DES AUREAT"/>
    <s v="26000"/>
    <x v="0"/>
    <x v="2"/>
  </r>
  <r>
    <s v="DSD120400"/>
    <d v="2023-10-16T00:00:00"/>
    <s v="330239617:0830377190"/>
    <s v="WC GREEN HOME"/>
    <s v="510146555"/>
    <s v="HNXD"/>
    <s v="TNT"/>
    <s v="607248663"/>
    <s v="ETD HEILLECOURT"/>
    <s v="35 ALLEE DES GRANDS"/>
    <s v="54180"/>
    <x v="0"/>
    <x v="2"/>
  </r>
  <r>
    <s v="DSD120402"/>
    <d v="2023-10-16T00:00:00"/>
    <s v="330239621:0830377194"/>
    <s v="WC-DIFF"/>
    <s v="510146548"/>
    <s v="HNXD"/>
    <s v="TNT"/>
    <s v="607248677"/>
    <s v="LE COMPTOIR CVC CAEN"/>
    <s v="30 rue Madeleine Bre"/>
    <s v="14123"/>
    <x v="0"/>
    <x v="2"/>
  </r>
  <r>
    <s v="DSD120408"/>
    <d v="2023-10-16T00:00:00"/>
    <s v="330239650:0830374248"/>
    <s v="15789"/>
    <s v="510146406"/>
    <s v="HNXD"/>
    <s v="TNT"/>
    <s v="607248685"/>
    <s v="CBM"/>
    <s v="CBM"/>
    <s v="33187"/>
    <x v="0"/>
    <x v="2"/>
  </r>
  <r>
    <s v="DSD120410"/>
    <d v="2023-10-16T00:00:00"/>
    <s v="330239624:0830377197"/>
    <s v="CDC127689 S0053 S"/>
    <s v="510146220"/>
    <s v="HNXD"/>
    <s v="TNT"/>
    <s v="607248694"/>
    <s v="SARRAT"/>
    <s v="QUARTIER Munein"/>
    <s v="64390"/>
    <x v="0"/>
    <x v="2"/>
  </r>
  <r>
    <s v="DSD120412"/>
    <d v="2023-10-16T00:00:00"/>
    <s v="330239614:0830377187"/>
    <s v="WCGT CLIMATIQUE"/>
    <s v="510146558"/>
    <s v="HNXD"/>
    <s v="TNT"/>
    <s v="607248703"/>
    <s v="ETD HEILLECOURT"/>
    <s v="35 ALLEE DES GRANDS"/>
    <s v="54180"/>
    <x v="0"/>
    <x v="2"/>
  </r>
  <r>
    <s v="DSD120414"/>
    <d v="2023-10-16T00:00:00"/>
    <s v="330239623:0830377196"/>
    <s v="WC-Ferme elevage"/>
    <s v="510146546"/>
    <s v="HNXD"/>
    <s v="TNT"/>
    <s v="607248717"/>
    <s v="LE COMPTOIR CVC CAEN"/>
    <s v="30 Rue Madeleine Bre"/>
    <s v="14123"/>
    <x v="0"/>
    <x v="2"/>
  </r>
  <r>
    <s v="DSD120418"/>
    <d v="2023-10-16T00:00:00"/>
    <s v="330239622:0830377195"/>
    <s v="WC-VOISIN"/>
    <s v="510146547"/>
    <s v="HNXD"/>
    <s v="TNT"/>
    <s v="607248725"/>
    <s v="LC Pro Energies"/>
    <s v="ZI rue de l Orne"/>
    <s v="14570"/>
    <x v="0"/>
    <x v="2"/>
  </r>
  <r>
    <s v="DSD120420"/>
    <d v="2023-10-16T00:00:00"/>
    <s v="330239616:0830377189"/>
    <s v="WC GS-3 ENERGIES"/>
    <s v="510146556"/>
    <s v="HNXD"/>
    <s v="TNT"/>
    <s v="607248734"/>
    <s v="ETD HEILLECOURT"/>
    <s v="35 ALLEE DES GRANDS"/>
    <s v="54180"/>
    <x v="0"/>
    <x v="2"/>
  </r>
  <r>
    <s v="DSD120422"/>
    <d v="2023-10-16T00:00:00"/>
    <s v="330239620:0830377193"/>
    <s v="WC-CHEVALIER"/>
    <s v="510146549"/>
    <s v="HNXD"/>
    <s v="TNT"/>
    <s v="607248748"/>
    <s v="POINT SERVICES"/>
    <s v="23 ROUTE DE DELINCOU"/>
    <s v="27140"/>
    <x v="0"/>
    <x v="2"/>
  </r>
  <r>
    <s v="DSD120424"/>
    <d v="2023-10-16T00:00:00"/>
    <s v="330239612:0830377186"/>
    <s v="WC HIRSHAUER/STO"/>
    <s v="510146560"/>
    <s v="HNXD"/>
    <s v="TNT"/>
    <s v="607248751"/>
    <s v="ETD HEILLECOURT"/>
    <s v="35 ALLEE DES GRAND P"/>
    <s v="54180"/>
    <x v="0"/>
    <x v="2"/>
  </r>
  <r>
    <s v="DSD120426"/>
    <d v="2023-10-16T00:00:00"/>
    <s v="330239448:0830377184"/>
    <s v="Hotel Victoria"/>
    <s v="560021821"/>
    <s v="HSTD"/>
    <s v="TNT"/>
    <s v="607248765"/>
    <s v="G.M. SERVICE S.A.S."/>
    <s v="VIA G. CESARE 3"/>
    <s v="66020"/>
    <x v="3"/>
    <x v="2"/>
  </r>
  <r>
    <s v="DSD120430"/>
    <d v="2023-10-16T00:00:00"/>
    <s v="330239609:0830377224"/>
    <s v="WC DELANGE"/>
    <s v="510146564"/>
    <s v="HNXD"/>
    <s v="TNT"/>
    <s v="607248782"/>
    <s v="CHAUFFACLIM"/>
    <s v="12 ROUTE DU CHATEAU"/>
    <s v="79290"/>
    <x v="0"/>
    <x v="2"/>
  </r>
  <r>
    <s v="DSD120434"/>
    <d v="2023-10-16T00:00:00"/>
    <s v="330239618:0830377191"/>
    <s v="WC NOYER"/>
    <s v="510146554"/>
    <s v="HNXD"/>
    <s v="TNT"/>
    <s v="607248805"/>
    <s v="C CLIM"/>
    <s v="RUE DE DION BOUTON"/>
    <s v="26200"/>
    <x v="0"/>
    <x v="2"/>
  </r>
  <r>
    <s v="DSD120436"/>
    <d v="2023-10-16T00:00:00"/>
    <s v="330238783:0830377144"/>
    <s v="BOULANGERIE VERS"/>
    <s v="510146084"/>
    <s v="HNXD"/>
    <s v="TNT"/>
    <s v="607248819"/>
    <s v="GCI-SUD"/>
    <s v="5 A CHEMIN DE SAINT"/>
    <s v="30210"/>
    <x v="0"/>
    <x v="2"/>
  </r>
  <r>
    <s v="DSD120444"/>
    <d v="2023-10-16T00:00:00"/>
    <s v="330239543:0830374194"/>
    <s v="CF103825"/>
    <s v="510146522"/>
    <s v="HNXD"/>
    <s v="TNT"/>
    <s v="607248822"/>
    <s v="BE CLIM"/>
    <s v="224 AVENUE JEAN MERM"/>
    <s v="63100"/>
    <x v="0"/>
    <x v="2"/>
  </r>
  <r>
    <s v="DSD120450"/>
    <d v="2023-10-16T00:00:00"/>
    <s v="330239534:0830377220"/>
    <s v="23000361"/>
    <s v="540012298"/>
    <s v="HSTD"/>
    <s v="TNT"/>
    <s v="607248836"/>
    <s v="HD KLIMAATSYSTEMEN"/>
    <s v="CARNEOOL 400"/>
    <s v="3316 KC"/>
    <x v="2"/>
    <x v="2"/>
  </r>
  <r>
    <s v="DSD120460"/>
    <d v="2023-10-16T00:00:00"/>
    <s v="330239654:0830377149"/>
    <s v="231004367"/>
    <s v="510146320"/>
    <s v="HNXD"/>
    <s v="TNT"/>
    <s v="607248853"/>
    <s v="AIRCCO"/>
    <s v="6 RUE GEORGES BRASSE"/>
    <s v="31140"/>
    <x v="0"/>
    <x v="2"/>
  </r>
  <r>
    <s v="DSD120466"/>
    <d v="2023-10-16T00:00:00"/>
    <s v="330239615:0830377188"/>
    <s v="WC FASO/S"/>
    <s v="510146557"/>
    <s v="HNXD"/>
    <s v="TNT"/>
    <s v="607248867"/>
    <s v="ETD HEILLECOURT"/>
    <s v="35 ALLEE DES GRANDS"/>
    <s v="54180"/>
    <x v="0"/>
    <x v="2"/>
  </r>
  <r>
    <s v="DSD119892"/>
    <d v="2023-10-16T00:00:00"/>
    <s v="330239460:0830374130"/>
    <s v="SAVASTANO"/>
    <s v="560021851"/>
    <s v="HNXD"/>
    <s v="UPS"/>
    <s v="1Z1V47910444845389"/>
    <s v="RE.CLI. SAS DI TIZZA"/>
    <s v="CORSO ITALIA, 151"/>
    <s v="80065"/>
    <x v="3"/>
    <x v="2"/>
  </r>
  <r>
    <s v="DSD119896"/>
    <d v="2023-10-16T00:00:00"/>
    <s v="330239528:0830374207"/>
    <s v="TCK001313, Dr. Wo"/>
    <s v="540012305"/>
    <s v="HNXD"/>
    <s v="UPS"/>
    <s v="1Z1V47910444167997"/>
    <s v="Elektro-Schwab GmbH"/>
    <s v="Friedrich-Ebert-Str."/>
    <s v="63512"/>
    <x v="16"/>
    <x v="2"/>
  </r>
  <r>
    <s v="DSD119908"/>
    <d v="2023-10-16T00:00:00"/>
    <s v="330239501:0830374156"/>
    <s v="ROMEI 2209"/>
    <s v="560021727"/>
    <s v="HNXD"/>
    <s v="UPS"/>
    <s v="1Z1V47910445971606"/>
    <s v="CLIMA CENTER SRL"/>
    <s v="VIA VITTORIO BARBIER"/>
    <s v="50141"/>
    <x v="3"/>
    <x v="2"/>
  </r>
  <r>
    <s v="DSD119928"/>
    <d v="2023-10-16T00:00:00"/>
    <s v="330239455:0830374125"/>
    <s v="Cintoli"/>
    <s v="560021838"/>
    <s v="HNXD"/>
    <s v="UPS"/>
    <s v="1Z1V47910443356212"/>
    <s v="SOC TGK DI PICCIOLI"/>
    <s v="VIA NAZIONALE ,319/1"/>
    <s v="18100"/>
    <x v="3"/>
    <x v="2"/>
  </r>
  <r>
    <s v="DSD119930"/>
    <d v="2023-10-16T00:00:00"/>
    <s v="330239456:0830374126"/>
    <s v="00"/>
    <s v="560021841"/>
    <s v="HNXD"/>
    <s v="UPS"/>
    <s v="1Z1V47910444421827"/>
    <s v="PR 2000 SRL"/>
    <s v="VIA DEL CAMPO, 2"/>
    <s v="04011"/>
    <x v="3"/>
    <x v="2"/>
  </r>
  <r>
    <s v="DSD119944"/>
    <d v="2023-10-16T00:00:00"/>
    <s v="330239459:0830374129"/>
    <s v="ENGIE"/>
    <s v="560021849"/>
    <s v="HNXD"/>
    <s v="UPS"/>
    <s v="1Z1V47910445268439"/>
    <s v="CONDTERM SRL"/>
    <s v="VIA FABBRICHETTA 57"/>
    <s v="10095"/>
    <x v="3"/>
    <x v="2"/>
  </r>
  <r>
    <s v="DSD119950"/>
    <d v="2023-10-16T00:00:00"/>
    <s v="330239508:0830374159"/>
    <s v="28092023"/>
    <s v="560021739"/>
    <s v="HNXD"/>
    <s v="UPS"/>
    <s v="1Z1V47910444996047"/>
    <s v="I TECNO SRL"/>
    <s v="VIA BARCA 4"/>
    <s v="60025"/>
    <x v="3"/>
    <x v="2"/>
  </r>
  <r>
    <s v="DSD119968"/>
    <d v="2023-10-16T00:00:00"/>
    <s v="330239575:0830374267"/>
    <s v="TCK001320 - REWE"/>
    <s v="540012332"/>
    <s v="HNXD"/>
    <s v="UPS"/>
    <s v="1Z1V47910445704654"/>
    <s v="Yves Schirmer"/>
    <s v="Herrenstr. 7/8"/>
    <s v="16792"/>
    <x v="16"/>
    <x v="2"/>
  </r>
  <r>
    <s v="DSD119974"/>
    <d v="2023-10-16T00:00:00"/>
    <s v="330239091:0830373922"/>
    <s v="-19519"/>
    <s v="560021792"/>
    <s v="HNXD"/>
    <s v="UPS"/>
    <s v="1Z1V47910443494260"/>
    <s v="GLOBAL ASSISTANCE SN"/>
    <s v="VIA DELLE QUERCE 13"/>
    <s v="47042"/>
    <x v="3"/>
    <x v="2"/>
  </r>
  <r>
    <s v="DSD119980"/>
    <d v="2023-10-16T00:00:00"/>
    <s v="330239468:0830374136"/>
    <s v="WC 62-2023"/>
    <s v="560021955"/>
    <s v="HNXD"/>
    <s v="UPS"/>
    <s v="1Z1V47910443464873"/>
    <s v="SEC SINERGIE"/>
    <s v="SEC SINERGIE"/>
    <s v="00043"/>
    <x v="3"/>
    <x v="2"/>
  </r>
  <r>
    <s v="DSD119984"/>
    <d v="2023-10-16T00:00:00"/>
    <s v="330239489:0830374147"/>
    <s v="hotelnani"/>
    <s v="560021899"/>
    <s v="HNXD"/>
    <s v="UPS"/>
    <s v="1Z1V47910444716483"/>
    <s v="CLIMADRIATIC SRL"/>
    <s v="VIA A. VOLTA, 11"/>
    <s v="60033"/>
    <x v="3"/>
    <x v="2"/>
  </r>
  <r>
    <s v="DSD119990"/>
    <d v="2023-10-16T00:00:00"/>
    <s v="330239503:0830374157"/>
    <s v="15"/>
    <s v="560021731"/>
    <s v="HNXD"/>
    <s v="UPS"/>
    <s v="1Z1V47910443349097"/>
    <s v="CLIMACOOL SRL"/>
    <s v="STRADA COMUNALE BELL"/>
    <s v="61040"/>
    <x v="3"/>
    <x v="2"/>
  </r>
  <r>
    <s v="DSD120000"/>
    <d v="2023-10-16T00:00:00"/>
    <s v="330239490:0830374148"/>
    <s v="WC 9723"/>
    <s v="560021902"/>
    <s v="HNXD"/>
    <s v="UPS"/>
    <s v="1Z1V47910444462702"/>
    <s v="SEC SINERGIE"/>
    <s v="VIA DEL SASSONE 5/A"/>
    <s v="00043"/>
    <x v="3"/>
    <x v="2"/>
  </r>
  <r>
    <s v="DSD120014"/>
    <d v="2023-10-16T00:00:00"/>
    <s v="330239511:0830374161"/>
    <s v="23/00530"/>
    <s v="560021748"/>
    <s v="HNXD"/>
    <s v="UPS"/>
    <s v="1Z1V47910444157319"/>
    <s v="T.M. GROUP SRL"/>
    <s v="VIA DEL LAVORO, 40/4"/>
    <s v="30030"/>
    <x v="3"/>
    <x v="2"/>
  </r>
  <r>
    <s v="DSD120030"/>
    <d v="2023-10-16T00:00:00"/>
    <s v="330239574:0830374266"/>
    <s v="TCK001317 - Lager"/>
    <s v="540012333"/>
    <s v="HNXD"/>
    <s v="UPS"/>
    <s v="1Z1V47910444532921"/>
    <s v="Fit-Cool GmbH"/>
    <s v="Kiefernstrasse 22"/>
    <s v="66299"/>
    <x v="16"/>
    <x v="2"/>
  </r>
  <r>
    <s v="DSD120036"/>
    <d v="2023-10-16T00:00:00"/>
    <s v="330239457:0830374127"/>
    <s v="60-2023"/>
    <s v="560021842"/>
    <s v="HNXD"/>
    <s v="UPS"/>
    <s v="1Z1V47910444689530"/>
    <s v="S.E.C SINERGIE SRL"/>
    <s v="Via del Sassone 5/a"/>
    <s v="00043"/>
    <x v="3"/>
    <x v="2"/>
  </r>
  <r>
    <s v="DSD120040"/>
    <d v="2023-10-16T00:00:00"/>
    <s v="330239435:0830374113"/>
    <s v="Climant 2"/>
    <s v="560021766"/>
    <s v="HNXD"/>
    <s v="UPS"/>
    <s v="1Z1V47910443727142"/>
    <s v="MAZZINI MAURO"/>
    <s v="VIA UGO FOSCOLO 16"/>
    <s v="39012"/>
    <x v="3"/>
    <x v="2"/>
  </r>
  <r>
    <s v="DSD120046"/>
    <d v="2023-10-16T00:00:00"/>
    <s v="330239535:0830374212"/>
    <s v="DB Dessau - FB RA"/>
    <s v="540012295"/>
    <s v="HNXD"/>
    <s v="UPS"/>
    <s v="1Z1V47910443745757"/>
    <s v="AKL-Condition Buse"/>
    <s v="Schulstr. 16"/>
    <s v="37359"/>
    <x v="16"/>
    <x v="2"/>
  </r>
  <r>
    <s v="DSD120050"/>
    <d v="2023-10-16T00:00:00"/>
    <s v="330239507:0830374158"/>
    <s v="ARCH. CURATO"/>
    <s v="560021738"/>
    <s v="HNXD"/>
    <s v="UPS"/>
    <s v="1Z1V47910443845363"/>
    <s v="SC CLIMA SRLS"/>
    <s v="VIA TRINITA' 18"/>
    <s v="71010"/>
    <x v="3"/>
    <x v="2"/>
  </r>
  <r>
    <s v="DSD120054"/>
    <d v="2023-10-16T00:00:00"/>
    <s v="330239559:0830374257"/>
    <s v="10/3047/302735 Av"/>
    <s v="540012357"/>
    <s v="HNXD"/>
    <s v="UPS"/>
    <s v="1Z1V47910443125971"/>
    <s v="ELMATIC GmbH"/>
    <s v="Hannoversche Strasse"/>
    <s v="30916"/>
    <x v="16"/>
    <x v="2"/>
  </r>
  <r>
    <s v="DSD120064"/>
    <d v="2023-10-16T00:00:00"/>
    <s v="330239578:0830374269"/>
    <s v="Wasabi Filter"/>
    <s v="540012327"/>
    <s v="HNXD"/>
    <s v="UPS"/>
    <s v="1Z1V47910444630191"/>
    <s v="Bormuth-Stumpf GmbH"/>
    <s v="Borsigstrasse 2"/>
    <s v="64646"/>
    <x v="16"/>
    <x v="2"/>
  </r>
  <r>
    <s v="DSD120072"/>
    <d v="2023-10-16T00:00:00"/>
    <s v="330239461:0830374131"/>
    <s v="15227/4186"/>
    <s v="560021854"/>
    <s v="HNXD"/>
    <s v="UPS"/>
    <s v="1Z1V47910445053803"/>
    <s v="Pentaservice Snc"/>
    <s v="Via M. Piovesana 146"/>
    <s v="31015"/>
    <x v="3"/>
    <x v="2"/>
  </r>
  <r>
    <s v="DSD120082"/>
    <d v="2023-10-16T00:00:00"/>
    <s v="330239458:0830374128"/>
    <s v="4500659083"/>
    <s v="560021848"/>
    <s v="HNXD"/>
    <s v="UPS"/>
    <s v="1Z1V47910444058417"/>
    <s v="FIT SERVICE SPA"/>
    <s v="VIA STANISLAO INTINI"/>
    <s v="27015"/>
    <x v="3"/>
    <x v="2"/>
  </r>
  <r>
    <s v="DSD120084"/>
    <d v="2023-10-16T00:00:00"/>
    <s v="330239583:0830374273"/>
    <s v="Luefter fuer RCIM"/>
    <s v="540012321"/>
    <s v="HNXD"/>
    <s v="UPS"/>
    <s v="1Z1V47910443744025"/>
    <s v="Roland Kaelte GmbH"/>
    <s v="Mittelwendung 13"/>
    <s v="28844"/>
    <x v="16"/>
    <x v="2"/>
  </r>
  <r>
    <s v="DSD120088"/>
    <d v="2023-10-16T00:00:00"/>
    <s v="330239443:0830374119"/>
    <s v="151-23"/>
    <s v="560021790"/>
    <s v="HNXD"/>
    <s v="UPS"/>
    <s v="1Z1V47910444558243"/>
    <s v="CLIMAT&amp;C SRL"/>
    <s v="VIA PETRA NIEDDA ,1/"/>
    <s v="07026"/>
    <x v="3"/>
    <x v="2"/>
  </r>
  <r>
    <s v="DSD120090"/>
    <d v="2023-10-16T00:00:00"/>
    <s v="330239469:0830374137"/>
    <s v="0910/CARONNO"/>
    <s v="560021959"/>
    <s v="HNXD"/>
    <s v="UPS"/>
    <s v="1Z1V47910443886855"/>
    <s v="2 EMME SRL"/>
    <s v="VIA A. COSTA 27"/>
    <s v="21052"/>
    <x v="3"/>
    <x v="2"/>
  </r>
  <r>
    <s v="DSD120110"/>
    <d v="2023-10-16T00:00:00"/>
    <s v="330239497:0830374153"/>
    <s v="Frigido"/>
    <s v="560021919"/>
    <s v="HNXD"/>
    <s v="UPS"/>
    <s v="1Z1V47910443296466"/>
    <s v="VECTA SRL"/>
    <s v="VIA FABIO SEVERO 42"/>
    <s v="34127"/>
    <x v="3"/>
    <x v="2"/>
  </r>
  <r>
    <s v="DSD120122"/>
    <d v="2023-10-16T00:00:00"/>
    <s v="330239557:0830374256"/>
    <s v="Harlekin Edermuen"/>
    <s v="540012360"/>
    <s v="HNXD"/>
    <s v="UPS"/>
    <s v="1Z1V47910444887076"/>
    <s v="Wirth Service GmbH"/>
    <s v="Otto-von-Guericke-Ri"/>
    <s v="65205"/>
    <x v="16"/>
    <x v="2"/>
  </r>
  <r>
    <s v="DSD120142"/>
    <d v="2023-10-16T00:00:00"/>
    <s v="330239565:0830374261"/>
    <s v="Kom. Schiffers"/>
    <s v="540012345"/>
    <s v="HNXD"/>
    <s v="UPS"/>
    <s v="1Z1V47910444758689"/>
    <s v="Cremers GmbH"/>
    <s v="Stollwerckstr. 1"/>
    <s v="51149"/>
    <x v="16"/>
    <x v="2"/>
  </r>
  <r>
    <s v="DSD120154"/>
    <d v="2023-10-16T00:00:00"/>
    <s v="330239512:0830374162"/>
    <s v="FABRIZIO BALDONI"/>
    <s v="560021754"/>
    <s v="HNXD"/>
    <s v="UPS"/>
    <s v="1Z1V47910443059516"/>
    <s v="P.D.A.Clima"/>
    <s v="PIAZZA DELLA TRIVULZ"/>
    <s v="20126"/>
    <x v="3"/>
    <x v="2"/>
  </r>
  <r>
    <s v="DSD120170"/>
    <d v="2023-10-16T00:00:00"/>
    <s v="330239556:0830374255"/>
    <s v="RAM-53NE3F"/>
    <s v="540012361"/>
    <s v="HNXD"/>
    <s v="UPS"/>
    <s v="1Z1V47910443831734"/>
    <s v="Mario Freiberger"/>
    <s v="Waldstrasse 36"/>
    <s v="15374"/>
    <x v="16"/>
    <x v="2"/>
  </r>
  <r>
    <s v="DSD120176"/>
    <d v="2023-10-16T00:00:00"/>
    <s v="330239584:0830374274"/>
    <s v="Kom. 241-23"/>
    <s v="540012320"/>
    <s v="HNXD"/>
    <s v="UPS"/>
    <s v="1Z1V47910444489345"/>
    <s v="Hein Kaelteanlagen"/>
    <s v="Im Gewerbepark 3A"/>
    <s v="15711"/>
    <x v="16"/>
    <x v="2"/>
  </r>
  <r>
    <s v="DSD120192"/>
    <d v="2023-10-16T00:00:00"/>
    <s v="330239579:0830374270"/>
    <s v="AE + IE Platine"/>
    <s v="540012326"/>
    <s v="HNXD"/>
    <s v="UPS"/>
    <s v="1Z1V47910443127951"/>
    <s v="ERTL Kaelte Klima"/>
    <s v="Felsburgstr. 17"/>
    <s v="34132"/>
    <x v="16"/>
    <x v="2"/>
  </r>
  <r>
    <s v="DSD120194"/>
    <d v="2023-10-16T00:00:00"/>
    <s v="330239567:0830374263"/>
    <s v="Kom. Euroclean"/>
    <s v="540012342"/>
    <s v="HNXD"/>
    <s v="UPS"/>
    <s v="1Z1V47910444847565"/>
    <s v="Kaelte Schuessler"/>
    <s v="Benzstr. 8"/>
    <s v="70839"/>
    <x v="16"/>
    <x v="2"/>
  </r>
  <r>
    <s v="DSD120196"/>
    <d v="2023-10-16T00:00:00"/>
    <s v="330239581:0830374272"/>
    <s v="Kom. Kaya Sohn"/>
    <s v="540012324"/>
    <s v="HNXD"/>
    <s v="UPS"/>
    <s v="1Z1V47910445748170"/>
    <s v="Nordpol Kaelte Klima"/>
    <s v="Friedrich-List-Str."/>
    <s v="59425"/>
    <x v="16"/>
    <x v="2"/>
  </r>
  <r>
    <s v="DSD120228"/>
    <d v="2023-10-16T00:00:00"/>
    <s v="330239445:0830374120"/>
    <s v="2909-CAM"/>
    <s v="560021808"/>
    <s v="HNXD"/>
    <s v="UPS"/>
    <s v="1Z1V47910444929780"/>
    <s v="2 EMME SRL"/>
    <s v="VIA A. COSTA 27"/>
    <s v="21052"/>
    <x v="3"/>
    <x v="2"/>
  </r>
  <r>
    <s v="DSD120248"/>
    <d v="2023-10-16T00:00:00"/>
    <s v="330239491:0830374149"/>
    <s v="WC 9721"/>
    <s v="560021909"/>
    <s v="HNXD"/>
    <s v="UPS"/>
    <s v="1Z1V47910444492395"/>
    <s v="MORA CESARE SRL"/>
    <s v="MORA CESARE SRL"/>
    <s v="25047"/>
    <x v="3"/>
    <x v="2"/>
  </r>
  <r>
    <s v="DSD120266"/>
    <d v="2023-10-16T00:00:00"/>
    <s v="330239493:0830374151"/>
    <s v="WC 9693 + 9694"/>
    <s v="560021911"/>
    <s v="HNXD"/>
    <s v="UPS"/>
    <s v="1Z1V47910443536009"/>
    <s v="ING CLIMA DI PREDA G"/>
    <s v="ING CLIMA DI PREDA G"/>
    <s v="24044"/>
    <x v="3"/>
    <x v="2"/>
  </r>
  <r>
    <s v="DSD120302"/>
    <d v="2023-10-16T00:00:00"/>
    <s v="330239562:0830374259"/>
    <s v="TCK001338, Kita B"/>
    <s v="540012353"/>
    <s v="HNXD"/>
    <s v="UPS"/>
    <s v="1Z1V47910444160618"/>
    <s v="Rudolph GmbH"/>
    <s v="In der Schneithohl 1"/>
    <s v="61476"/>
    <x v="16"/>
    <x v="2"/>
  </r>
  <r>
    <s v="DSD120310"/>
    <d v="2023-10-16T00:00:00"/>
    <s v="330239444:0830377183"/>
    <s v="769-JCH-IT"/>
    <s v="560021791"/>
    <s v="HNXD"/>
    <s v="UPS"/>
    <s v="1Z1V47910445466224"/>
    <s v="POOL CLIMA 9002 SRL"/>
    <s v="VIA CESARE BATTISTI"/>
    <s v="22075"/>
    <x v="3"/>
    <x v="2"/>
  </r>
  <r>
    <s v="DSD120314"/>
    <d v="2023-10-16T00:00:00"/>
    <s v="330239438:0830374115"/>
    <s v="TREGNAGHI"/>
    <s v="560021780"/>
    <s v="HNXD"/>
    <s v="UPS"/>
    <s v="1Z1V47910443552830"/>
    <s v="CASTAGNINI ROBERTO"/>
    <s v="PIAZZA DEL DONATORE"/>
    <s v="37030"/>
    <x v="3"/>
    <x v="2"/>
  </r>
  <r>
    <s v="DSD120320"/>
    <d v="2023-10-16T00:00:00"/>
    <s v="330239432:0830374110"/>
    <s v="bandini"/>
    <s v="560021761"/>
    <s v="HNXD"/>
    <s v="UPS"/>
    <s v="1Z1V47910444469054"/>
    <s v="AVA CLIMA SRL"/>
    <s v="VIA GRIECO N. 1"/>
    <s v="40024"/>
    <x v="3"/>
    <x v="2"/>
  </r>
  <r>
    <s v="DSD120332"/>
    <d v="2023-10-16T00:00:00"/>
    <s v="330239090:0830377178"/>
    <s v="0410/BRIVIO"/>
    <s v="560021856"/>
    <s v="HNXD"/>
    <s v="UPS"/>
    <s v="1Z1V47910445498664"/>
    <s v="2 EMME SRL"/>
    <s v="VIA A. COSTA 27"/>
    <s v="21052"/>
    <x v="3"/>
    <x v="2"/>
  </r>
  <r>
    <s v="DSD120336"/>
    <d v="2023-10-16T00:00:00"/>
    <s v="330239439:0830374116"/>
    <s v="CONSOL"/>
    <s v="560021784"/>
    <s v="HNXD"/>
    <s v="UPS"/>
    <s v="1Z1V47910445709275"/>
    <s v="BIASI LUCIANO SRL"/>
    <s v="CORSO LIBERTA' 71"/>
    <s v="14053"/>
    <x v="3"/>
    <x v="2"/>
  </r>
  <r>
    <s v="DSD120342"/>
    <d v="2023-10-16T00:00:00"/>
    <s v="330239568:0830374264"/>
    <s v="Kom. 7907 / P1018"/>
    <s v="540012340"/>
    <s v="HNXD"/>
    <s v="UPS"/>
    <s v="1Z1V47910444200888"/>
    <s v="SEKOMP GmbH"/>
    <s v="Friedrich-Woehler-St"/>
    <s v="64579"/>
    <x v="16"/>
    <x v="2"/>
  </r>
  <r>
    <s v="DSD120346"/>
    <d v="2023-10-16T00:00:00"/>
    <s v="330239454:0830374124"/>
    <s v="03102023"/>
    <s v="560021837"/>
    <s v="HNXD"/>
    <s v="UPS"/>
    <s v="1Z1V47910443073492"/>
    <s v="IMMERCLIMA SRL"/>
    <s v="VIA GUICCIARDI 7/F"/>
    <s v="42100"/>
    <x v="3"/>
    <x v="2"/>
  </r>
  <r>
    <s v="DSD120350"/>
    <d v="2023-10-16T00:00:00"/>
    <s v="330239092:0830377179"/>
    <s v="2209/NONNAORTICA"/>
    <s v="560021730"/>
    <s v="HNXD"/>
    <s v="UPS"/>
    <s v="1Z1V47910444427107"/>
    <s v="2 EMME SRL"/>
    <s v="VIA A. COSTA 27"/>
    <s v="21052"/>
    <x v="3"/>
    <x v="2"/>
  </r>
  <r>
    <s v="DSD120352"/>
    <d v="2023-10-16T00:00:00"/>
    <s v="330239440:0830374117"/>
    <s v="CONSORZIO"/>
    <s v="560021785"/>
    <s v="HNXD"/>
    <s v="UPS"/>
    <s v="1Z1V47910444361713"/>
    <s v="IMMERCLIMA SRL"/>
    <s v="VIA GUICCIARDI 7/F"/>
    <s v="42100"/>
    <x v="3"/>
    <x v="2"/>
  </r>
  <r>
    <s v="DSD120358"/>
    <d v="2023-10-16T00:00:00"/>
    <s v="330239509:0830374160"/>
    <s v="FORLANI"/>
    <s v="560021744"/>
    <s v="HNXD"/>
    <s v="UPS"/>
    <s v="1Z1V47910445373931"/>
    <s v="CLIMATEK SNC DI DEBI"/>
    <s v="VIA AI BOLLERI ,8"/>
    <s v="38121"/>
    <x v="3"/>
    <x v="2"/>
  </r>
  <r>
    <s v="DSD120362"/>
    <d v="2023-10-16T00:00:00"/>
    <s v="330239492:0830374150"/>
    <s v="WC 9722"/>
    <s v="560021910"/>
    <s v="HNXD"/>
    <s v="UPS"/>
    <s v="1Z1V47910444651543"/>
    <s v="MORA CESARE SRL"/>
    <s v="MORA CESARE SRL"/>
    <s v="25047"/>
    <x v="3"/>
    <x v="2"/>
  </r>
  <r>
    <s v="DSD120364"/>
    <d v="2023-10-16T00:00:00"/>
    <s v="330239437:0830374114"/>
    <s v="of 760"/>
    <s v="560021772"/>
    <s v="HNXD"/>
    <s v="UPS"/>
    <s v="1Z1V47910444910156"/>
    <s v="CARMELLINI S.R.L."/>
    <s v="VIA MARCELLO MALPIG"/>
    <s v="48018"/>
    <x v="3"/>
    <x v="2"/>
  </r>
  <r>
    <s v="DSD120366"/>
    <d v="2023-10-16T00:00:00"/>
    <s v="330239513:0830377216"/>
    <s v="semenzato"/>
    <s v="560021755"/>
    <s v="HNXD"/>
    <s v="UPS"/>
    <s v="1Z1V47910445249763"/>
    <s v="CLIMAZZURRA DI CELIN"/>
    <s v="VIA FORNACI 110"/>
    <s v="35129"/>
    <x v="3"/>
    <x v="2"/>
  </r>
  <r>
    <s v="DSD120394"/>
    <d v="2023-10-16T00:00:00"/>
    <s v="330239576:0830374268"/>
    <s v="TCK001326 - FU-Be"/>
    <s v="540012331"/>
    <s v="HNXD"/>
    <s v="UPS"/>
    <s v="1Z1V47910444770370"/>
    <s v="L&amp;K Service GmbH"/>
    <s v="Dorfaue 15"/>
    <s v="15745"/>
    <x v="16"/>
    <x v="2"/>
  </r>
  <r>
    <s v="DSD120396"/>
    <d v="2023-10-16T00:00:00"/>
    <s v="330239506:0830377214"/>
    <s v="PRINTER 2809"/>
    <s v="560021737"/>
    <s v="HNXD"/>
    <s v="UPS"/>
    <s v="1Z1V47910445571986"/>
    <s v="CLIMA CENTER SRL"/>
    <s v="VIA VITTORIO BARBIER"/>
    <s v="50141"/>
    <x v="3"/>
    <x v="2"/>
  </r>
  <r>
    <s v="DSD120404"/>
    <d v="2023-10-16T00:00:00"/>
    <s v="330239526:0830377219"/>
    <s v="TCK001315, JVA Bu"/>
    <s v="540012308"/>
    <s v="HNXD"/>
    <s v="UPS"/>
    <s v="1Z1V47910443754596"/>
    <s v="GKK AG Gottschalk"/>
    <s v="Lange Goehren 19"/>
    <s v="39171"/>
    <x v="16"/>
    <x v="2"/>
  </r>
  <r>
    <s v="DSD120416"/>
    <d v="2023-10-16T00:00:00"/>
    <s v="330239093:0830377180"/>
    <s v="NICI COSTRUZIONI"/>
    <s v="560021745"/>
    <s v="HNXD"/>
    <s v="UPS"/>
    <s v="1Z1V47910444418206"/>
    <s v="ICEBERG DI SAMBO STE"/>
    <s v="VIA ALDO MORO ,32"/>
    <s v="20096"/>
    <x v="3"/>
    <x v="2"/>
  </r>
  <r>
    <s v="DSD120432"/>
    <d v="2023-10-16T00:00:00"/>
    <s v="330239504:0830377213"/>
    <s v="23-094"/>
    <s v="560021734"/>
    <s v="HNXD"/>
    <s v="UPS"/>
    <s v="1Z1V47910443662819"/>
    <s v="EXSUS SRL"/>
    <s v="VIA DELLA SCIENZA, 3"/>
    <s v="45100"/>
    <x v="3"/>
    <x v="2"/>
  </r>
  <r>
    <s v="DSD120442"/>
    <d v="2023-10-16T00:00:00"/>
    <s v="330239582:0830377230"/>
    <s v="SA/2483/New Yorke"/>
    <s v="540012323"/>
    <s v="HNXD"/>
    <s v="UPS"/>
    <s v="1Z1V47910443588427"/>
    <s v="Kaelte-Bast GmbH"/>
    <s v="Foersterweg 81"/>
    <s v="22525"/>
    <x v="16"/>
    <x v="2"/>
  </r>
  <r>
    <s v="DSD120456"/>
    <d v="2023-10-16T00:00:00"/>
    <s v="330239502:0830377212"/>
    <s v="20230922"/>
    <s v="560021729"/>
    <s v="HNXD"/>
    <s v="UPS"/>
    <s v="1Z1V47910443295038"/>
    <s v="SATET SRL"/>
    <s v="VIA KENNEDY ,22/24"/>
    <s v="62100"/>
    <x v="3"/>
    <x v="2"/>
  </r>
  <r>
    <s v="DSD120462"/>
    <d v="2023-10-16T00:00:00"/>
    <s v="330239558:0830377221"/>
    <s v="Kom. 202300892"/>
    <s v="540012358"/>
    <s v="HNXD"/>
    <s v="UPS"/>
    <s v="1Z1V47910444882642"/>
    <s v="Kaelte-Bast GmbH"/>
    <s v="Foersterweg 81"/>
    <s v="22525"/>
    <x v="16"/>
    <x v="2"/>
  </r>
  <r>
    <s v="DSD120476"/>
    <d v="2023-10-17T00:00:00"/>
    <s v="330239040:0830377168"/>
    <s v="1-26452"/>
    <s v="530019998"/>
    <s v="HSTD"/>
    <s v="NACEX"/>
    <s v="DSD120476"/>
    <s v="TELBI-BILBAO"/>
    <s v="C/MORGAN S/N"/>
    <s v="48014"/>
    <x v="1"/>
    <x v="2"/>
  </r>
  <r>
    <s v="DSD120502"/>
    <d v="2023-10-17T00:00:00"/>
    <s v="330239004:0830373897"/>
    <s v="2023/187879,"/>
    <s v="530020061"/>
    <s v="HSTD"/>
    <s v="NACEX"/>
    <s v="DSD120502"/>
    <s v="ALMACEN GETAFE"/>
    <s v="C/VOLTA 13"/>
    <s v="28906"/>
    <x v="1"/>
    <x v="2"/>
  </r>
  <r>
    <s v="DSD120510"/>
    <d v="2023-10-17T00:00:00"/>
    <s v="330239479:0830377204"/>
    <s v="PR1105054-OT11133"/>
    <s v="530020132"/>
    <s v="HSTD"/>
    <s v="NACEX"/>
    <s v="DSD120510"/>
    <s v="AIRCLIMADRID SLU"/>
    <s v="AV VALDELAPARRA 4"/>
    <s v="28108"/>
    <x v="1"/>
    <x v="2"/>
  </r>
  <r>
    <s v="DSD120514"/>
    <d v="2023-10-17T00:00:00"/>
    <s v="330239486:0830377207"/>
    <s v="WC-OT1113366"/>
    <s v="530020141"/>
    <s v="HSTD"/>
    <s v="NACEX"/>
    <s v="DSD120514"/>
    <s v="GAMA SL"/>
    <s v="BESA, 7"/>
    <s v="08904"/>
    <x v="1"/>
    <x v="2"/>
  </r>
  <r>
    <s v="DSD120528"/>
    <d v="2023-10-17T00:00:00"/>
    <s v="330240843:0830378054"/>
    <s v="3262788"/>
    <s v="530019986"/>
    <s v="HSTD"/>
    <s v="NACEX"/>
    <s v="DSD120528"/>
    <s v="SUAREP Y LLADO S.A."/>
    <s v="C/ SICILIA 335"/>
    <s v="08025"/>
    <x v="1"/>
    <x v="2"/>
  </r>
  <r>
    <s v="DSD120536"/>
    <d v="2023-10-17T00:00:00"/>
    <s v="330239023:0830378049"/>
    <s v="PR1105047-OT11133"/>
    <s v="530020100"/>
    <s v="HSTD"/>
    <s v="NACEX"/>
    <s v="DSD120536"/>
    <s v="AIRCLIMADRID"/>
    <s v="AV VALDELAPARRA 4"/>
    <s v="28108"/>
    <x v="1"/>
    <x v="2"/>
  </r>
  <r>
    <s v="DSD120542"/>
    <d v="2023-10-17T00:00:00"/>
    <s v="330238998:0830378046"/>
    <s v="000/554256."/>
    <s v="530020066"/>
    <s v="HSTD"/>
    <s v="NACEX"/>
    <s v="DSD120542"/>
    <s v="AFRISA SEVILLA"/>
    <s v="C/ GRAMIL, 48"/>
    <s v="41008"/>
    <x v="1"/>
    <x v="2"/>
  </r>
  <r>
    <s v="DSD120642"/>
    <d v="2023-10-17T00:00:00"/>
    <s v="330241351:0830378170"/>
    <s v="extra"/>
    <s v="530020155"/>
    <s v="HSTD"/>
    <s v="NACEX"/>
    <s v="DSD120642"/>
    <s v="PEDREGAR COSTA SL"/>
    <s v="RAMBLA DEL MANJON 41"/>
    <s v="18600"/>
    <x v="1"/>
    <x v="2"/>
  </r>
  <r>
    <s v="DSD120780"/>
    <d v="2023-10-17T00:00:00"/>
    <s v="330241349:0830378168"/>
    <s v="4828/2023"/>
    <s v="530020153"/>
    <s v="HSTD"/>
    <s v="NACEX"/>
    <s v="DSD120780"/>
    <s v="EDICLIMA SLU"/>
    <s v="CALLE VALLE DE TOBAL"/>
    <s v="28021"/>
    <x v="1"/>
    <x v="2"/>
  </r>
  <r>
    <s v="DSD120812"/>
    <d v="2023-10-17T00:00:00"/>
    <s v="330241350:0830378169"/>
    <s v="8598/23"/>
    <s v="530020154"/>
    <s v="HSTD"/>
    <s v="NACEX"/>
    <s v="DSD120812"/>
    <s v="CLIMA9 SA"/>
    <s v="CALLE MAS FALGAS N 5"/>
    <s v="17180"/>
    <x v="1"/>
    <x v="2"/>
  </r>
  <r>
    <s v="DSD120938"/>
    <d v="2023-10-17T00:00:00"/>
    <s v="330239035:0830373910"/>
    <s v="PEDIDO 3101161"/>
    <s v="530020006"/>
    <s v="HSTD"/>
    <s v="NACEX"/>
    <s v="DSD120938"/>
    <s v="HIMY EXPORT IMPORT S"/>
    <s v="SUBINAS BIDEA 4-6"/>
    <s v="48180"/>
    <x v="1"/>
    <x v="2"/>
  </r>
  <r>
    <s v="DSD121010"/>
    <d v="2023-10-17T00:00:00"/>
    <s v="330241348:0830378795"/>
    <s v="21/3981"/>
    <s v="530020150"/>
    <s v="HSTD"/>
    <s v="NACEX"/>
    <s v="DSD121010"/>
    <s v="VENTA MATERIAL DE AI"/>
    <s v="C/ CIUDAD DE FRIAS,"/>
    <s v="28021"/>
    <x v="1"/>
    <x v="2"/>
  </r>
  <r>
    <s v="DSD120494"/>
    <d v="2023-10-17T00:00:00"/>
    <s v="330239002:0830377155"/>
    <s v="2023/199568."/>
    <s v="530020063"/>
    <s v="HSTD"/>
    <s v="SEUR"/>
    <s v="DSD120494"/>
    <s v="ALMACEN GETAFE"/>
    <s v="CALLE VOLTA 13"/>
    <s v="28906"/>
    <x v="1"/>
    <x v="2"/>
  </r>
  <r>
    <s v="DSD120496"/>
    <d v="2023-10-17T00:00:00"/>
    <s v="330239006:0830377157"/>
    <s v="000/553831."/>
    <s v="530020053"/>
    <s v="HSTD"/>
    <s v="SEUR"/>
    <s v="DSD120496"/>
    <s v="ACCESORIOS FRIGORIFI"/>
    <s v="C/ MEJORADA, 4 POL."/>
    <s v="28850"/>
    <x v="1"/>
    <x v="2"/>
  </r>
  <r>
    <s v="DSD120598"/>
    <d v="2023-10-17T00:00:00"/>
    <s v="330239080:0830377176"/>
    <s v="E01847"/>
    <s v="530020025"/>
    <s v="HSTD"/>
    <s v="SEUR"/>
    <s v="DSD120598"/>
    <s v="DOMINGO CABRERA"/>
    <s v="DON JUAN HERNANDEZ Gonzalez"/>
    <s v="30565"/>
    <x v="1"/>
    <x v="2"/>
  </r>
  <r>
    <s v="DSD120648"/>
    <d v="2023-10-17T00:00:00"/>
    <s v="330238996:0830378045"/>
    <s v="234229"/>
    <s v="530020068"/>
    <s v="HSTD"/>
    <s v="SEUR"/>
    <s v="DSD120648"/>
    <s v="INGENIERIA INSTALACI"/>
    <s v="C/ DAIMLER 60, PARCE"/>
    <s v="15650"/>
    <x v="1"/>
    <x v="2"/>
  </r>
  <r>
    <s v="DSD120478"/>
    <d v="2023-10-17T00:00:00"/>
    <s v="330239569:0830377228"/>
    <s v="40063"/>
    <s v="540012339"/>
    <s v="HSTD"/>
    <s v="TNT"/>
    <s v="607248884"/>
    <s v="KINNAN AB"/>
    <s v="TRAKTORGATAN 2"/>
    <s v="745 37"/>
    <x v="14"/>
    <x v="2"/>
  </r>
  <r>
    <s v="DSD120480"/>
    <d v="2023-10-17T00:00:00"/>
    <s v="330239604:0830377233"/>
    <s v="Solymar"/>
    <s v="560021708"/>
    <s v="HNXD"/>
    <s v="TNT"/>
    <s v="607249006"/>
    <s v="KLIMA KFT"/>
    <s v="REITTER FERENC U. 13"/>
    <s v="1131"/>
    <x v="13"/>
    <x v="2"/>
  </r>
  <r>
    <s v="DSD120482"/>
    <d v="2023-10-17T00:00:00"/>
    <s v="330239561:0830377222"/>
    <s v="40621"/>
    <s v="540012354"/>
    <s v="HSTD"/>
    <s v="TNT"/>
    <s v="607248907"/>
    <s v="TVG"/>
    <s v="TECHNISCHE VERTRIEBS"/>
    <s v="1230"/>
    <x v="10"/>
    <x v="2"/>
  </r>
  <r>
    <s v="DSD120484"/>
    <d v="2023-10-17T00:00:00"/>
    <s v="330239653:0830374250"/>
    <s v="230804167"/>
    <s v="510146326"/>
    <s v="HNXD"/>
    <s v="TNT"/>
    <s v="607248915"/>
    <s v="AIRCCO"/>
    <s v="6 RUE GEORGES BRASSE"/>
    <s v="31140"/>
    <x v="0"/>
    <x v="2"/>
  </r>
  <r>
    <s v="DSD120486"/>
    <d v="2023-10-17T00:00:00"/>
    <s v="330239619:0830377192"/>
    <s v="WC-BERTON"/>
    <s v="510146550"/>
    <s v="HSTD"/>
    <s v="TNT"/>
    <s v="607248924"/>
    <s v="Sols Solutions"/>
    <s v="15 rue de Chatenay"/>
    <s v="37210"/>
    <x v="0"/>
    <x v="2"/>
  </r>
  <r>
    <s v="DSD120488"/>
    <d v="2023-10-17T00:00:00"/>
    <s v="330238790:0830377145"/>
    <s v="CLEMENT"/>
    <s v="510145976"/>
    <s v="HSTD"/>
    <s v="TNT"/>
    <s v="607248938"/>
    <s v="ASTU FROID"/>
    <s v="7 LOTISSEMENT LA HAY"/>
    <s v="51240"/>
    <x v="0"/>
    <x v="2"/>
  </r>
  <r>
    <s v="DSD120490"/>
    <d v="2023-10-17T00:00:00"/>
    <s v="330238770:0830377143"/>
    <s v="CDE6709-TT-EVAP"/>
    <s v="510146016"/>
    <s v="HSTD"/>
    <s v="TNT"/>
    <s v="607248941"/>
    <s v="TECHNI THERM"/>
    <s v="ZA DE BLEU"/>
    <s v="43000"/>
    <x v="0"/>
    <x v="2"/>
  </r>
  <r>
    <s v="DSD120492"/>
    <d v="2023-10-17T00:00:00"/>
    <s v="330239494:0830377209"/>
    <s v="WC GARANZIA OLIMP"/>
    <s v="560021912"/>
    <s v="HSTD"/>
    <s v="TNT"/>
    <s v="607248955"/>
    <s v="CONSULENZA ENERGETIC"/>
    <s v="CONSULENZA ENERGETIC"/>
    <s v="37132"/>
    <x v="3"/>
    <x v="2"/>
  </r>
  <r>
    <s v="DSD120498"/>
    <d v="2023-10-17T00:00:00"/>
    <s v="330239655:0830377150"/>
    <s v="230904272 AUDITHE"/>
    <s v="510146083"/>
    <s v="HNXD"/>
    <s v="TNT"/>
    <s v="607248969"/>
    <s v="AXOCLIM"/>
    <s v="93 RUE MAURICE BERTE"/>
    <s v="59260"/>
    <x v="0"/>
    <x v="2"/>
  </r>
  <r>
    <s v="DSD120500"/>
    <d v="2023-10-17T00:00:00"/>
    <s v="330238598:0830377127"/>
    <s v="00100095-8018"/>
    <s v="510145949"/>
    <s v="HSTD"/>
    <s v="TNT"/>
    <s v="607248972"/>
    <s v="HITACHI ARRAS SAV EC"/>
    <s v="RUE DU FOUR A CHAUX"/>
    <s v="62223"/>
    <x v="0"/>
    <x v="2"/>
  </r>
  <r>
    <s v="DSD120504"/>
    <d v="2023-10-17T00:00:00"/>
    <s v="330238732:0830377140"/>
    <s v="00100161-11284 39"/>
    <s v="510146166"/>
    <s v="HSTD"/>
    <s v="TNT"/>
    <s v="607248986"/>
    <s v="ENGIE HOME SERVICES"/>
    <s v="41 ALLEE EVARISTE GA"/>
    <s v="18000"/>
    <x v="0"/>
    <x v="2"/>
  </r>
  <r>
    <s v="DSD120516"/>
    <d v="2023-10-17T00:00:00"/>
    <s v="330239625:0830377198"/>
    <s v="WC HERVIEUX"/>
    <s v="510146689"/>
    <s v="HNXD"/>
    <s v="TNT"/>
    <s v="607248990"/>
    <s v="BE CLIM"/>
    <s v="224 AVENUE JEAN MERM"/>
    <s v="63100"/>
    <x v="0"/>
    <x v="2"/>
  </r>
  <r>
    <s v="DSD120522"/>
    <d v="2023-10-17T00:00:00"/>
    <s v="330237149:0830377557"/>
    <s v="WC246476 V0004-AC"/>
    <s v="510146338"/>
    <s v="HNXD"/>
    <s v="TNT"/>
    <s v="607249023"/>
    <s v="CEGECLIM"/>
    <s v="ALLEE DES PRES"/>
    <s v="64000"/>
    <x v="0"/>
    <x v="2"/>
  </r>
  <r>
    <s v="DSD120530"/>
    <d v="2023-10-17T00:00:00"/>
    <s v="330239523:0830377217"/>
    <s v="23000368"/>
    <s v="540012314"/>
    <s v="HSTD"/>
    <s v="TNT"/>
    <s v="607249037"/>
    <s v="HD KLIMAATSYSTEMEN"/>
    <s v="CARNEOOL 400"/>
    <s v="3316 KC"/>
    <x v="2"/>
    <x v="2"/>
  </r>
  <r>
    <s v="DSD120532"/>
    <d v="2023-10-17T00:00:00"/>
    <s v="330238722:0830378038"/>
    <s v="161710"/>
    <s v="510146578"/>
    <s v="HNXD"/>
    <s v="TNT"/>
    <s v="607249045"/>
    <s v="TOURNIER ELEC"/>
    <s v="1550 AVENUE DE COS"/>
    <s v="82000"/>
    <x v="0"/>
    <x v="2"/>
  </r>
  <r>
    <s v="DSD120534"/>
    <d v="2023-10-17T00:00:00"/>
    <s v="330238718:0830377137"/>
    <s v="WC LAMASTRE"/>
    <s v="510146486"/>
    <s v="HNXD"/>
    <s v="TNT"/>
    <s v="607249054"/>
    <s v="C CLIM"/>
    <s v="48 AVENUE DES AUREAT"/>
    <s v="26000"/>
    <x v="0"/>
    <x v="2"/>
  </r>
  <r>
    <s v="DSD120544"/>
    <d v="2023-10-17T00:00:00"/>
    <s v="330239499:0830374154"/>
    <s v="Climant"/>
    <s v="560021718"/>
    <s v="HSTD"/>
    <s v="TNT"/>
    <s v="607249068"/>
    <s v="MAZZINI MAURO"/>
    <s v="VIA UGO FOSCOLO 16"/>
    <s v="39012"/>
    <x v="3"/>
    <x v="2"/>
  </r>
  <r>
    <s v="DSD120546"/>
    <d v="2023-10-17T00:00:00"/>
    <s v="330239651:0830378040"/>
    <s v="WC GHEZZI"/>
    <s v="510146500"/>
    <s v="HNXD"/>
    <s v="TNT"/>
    <s v="607249071"/>
    <s v="CALOPORTAGE"/>
    <s v="16 av des nations"/>
    <s v="57970"/>
    <x v="0"/>
    <x v="2"/>
  </r>
  <r>
    <s v="DSD120548"/>
    <d v="2023-10-17T00:00:00"/>
    <s v="330239549:0830378039"/>
    <s v="161562"/>
    <s v="510146444"/>
    <s v="HNXD"/>
    <s v="TNT"/>
    <s v="607249085"/>
    <s v="SA ETTORI TADDEI MOS"/>
    <s v="RN 193 - FURIANI"/>
    <s v="20600"/>
    <x v="0"/>
    <x v="2"/>
  </r>
  <r>
    <s v="DSD120550"/>
    <d v="2023-10-17T00:00:00"/>
    <s v="330241302:0830378084"/>
    <s v="GUIGNER"/>
    <s v="510146118"/>
    <s v="HNXD"/>
    <s v="TNT"/>
    <s v="607249099"/>
    <s v="ARMOR GENIE THERMIQU"/>
    <s v="RUE DE POULPATRE ,12"/>
    <s v="29160"/>
    <x v="0"/>
    <x v="2"/>
  </r>
  <r>
    <s v="DSD120552"/>
    <d v="2023-10-17T00:00:00"/>
    <s v="330241299:0830378082"/>
    <s v="SOL2309FBC008633-"/>
    <s v="510146063"/>
    <s v="HNXD"/>
    <s v="TNT"/>
    <s v="607249108"/>
    <s v="CLIMAX SAV"/>
    <s v="4 RUE PAUL ROCACHE"/>
    <s v="31100"/>
    <x v="0"/>
    <x v="2"/>
  </r>
  <r>
    <s v="DSD120554"/>
    <d v="2023-10-17T00:00:00"/>
    <s v="330241295:0830378080"/>
    <s v="SOL2309FBC008620-"/>
    <s v="510146055"/>
    <s v="HNXD"/>
    <s v="TNT"/>
    <s v="607249111"/>
    <s v="AGS ENR"/>
    <s v="7 IMPASSE PAUL RIQUE"/>
    <s v="82000"/>
    <x v="0"/>
    <x v="2"/>
  </r>
  <r>
    <s v="DSD120556"/>
    <d v="2023-10-17T00:00:00"/>
    <s v="330241320:0830378094"/>
    <s v="SOL2309FBC008657-"/>
    <s v="510146091"/>
    <s v="HNXD"/>
    <s v="TNT"/>
    <s v="607249125"/>
    <s v="SOLIPAC TOULOUSE"/>
    <s v="39 AVENUE JEAN FRANC"/>
    <s v="31100"/>
    <x v="0"/>
    <x v="2"/>
  </r>
  <r>
    <s v="DSD120560"/>
    <d v="2023-10-17T00:00:00"/>
    <s v="330241317:0830378092"/>
    <s v="SOL2309FBC007947-"/>
    <s v="510146087"/>
    <s v="HNXD"/>
    <s v="TNT"/>
    <s v="607249139"/>
    <s v="SOLIPAC BEZIERS"/>
    <s v="259 IMPASSE JEREMY B"/>
    <s v="34500"/>
    <x v="0"/>
    <x v="2"/>
  </r>
  <r>
    <s v="DSD120566"/>
    <d v="2023-10-17T00:00:00"/>
    <s v="330241327:0830378098"/>
    <s v="BC15821-AR38490"/>
    <s v="510146288"/>
    <s v="HNXD"/>
    <s v="TNT"/>
    <s v="607249142"/>
    <s v="ENGIE HOME SERVICES"/>
    <s v="4A RUE RICHARD LENOI"/>
    <s v="49100"/>
    <x v="0"/>
    <x v="2"/>
  </r>
  <r>
    <s v="DSD120568"/>
    <d v="2023-10-17T00:00:00"/>
    <s v="330241316:0830378091"/>
    <s v="C2309240 HYD 44BC"/>
    <s v="510146070"/>
    <s v="HNXD"/>
    <s v="TNT"/>
    <s v="607249156"/>
    <s v="PARTEDIS"/>
    <s v="42 RUE DE LA GUYAMAU"/>
    <s v="35400"/>
    <x v="0"/>
    <x v="2"/>
  </r>
  <r>
    <s v="DSD120570"/>
    <d v="2023-10-17T00:00:00"/>
    <s v="330239660:0830378041"/>
    <s v="161710"/>
    <s v="510146578"/>
    <s v="HNXD"/>
    <s v="TNT"/>
    <s v="607249160"/>
    <s v="TOURNIER ELEC"/>
    <s v="1550 AVENUE DE COS"/>
    <s v="82000"/>
    <x v="0"/>
    <x v="2"/>
  </r>
  <r>
    <s v="DSD120572"/>
    <d v="2023-10-17T00:00:00"/>
    <s v="330241310:0830378087"/>
    <s v="SOL2310FBC008905-"/>
    <s v="510146413"/>
    <s v="HNXD"/>
    <s v="TNT"/>
    <s v="607249173"/>
    <s v="COMPTOIR ALPIN DU TE"/>
    <s v="2 RUE DE MAYENCIN"/>
    <s v="38400"/>
    <x v="0"/>
    <x v="2"/>
  </r>
  <r>
    <s v="DSD120576"/>
    <d v="2023-10-17T00:00:00"/>
    <s v="330241384:0830378175"/>
    <s v="NN-Clima"/>
    <s v="560021893"/>
    <s v="HNXD"/>
    <s v="TNT"/>
    <s v="607249187"/>
    <s v="ACTON ELECTRONICS OO"/>
    <s v="135D TARIGRADSKO SHO"/>
    <s v="1784"/>
    <x v="12"/>
    <x v="2"/>
  </r>
  <r>
    <s v="DSD120578"/>
    <d v="2023-10-17T00:00:00"/>
    <s v="330241438:0830378141"/>
    <s v="WC LE ROI SOLAIRE"/>
    <s v="510146683"/>
    <s v="HNXD"/>
    <s v="TNT"/>
    <s v="607249195"/>
    <s v="LE ROI SOLAIRE"/>
    <s v="70 IMPASSE DE LA ZON"/>
    <s v="26790"/>
    <x v="0"/>
    <x v="2"/>
  </r>
  <r>
    <s v="DSD120580"/>
    <d v="2023-10-17T00:00:00"/>
    <s v="330241321:0830378095"/>
    <s v="bc15789-ar38450"/>
    <s v="510146280"/>
    <s v="HNXD"/>
    <s v="TNT"/>
    <s v="607249213"/>
    <s v="TESSIER CLIM PAC"/>
    <s v="4 RUE CAMILLE BRETON"/>
    <s v="37500"/>
    <x v="0"/>
    <x v="2"/>
  </r>
  <r>
    <s v="DSD120582"/>
    <d v="2023-10-17T00:00:00"/>
    <s v="330241431:0830378136"/>
    <s v="CDE6737-NF-ORECC"/>
    <s v="510146323"/>
    <s v="HNXD"/>
    <s v="TNT"/>
    <s v="607249227"/>
    <s v="NEEL FRAISSE"/>
    <s v="42 RUE DES GRANDS CH"/>
    <s v="42600"/>
    <x v="0"/>
    <x v="2"/>
  </r>
  <r>
    <s v="DSD120584"/>
    <d v="2023-10-17T00:00:00"/>
    <s v="330241326:0830378097"/>
    <s v="BC15820-AR38540"/>
    <s v="510146287"/>
    <s v="HSTD"/>
    <s v="TNT"/>
    <s v="607249235"/>
    <s v="ENGIE HOME CHOLET"/>
    <s v="3 Square du Champ Bl"/>
    <s v="49300"/>
    <x v="0"/>
    <x v="2"/>
  </r>
  <r>
    <s v="DSD120586"/>
    <d v="2023-10-17T00:00:00"/>
    <s v="330241315:0830378090"/>
    <s v="SOL2309FBC008638-"/>
    <s v="510146068"/>
    <s v="HNXD"/>
    <s v="TNT"/>
    <s v="607249244"/>
    <s v="SUD ENERGEO"/>
    <s v="LES CANNABES"/>
    <s v="34660"/>
    <x v="0"/>
    <x v="2"/>
  </r>
  <r>
    <s v="DSD120588"/>
    <d v="2023-10-17T00:00:00"/>
    <s v="330241399:0830378120"/>
    <s v="171518/AC"/>
    <s v="510146364"/>
    <s v="HNXD"/>
    <s v="TNT"/>
    <s v="607249258"/>
    <s v="V F CONFORT"/>
    <s v="RUE DES BRUYERES ,8"/>
    <s v="25220"/>
    <x v="0"/>
    <x v="2"/>
  </r>
  <r>
    <s v="DSD120590"/>
    <d v="2023-10-17T00:00:00"/>
    <s v="330241331:0830378101"/>
    <s v="BC15878-AR38749"/>
    <s v="510146424"/>
    <s v="HNXD"/>
    <s v="TNT"/>
    <s v="607249261"/>
    <s v="ENGIE HOME SERVICES"/>
    <s v="595 RUE JACQUES ANG"/>
    <s v="56850"/>
    <x v="0"/>
    <x v="2"/>
  </r>
  <r>
    <s v="DSD120592"/>
    <d v="2023-10-17T00:00:00"/>
    <s v="330241339:0830378163"/>
    <s v="Tempcold"/>
    <s v="560021850"/>
    <s v="HNXD"/>
    <s v="TNT"/>
    <s v="607249275"/>
    <s v="AMP PLUS"/>
    <s v="."/>
    <s v="46-081"/>
    <x v="17"/>
    <x v="2"/>
  </r>
  <r>
    <s v="DSD120594"/>
    <d v="2023-10-17T00:00:00"/>
    <s v="330241313:0830378089"/>
    <s v="SOL2309FBC008556-"/>
    <s v="510146015"/>
    <s v="HNXD"/>
    <s v="TNT"/>
    <s v="607249289"/>
    <s v="ETE HIVER"/>
    <s v="12 PLACE DE LA MAIRI"/>
    <s v="31140"/>
    <x v="0"/>
    <x v="2"/>
  </r>
  <r>
    <s v="DSD120596"/>
    <d v="2023-10-17T00:00:00"/>
    <s v="330241376:0830378117"/>
    <s v="WC SAV LELIEVRE"/>
    <s v="510146587"/>
    <s v="HNXD"/>
    <s v="TNT"/>
    <s v="607249292"/>
    <s v="MACIEJOWSKI SERVICES"/>
    <s v="28 AVENUE JEAN REBIE"/>
    <s v="87700"/>
    <x v="0"/>
    <x v="2"/>
  </r>
  <r>
    <s v="DSD120600"/>
    <d v="2023-10-17T00:00:00"/>
    <s v="330241311:0830378088"/>
    <s v="SOL2309FBC008574-"/>
    <s v="510146021"/>
    <s v="HNXD"/>
    <s v="TNT"/>
    <s v="607249301"/>
    <s v="SOLIPAC ALES"/>
    <s v="739 AVENUE DE CROUPI"/>
    <s v="30100"/>
    <x v="0"/>
    <x v="2"/>
  </r>
  <r>
    <s v="DSD120602"/>
    <d v="2023-10-17T00:00:00"/>
    <s v="330241357:0830378107"/>
    <s v="SMART CENTER"/>
    <s v="510146788"/>
    <s v="HNXD"/>
    <s v="TNT"/>
    <s v="607249315"/>
    <s v="A.F.C.C."/>
    <s v="18 RUE DU MESNIL"/>
    <s v="91410"/>
    <x v="0"/>
    <x v="2"/>
  </r>
  <r>
    <s v="DSD120604"/>
    <d v="2023-10-17T00:00:00"/>
    <s v="330241445:0830378147"/>
    <s v="WC Voute"/>
    <s v="510146707"/>
    <s v="HNXD"/>
    <s v="TNT"/>
    <s v="607249329"/>
    <s v="Entreprise Villaret"/>
    <s v="74 route de conthe"/>
    <s v="15000"/>
    <x v="0"/>
    <x v="2"/>
  </r>
  <r>
    <s v="DSD120606"/>
    <d v="2023-10-17T00:00:00"/>
    <s v="330241412:0830378127"/>
    <s v="SOL2309FBC008704-"/>
    <s v="510146065"/>
    <s v="HNXD"/>
    <s v="TNT"/>
    <s v="607249332"/>
    <s v="SOLIPAC TOULOUSE"/>
    <s v="39 AVENUE JEAN FRANC"/>
    <s v="31100"/>
    <x v="0"/>
    <x v="2"/>
  </r>
  <r>
    <s v="DSD120608"/>
    <d v="2023-10-17T00:00:00"/>
    <s v="330241330:0830378100"/>
    <s v="BC15876 AR38744"/>
    <s v="510146420"/>
    <s v="HNXD"/>
    <s v="TNT"/>
    <s v="607249346"/>
    <s v="ENGIE HOME SERVICES"/>
    <s v="595 RUE JACQUES ANG"/>
    <s v="56850"/>
    <x v="0"/>
    <x v="2"/>
  </r>
  <r>
    <s v="DSD120612"/>
    <d v="2023-10-17T00:00:00"/>
    <s v="330241389:0830378180"/>
    <s v="1009Meretei"/>
    <s v="560021954"/>
    <s v="HNXD"/>
    <s v="TNT"/>
    <s v="607249403"/>
    <s v="KLIMA KFT"/>
    <s v="REITTER FERENC U. 13"/>
    <s v="1131"/>
    <x v="13"/>
    <x v="2"/>
  </r>
  <r>
    <s v="DSD120614"/>
    <d v="2023-10-17T00:00:00"/>
    <s v="330241428:0830378135"/>
    <s v="15801"/>
    <s v="510146615"/>
    <s v="HNXD"/>
    <s v="TNT"/>
    <s v="607249363"/>
    <s v="LE COMPTOIR THERMIQU"/>
    <s v="2 ALLEE FRANCOIS ARA"/>
    <s v="77170"/>
    <x v="0"/>
    <x v="2"/>
  </r>
  <r>
    <s v="DSD120616"/>
    <d v="2023-10-17T00:00:00"/>
    <s v="330241388:0830378179"/>
    <s v="1009Meretei"/>
    <s v="560021953"/>
    <s v="HNXD"/>
    <s v="TNT"/>
    <s v="607249394"/>
    <s v="KLIMA KFT"/>
    <s v="REITTER FERENC U. 13"/>
    <s v="1131"/>
    <x v="13"/>
    <x v="2"/>
  </r>
  <r>
    <s v="DSD120618"/>
    <d v="2023-10-17T00:00:00"/>
    <s v="330241319:0830378093"/>
    <s v="WC LA POSTE"/>
    <s v="510146786"/>
    <s v="HNXD"/>
    <s v="TNT"/>
    <s v="607249385"/>
    <s v="HERVE THERMIQUE"/>
    <s v="5 PROMENADE DE LA BA"/>
    <s v="49004"/>
    <x v="0"/>
    <x v="2"/>
  </r>
  <r>
    <s v="DSD120620"/>
    <d v="2023-10-17T00:00:00"/>
    <s v="330241443:0830378145"/>
    <s v="WC-MULLER"/>
    <s v="510146704"/>
    <s v="HNXD"/>
    <s v="TNT"/>
    <s v="607249417"/>
    <s v="ORA DEVELOPPEMENT"/>
    <s v="11 Rue Saint Hubert"/>
    <s v="71450"/>
    <x v="0"/>
    <x v="2"/>
  </r>
  <r>
    <s v="DSD120624"/>
    <d v="2023-10-17T00:00:00"/>
    <s v="330241447:0830378149"/>
    <s v="SV23080190"/>
    <s v="510146099"/>
    <s v="HNXD"/>
    <s v="TNT"/>
    <s v="607249425"/>
    <s v="AIR CLIMATISATION"/>
    <s v="RUE DES COLIBRIS"/>
    <s v="62218"/>
    <x v="0"/>
    <x v="2"/>
  </r>
  <r>
    <s v="DSD120626"/>
    <d v="2023-10-17T00:00:00"/>
    <s v="330241377:0830378171"/>
    <s v="66037934"/>
    <s v="560021855"/>
    <s v="HNXD"/>
    <s v="TNT"/>
    <s v="607249434"/>
    <s v="FRIGO-VE"/>
    <s v="MARINICI 180"/>
    <s v="51216"/>
    <x v="11"/>
    <x v="2"/>
  </r>
  <r>
    <s v="DSD120628"/>
    <d v="2023-10-17T00:00:00"/>
    <s v="330241383:0830378174"/>
    <s v="ozon"/>
    <s v="560021871"/>
    <s v="HNXD"/>
    <s v="TNT"/>
    <s v="607249598"/>
    <s v="KLIMA KFT"/>
    <s v="REITTER FERENC U. 13"/>
    <s v="1131"/>
    <x v="13"/>
    <x v="2"/>
  </r>
  <r>
    <s v="DSD120630"/>
    <d v="2023-10-17T00:00:00"/>
    <s v="330241556:0830378230"/>
    <s v="C507201865"/>
    <s v="510146891"/>
    <s v="HNXD"/>
    <s v="TNT"/>
    <s v="607249451"/>
    <s v="EIFFAGE ENERGIE SYST"/>
    <s v="3 RUE GUSTAVE EIFFEL"/>
    <s v="45000"/>
    <x v="0"/>
    <x v="2"/>
  </r>
  <r>
    <s v="DSD120632"/>
    <d v="2023-10-17T00:00:00"/>
    <s v="330241334:0830378160"/>
    <s v="23VO00372"/>
    <s v="560021812"/>
    <s v="HNXD"/>
    <s v="TNT"/>
    <s v="607249465"/>
    <s v="FOR FUTURE VIT S.R.O"/>
    <s v="HVIEZDOSLAVOVA 1206"/>
    <s v="627 00"/>
    <x v="18"/>
    <x v="2"/>
  </r>
  <r>
    <s v="DSD120634"/>
    <d v="2023-10-17T00:00:00"/>
    <s v="330241402:0830378123"/>
    <s v="171199/DI"/>
    <s v="510146371"/>
    <s v="HNXD"/>
    <s v="TNT"/>
    <s v="607249479"/>
    <s v="VF CONFORT DIJON"/>
    <s v="20 RUE DES ARDENNES"/>
    <s v="21000"/>
    <x v="0"/>
    <x v="2"/>
  </r>
  <r>
    <s v="DSD120636"/>
    <d v="2023-10-17T00:00:00"/>
    <s v="330241353:0830378103"/>
    <s v="230904350"/>
    <s v="510146826"/>
    <s v="HNXD"/>
    <s v="TNT"/>
    <s v="607249482"/>
    <s v="AIRCCO"/>
    <s v="6 RUE GEORGES BRASSE"/>
    <s v="31140"/>
    <x v="0"/>
    <x v="2"/>
  </r>
  <r>
    <s v="DSD120638"/>
    <d v="2023-10-17T00:00:00"/>
    <s v="330241557:0830378231"/>
    <s v="13336229"/>
    <s v="510146910"/>
    <s v="HNXD"/>
    <s v="TNT"/>
    <s v="607249496"/>
    <s v="ENGIE Solutions"/>
    <s v="1161 Avenue Roger Br"/>
    <s v="83500"/>
    <x v="0"/>
    <x v="2"/>
  </r>
  <r>
    <s v="DSD120640"/>
    <d v="2023-10-17T00:00:00"/>
    <s v="330241444:0830378146"/>
    <s v="WC-MEUNIER"/>
    <s v="510146705"/>
    <s v="HNXD"/>
    <s v="TNT"/>
    <s v="607249505"/>
    <s v="ORA DEVELOPPEMENT"/>
    <s v="11 Rue Saint Hubert"/>
    <s v="71450"/>
    <x v="0"/>
    <x v="2"/>
  </r>
  <r>
    <s v="DSD120644"/>
    <d v="2023-10-17T00:00:00"/>
    <s v="330241304:0830378085"/>
    <s v="SOL2309FBC008604-"/>
    <s v="510146044"/>
    <s v="HSTD"/>
    <s v="TNT"/>
    <s v="607249686"/>
    <s v="CEVENNES ENERGIE"/>
    <s v="13 RUE DES MENESTREL"/>
    <s v="34190"/>
    <x v="0"/>
    <x v="2"/>
  </r>
  <r>
    <s v="DSD120646"/>
    <d v="2023-10-17T00:00:00"/>
    <s v="330241432:0830378137"/>
    <s v="CF43217"/>
    <s v="510146319"/>
    <s v="HNXD"/>
    <s v="TNT"/>
    <s v="607249522"/>
    <s v="QUERU DISTRIBUTION S"/>
    <s v="RUE PIERRE MARTIN ,3"/>
    <s v="72100"/>
    <x v="0"/>
    <x v="2"/>
  </r>
  <r>
    <s v="DSD120650"/>
    <d v="2023-10-17T00:00:00"/>
    <s v="330241454:0830378155"/>
    <s v="093548-PINEAU BEN"/>
    <s v="510146676"/>
    <s v="HNXD"/>
    <s v="TNT"/>
    <s v="607249536"/>
    <s v="GATEAU FRERES"/>
    <s v="4 BD POMPIDOU"/>
    <s v="85800"/>
    <x v="0"/>
    <x v="2"/>
  </r>
  <r>
    <s v="DSD120652"/>
    <d v="2023-10-17T00:00:00"/>
    <s v="330241415:0830378128"/>
    <s v="SOL2309FBC008719-"/>
    <s v="510146103"/>
    <s v="HNXD"/>
    <s v="TNT"/>
    <s v="607249540"/>
    <s v="SOLIPAC PERPIGNAN"/>
    <s v="217 RUE LOUIS DELAUN"/>
    <s v="66000"/>
    <x v="0"/>
    <x v="2"/>
  </r>
  <r>
    <s v="DSD120656"/>
    <d v="2023-10-17T00:00:00"/>
    <s v="330241537:0830378214"/>
    <s v="161602"/>
    <s v="510146467"/>
    <s v="HNXD"/>
    <s v="TNT"/>
    <s v="607249553"/>
    <s v="LEPROU CHRISTIAN"/>
    <s v="25 BD RICOUX"/>
    <s v="13014"/>
    <x v="0"/>
    <x v="2"/>
  </r>
  <r>
    <s v="DSD120658"/>
    <d v="2023-10-17T00:00:00"/>
    <s v="330241364:0830378112"/>
    <s v="SOL2309FBC008554-"/>
    <s v="510146012"/>
    <s v="HNXD"/>
    <s v="TNT"/>
    <s v="607249567"/>
    <s v="AGS ENR"/>
    <s v="752 AVENUE JEAN MOUL"/>
    <s v="82000"/>
    <x v="0"/>
    <x v="2"/>
  </r>
  <r>
    <s v="DSD120660"/>
    <d v="2023-10-17T00:00:00"/>
    <s v="330241458:0830378159"/>
    <s v="SOL2310FBC008886-"/>
    <s v="510146359"/>
    <s v="HNXD"/>
    <s v="TNT"/>
    <s v="607249575"/>
    <s v="MFC"/>
    <s v="660 CHEMIN DES ENTRE"/>
    <s v="31220"/>
    <x v="0"/>
    <x v="2"/>
  </r>
  <r>
    <s v="DSD120662"/>
    <d v="2023-10-17T00:00:00"/>
    <s v="330241533:0830378210"/>
    <s v="161582"/>
    <s v="510146460"/>
    <s v="HNXD"/>
    <s v="TNT"/>
    <s v="607249584"/>
    <s v="EDDAOUDI AIMAD"/>
    <s v="529 CHEMIN DE NAUZE"/>
    <s v="82000"/>
    <x v="0"/>
    <x v="0"/>
  </r>
  <r>
    <s v="DSD120664"/>
    <d v="2023-10-17T00:00:00"/>
    <s v="330241421:0830378131"/>
    <s v="00100351-SAV 1403"/>
    <s v="510146403"/>
    <s v="HSTD"/>
    <s v="TNT"/>
    <s v="607249607"/>
    <s v="DAMOTTE GENIE CLIMAT"/>
    <s v="11 RUE JEAN BAPTISTE"/>
    <s v="21800"/>
    <x v="0"/>
    <x v="2"/>
  </r>
  <r>
    <s v="DSD120666"/>
    <d v="2023-10-17T00:00:00"/>
    <s v="330241449:0830378150"/>
    <s v="3743073"/>
    <s v="510146854"/>
    <s v="HSTD"/>
    <s v="TNT"/>
    <s v="607249615"/>
    <s v="LEHOUX"/>
    <s v="10-12 RUE EDOUARD BR"/>
    <s v="37550"/>
    <x v="0"/>
    <x v="2"/>
  </r>
  <r>
    <s v="DSD120668"/>
    <d v="2023-10-17T00:00:00"/>
    <s v="330241455:0830378156"/>
    <s v="SOL2310FBC008812-"/>
    <s v="510146267"/>
    <s v="HNXD"/>
    <s v="TNT"/>
    <s v="607249624"/>
    <s v="CVI"/>
    <s v="235 RUE EDMEE CHANDO"/>
    <s v="13200"/>
    <x v="0"/>
    <x v="2"/>
  </r>
  <r>
    <s v="DSD120670"/>
    <d v="2023-10-17T00:00:00"/>
    <s v="330241360:0830378110"/>
    <s v="SV23080190"/>
    <s v="510146099"/>
    <s v="HNXD"/>
    <s v="TNT"/>
    <s v="607249638"/>
    <s v="AIR CLIMATISATION"/>
    <s v="RUE DES COLIBRIS"/>
    <s v="62218"/>
    <x v="0"/>
    <x v="2"/>
  </r>
  <r>
    <s v="DSD120672"/>
    <d v="2023-10-17T00:00:00"/>
    <s v="330241450:0830378151"/>
    <s v="963378953"/>
    <s v="510146886"/>
    <s v="HNXD"/>
    <s v="TNT"/>
    <s v="607249641"/>
    <s v="TUNZINI LE MANS"/>
    <s v="40 B RUE ALBERT EINS"/>
    <s v="72088"/>
    <x v="0"/>
    <x v="2"/>
  </r>
  <r>
    <s v="DSD120674"/>
    <d v="2023-10-17T00:00:00"/>
    <s v="330241453:0830378154"/>
    <s v="93453"/>
    <s v="510146373"/>
    <s v="HNXD"/>
    <s v="TNT"/>
    <s v="607249655"/>
    <s v="SASPRO"/>
    <s v="6 ZA ARTIPOLE"/>
    <s v="85280"/>
    <x v="0"/>
    <x v="2"/>
  </r>
  <r>
    <s v="DSD120676"/>
    <d v="2023-10-17T00:00:00"/>
    <s v="330241347:0830378167"/>
    <s v="Tempcold"/>
    <s v="560021952"/>
    <s v="HNXD"/>
    <s v="TNT"/>
    <s v="607249669"/>
    <s v="Klima-expert"/>
    <s v="."/>
    <s v="20-388"/>
    <x v="17"/>
    <x v="2"/>
  </r>
  <r>
    <s v="DSD120678"/>
    <d v="2023-10-17T00:00:00"/>
    <s v="330241297:0830378081"/>
    <s v="SOL2309FBC008611-"/>
    <s v="510146047"/>
    <s v="HNXD"/>
    <s v="TNT"/>
    <s v="607249672"/>
    <s v="ADEXPRESS EURL"/>
    <s v="14 RUE FRANCOIS THER"/>
    <s v="81990"/>
    <x v="0"/>
    <x v="2"/>
  </r>
  <r>
    <s v="DSD120680"/>
    <d v="2023-10-17T00:00:00"/>
    <s v="330241565:0830378297"/>
    <m/>
    <s v="SW 20231011"/>
    <s v="HNXD"/>
    <s v="TNT"/>
    <s v="607250035"/>
    <s v="ATF"/>
    <s v="12 AVENUE DES TIRVERTS"/>
    <s v="10150"/>
    <x v="0"/>
    <x v="2"/>
  </r>
  <r>
    <s v="DSD120682"/>
    <d v="2023-10-17T00:00:00"/>
    <s v="330241338:0830378162"/>
    <s v="ZAM/03/10/2023"/>
    <s v="560021840"/>
    <s v="HNXD"/>
    <s v="TNT"/>
    <s v="607250052"/>
    <s v="GRODNO SA"/>
    <s v="Poznanska 312"/>
    <s v="05-840"/>
    <x v="17"/>
    <x v="2"/>
  </r>
  <r>
    <s v="DSD120684"/>
    <d v="2023-10-17T00:00:00"/>
    <s v="330241358:0830378108"/>
    <s v="15807"/>
    <s v="510146756"/>
    <s v="HNXD"/>
    <s v="TNT"/>
    <s v="607249712"/>
    <s v="ROLESCO"/>
    <s v="10BIS RUE DU COMMERC"/>
    <s v="51350"/>
    <x v="0"/>
    <x v="2"/>
  </r>
  <r>
    <s v="DSD120686"/>
    <d v="2023-10-17T00:00:00"/>
    <s v="330241398:0830378119"/>
    <s v="171067/AC"/>
    <s v="510146363"/>
    <s v="HNXD"/>
    <s v="TNT"/>
    <s v="607249726"/>
    <s v="CSTI ARBOIS"/>
    <s v="ZI L'ETHOLE"/>
    <s v="39600"/>
    <x v="0"/>
    <x v="2"/>
  </r>
  <r>
    <s v="DSD120688"/>
    <d v="2023-10-17T00:00:00"/>
    <s v="330241456:0830378157"/>
    <s v="SOL2310FBC008819-"/>
    <s v="510146269"/>
    <s v="HNXD"/>
    <s v="TNT"/>
    <s v="607249730"/>
    <s v="AMBITHERM SARL"/>
    <s v="27 CHE DES MOLES"/>
    <s v="31120"/>
    <x v="0"/>
    <x v="2"/>
  </r>
  <r>
    <s v="DSD120690"/>
    <d v="2023-10-17T00:00:00"/>
    <s v="330241386:0830378177"/>
    <s v="Mr Climate"/>
    <s v="560021925"/>
    <s v="HNXD"/>
    <s v="TNT"/>
    <s v="607249743"/>
    <s v="ACTON ELECTRONICS OO"/>
    <s v="135D TARIGRADSKO SHO"/>
    <s v="1784"/>
    <x v="12"/>
    <x v="2"/>
  </r>
  <r>
    <s v="DSD120692"/>
    <d v="2023-10-17T00:00:00"/>
    <s v="330241387:0830378178"/>
    <s v="SGTERV"/>
    <s v="560021943"/>
    <s v="HNXD"/>
    <s v="TNT"/>
    <s v="607250049"/>
    <s v="KLIMA KFT"/>
    <s v="REITTER FERENC U. 13"/>
    <s v="1131"/>
    <x v="13"/>
    <x v="2"/>
  </r>
  <r>
    <s v="DSD120694"/>
    <d v="2023-10-17T00:00:00"/>
    <s v="330241439:0830378142"/>
    <s v="WC-Mr Renard"/>
    <s v="510146691"/>
    <s v="HNXD"/>
    <s v="TNT"/>
    <s v="607249765"/>
    <s v="Mr Renard Lucien"/>
    <s v="2 rue de la gare"/>
    <s v="51600"/>
    <x v="0"/>
    <x v="2"/>
  </r>
  <r>
    <s v="DSD120696"/>
    <d v="2023-10-17T00:00:00"/>
    <s v="330241308:0830378086"/>
    <s v="CHANTIER FM/05935"/>
    <s v="510145981"/>
    <s v="HSTD"/>
    <s v="TNT"/>
    <s v="607249774"/>
    <s v="DAVAL SARL"/>
    <s v="3 rue leon foucault"/>
    <s v="25870"/>
    <x v="0"/>
    <x v="2"/>
  </r>
  <r>
    <s v="DSD120698"/>
    <d v="2023-10-17T00:00:00"/>
    <s v="330241359:0830378109"/>
    <s v="SAV23090307"/>
    <s v="510146138"/>
    <s v="HNXD"/>
    <s v="TNT"/>
    <s v="607249788"/>
    <s v="AIR CLIMATISATION"/>
    <s v="RUE DES COLIBRIS"/>
    <s v="62218"/>
    <x v="0"/>
    <x v="2"/>
  </r>
  <r>
    <s v="DSD120700"/>
    <d v="2023-10-17T00:00:00"/>
    <s v="330241397:0830378118"/>
    <s v="170883/EX"/>
    <s v="510146362"/>
    <s v="HNXD"/>
    <s v="TNT"/>
    <s v="607249791"/>
    <s v="VF CONFORT EXINCOURT"/>
    <s v="22 RUE DU CANAL"/>
    <s v="25400"/>
    <x v="0"/>
    <x v="2"/>
  </r>
  <r>
    <s v="DSD120702"/>
    <d v="2023-10-17T00:00:00"/>
    <s v="330241549:0830378226"/>
    <s v="00100439-SAV 2721"/>
    <s v="510146717"/>
    <s v="HNXD"/>
    <s v="TNT"/>
    <s v="607249805"/>
    <s v="HAC PARIS WISSOUS"/>
    <s v="8 RUE COLBERT"/>
    <s v="91320"/>
    <x v="0"/>
    <x v="2"/>
  </r>
  <r>
    <s v="DSD120704"/>
    <d v="2023-10-17T00:00:00"/>
    <s v="330241329:0830378099"/>
    <s v="BC15842-AR38627"/>
    <s v="510146292"/>
    <s v="HNXD"/>
    <s v="TNT"/>
    <s v="607249814"/>
    <s v="PIECES EXPRESS"/>
    <s v="1 RUE PHILIPPE LEBON"/>
    <s v="14120"/>
    <x v="0"/>
    <x v="2"/>
  </r>
  <r>
    <s v="DSD120706"/>
    <d v="2023-10-17T00:00:00"/>
    <s v="330241540:0830378217"/>
    <s v="161691"/>
    <s v="510146501"/>
    <s v="HNXD"/>
    <s v="TNT"/>
    <s v="607249828"/>
    <s v="JAFFUS SYLVIE"/>
    <s v="7 CHEMIN DES JARDINS"/>
    <s v="11200"/>
    <x v="0"/>
    <x v="2"/>
  </r>
  <r>
    <s v="DSD120708"/>
    <d v="2023-10-17T00:00:00"/>
    <s v="330241434:0830378139"/>
    <s v="LCD"/>
    <s v="510146350"/>
    <s v="HNXD"/>
    <s v="TNT"/>
    <s v="607249831"/>
    <s v="QUALIENERGETIQUE"/>
    <s v="3 CHEMIN BERNAHET"/>
    <s v="76110"/>
    <x v="0"/>
    <x v="2"/>
  </r>
  <r>
    <s v="DSD120710"/>
    <d v="2023-10-17T00:00:00"/>
    <s v="330241323:0830378096"/>
    <s v="BC15796-AR38479"/>
    <s v="510146282"/>
    <s v="HNXD"/>
    <s v="TNT"/>
    <s v="607249845"/>
    <s v="DISTRITEC CVC RENNES"/>
    <s v="20 RUE DE LA RETARDA"/>
    <s v="35000"/>
    <x v="0"/>
    <x v="2"/>
  </r>
  <r>
    <s v="DSD120712"/>
    <d v="2023-10-17T00:00:00"/>
    <s v="330241490:0830378204"/>
    <s v="SOL2310FBC008839-"/>
    <s v="510146304"/>
    <s v="HNXD"/>
    <s v="TNT"/>
    <s v="607249859"/>
    <s v="SOLIPAC ALES"/>
    <s v="739 AVENUE DE CROUPI"/>
    <s v="30100"/>
    <x v="0"/>
    <x v="2"/>
  </r>
  <r>
    <s v="DSD120714"/>
    <d v="2023-10-17T00:00:00"/>
    <s v="330241491:0830378205"/>
    <s v="SOL2310FBC008859-"/>
    <s v="510146327"/>
    <s v="HNXD"/>
    <s v="TNT"/>
    <s v="607249862"/>
    <s v="ORTIZ SEBASTIEN - CL"/>
    <s v="2 CHEMIN FRANCOIS FE"/>
    <s v="34300"/>
    <x v="0"/>
    <x v="2"/>
  </r>
  <r>
    <s v="DSD120716"/>
    <d v="2023-10-17T00:00:00"/>
    <s v="330241539:0830378216"/>
    <s v="BC28993 EA CRON"/>
    <s v="510146489"/>
    <s v="HNXD"/>
    <s v="TNT"/>
    <s v="607249876"/>
    <s v="SAS DUPRE MAINTENANC"/>
    <s v="97 AVENUE GAMBETTA"/>
    <s v="17100"/>
    <x v="0"/>
    <x v="2"/>
  </r>
  <r>
    <s v="DSD120718"/>
    <d v="2023-10-17T00:00:00"/>
    <s v="330241346:0830378166"/>
    <s v="501230123"/>
    <s v="560021946"/>
    <s v="HNXD"/>
    <s v="TNT"/>
    <s v="607249880"/>
    <s v="AB KLIMATIZACE S.R.O"/>
    <s v="LUCNI 3096 24B"/>
    <s v="616 00"/>
    <x v="18"/>
    <x v="2"/>
  </r>
  <r>
    <s v="DSD120720"/>
    <d v="2023-10-17T00:00:00"/>
    <s v="330241352:0830378102"/>
    <s v="12731"/>
    <s v="510146828"/>
    <s v="HSTD"/>
    <s v="TNT"/>
    <s v="607249893"/>
    <s v="PRESTICLIM"/>
    <s v="RUE DE LA MARTINIERE"/>
    <s v="91570"/>
    <x v="0"/>
    <x v="2"/>
  </r>
  <r>
    <s v="DSD120722"/>
    <d v="2023-10-17T00:00:00"/>
    <s v="330241301:0830378083"/>
    <s v="COLLEC"/>
    <s v="510146082"/>
    <s v="HNXD"/>
    <s v="TNT"/>
    <s v="607249902"/>
    <s v="ARMOR GENIE THERMIQU"/>
    <s v="RUE DE POULPATRE ,12"/>
    <s v="29160"/>
    <x v="0"/>
    <x v="2"/>
  </r>
  <r>
    <s v="DSD120724"/>
    <d v="2023-10-17T00:00:00"/>
    <s v="330241446:0830378148"/>
    <s v="WC-SISSIA"/>
    <s v="510146709"/>
    <s v="HSTD"/>
    <s v="TNT"/>
    <s v="607249916"/>
    <s v="HAC HITACHI"/>
    <s v="Avenue fontfrege qua"/>
    <s v="13420"/>
    <x v="0"/>
    <x v="2"/>
  </r>
  <r>
    <s v="DSD120726"/>
    <d v="2023-10-17T00:00:00"/>
    <s v="330241461:0830378187"/>
    <s v="CDC127892 SB0002"/>
    <s v="510146380"/>
    <s v="HNXD"/>
    <s v="TNT"/>
    <s v="607249920"/>
    <s v="SMER"/>
    <s v="275 ROUTE DE VARS"/>
    <s v="16160"/>
    <x v="0"/>
    <x v="2"/>
  </r>
  <r>
    <s v="DSD120728"/>
    <d v="2023-10-17T00:00:00"/>
    <s v="330241433:0830378138"/>
    <s v="BICHOT"/>
    <s v="510146349"/>
    <s v="HNXD"/>
    <s v="TNT"/>
    <s v="607249933"/>
    <s v="CNR"/>
    <s v="185 AVENUE D'ARGENTO"/>
    <s v="36000"/>
    <x v="0"/>
    <x v="2"/>
  </r>
  <r>
    <s v="DSD120730"/>
    <d v="2023-10-17T00:00:00"/>
    <s v="330241467:0830378190"/>
    <s v="8300"/>
    <s v="510146852"/>
    <s v="HNXD"/>
    <s v="TNT"/>
    <s v="607249947"/>
    <s v="CLIMATAIR"/>
    <s v="SECTEUR SUD ZAC D A"/>
    <s v="54700"/>
    <x v="0"/>
    <x v="2"/>
  </r>
  <r>
    <s v="DSD120732"/>
    <d v="2023-10-17T00:00:00"/>
    <s v="330241475:0830378196"/>
    <s v="SOL2310FBC008763-"/>
    <s v="510146194"/>
    <s v="HNXD"/>
    <s v="TNT"/>
    <s v="607249955"/>
    <s v="PARTEDIS PIECES DETA"/>
    <s v="23 RUE JEAN DALLET"/>
    <s v="19100"/>
    <x v="0"/>
    <x v="2"/>
  </r>
  <r>
    <s v="DSD120734"/>
    <d v="2023-10-17T00:00:00"/>
    <s v="330241544:0830378221"/>
    <s v="161727"/>
    <s v="510146509"/>
    <s v="HNXD"/>
    <s v="TNT"/>
    <s v="607249964"/>
    <s v="SA ETTORI TADDEI MOS"/>
    <s v="RN 193 - FURIANI"/>
    <s v="20600"/>
    <x v="0"/>
    <x v="2"/>
  </r>
  <r>
    <s v="DSD120738"/>
    <d v="2023-10-17T00:00:00"/>
    <s v="330241335:0830378161"/>
    <s v="230118"/>
    <s v="560021813"/>
    <s v="HNXD"/>
    <s v="TNT"/>
    <s v="607249978"/>
    <s v="AB KLIMATIZACE S.R.O"/>
    <s v="LUCNI 3096 24B"/>
    <s v="616 00"/>
    <x v="18"/>
    <x v="2"/>
  </r>
  <r>
    <s v="DSD120740"/>
    <d v="2023-10-17T00:00:00"/>
    <s v="330241535:0830378212"/>
    <s v="161596"/>
    <s v="510146463"/>
    <s v="HNXD"/>
    <s v="TNT"/>
    <s v="607249981"/>
    <s v="ISULAMAT-ELEC"/>
    <s v="LIEU DIT PINZUTA"/>
    <s v="20110"/>
    <x v="0"/>
    <x v="2"/>
  </r>
  <r>
    <s v="DSD120744"/>
    <d v="2023-10-17T00:00:00"/>
    <s v="330241451:0830378152"/>
    <s v="LA BRASSERIE"/>
    <s v="510146889"/>
    <s v="HSTD"/>
    <s v="TNT"/>
    <s v="607249995"/>
    <s v="BADET SA"/>
    <s v="46 AVE.MARECHAL LECL"/>
    <s v="71300"/>
    <x v="0"/>
    <x v="2"/>
  </r>
  <r>
    <s v="DSD120746"/>
    <d v="2023-10-17T00:00:00"/>
    <s v="330241471:0830378194"/>
    <s v="23090132/NB"/>
    <s v="510146111"/>
    <s v="HNXD"/>
    <s v="TNT"/>
    <s v="607250004"/>
    <s v="COMAINTEF"/>
    <s v="6 RUE CAROLINE AIGLE"/>
    <s v="33185"/>
    <x v="0"/>
    <x v="2"/>
  </r>
  <r>
    <s v="DSD120754"/>
    <d v="2023-10-17T00:00:00"/>
    <s v="330241452:0830378153"/>
    <s v="93223"/>
    <s v="510146092"/>
    <s v="HNXD"/>
    <s v="TNT"/>
    <s v="607250021"/>
    <s v="SASPRO"/>
    <s v="6 ZA ARTIPOLE"/>
    <s v="85280"/>
    <x v="0"/>
    <x v="0"/>
  </r>
  <r>
    <s v="DSD120758"/>
    <d v="2023-10-17T00:00:00"/>
    <s v="330241560:0830378256"/>
    <s v="4102023"/>
    <s v="560021857"/>
    <s v="HSTD"/>
    <s v="TNT"/>
    <s v="607250066"/>
    <s v="IMMERCLIMA SRL"/>
    <s v="VIA GUICCIARDI 7/F"/>
    <s v="42100"/>
    <x v="3"/>
    <x v="2"/>
  </r>
  <r>
    <s v="DSD120760"/>
    <d v="2023-10-17T00:00:00"/>
    <s v="330241553:0830378229"/>
    <s v="C507158427"/>
    <s v="510146780"/>
    <s v="HNXD"/>
    <s v="TNT"/>
    <s v="607250070"/>
    <s v="EIFFAGE ENERGIE SYST"/>
    <s v="32 AVENUE Jean Perri"/>
    <s v="33600"/>
    <x v="0"/>
    <x v="2"/>
  </r>
  <r>
    <s v="DSD120762"/>
    <d v="2023-10-17T00:00:00"/>
    <s v="330241356:0830378106"/>
    <s v="CDC127643 V0004 S"/>
    <s v="510146254"/>
    <s v="HNXD"/>
    <s v="TNT"/>
    <s v="607250083"/>
    <s v="VERA ECOTHERMIE"/>
    <s v="352 Route de la Gare"/>
    <s v="64990"/>
    <x v="0"/>
    <x v="2"/>
  </r>
  <r>
    <s v="DSD120764"/>
    <d v="2023-10-17T00:00:00"/>
    <s v="330241403:0830378124"/>
    <s v="171200/EX"/>
    <s v="510146372"/>
    <s v="HNXD"/>
    <s v="TNT"/>
    <s v="607250097"/>
    <s v="VF CONFORT EXINCOURT"/>
    <s v="22 RUE DU CANAL"/>
    <s v="25400"/>
    <x v="0"/>
    <x v="2"/>
  </r>
  <r>
    <s v="DSD120768"/>
    <d v="2023-10-17T00:00:00"/>
    <s v="330241494:0830378208"/>
    <s v="HOUDART 041023"/>
    <s v="510146332"/>
    <s v="HNXD"/>
    <s v="TNT"/>
    <s v="607250106"/>
    <s v="ECOKLIMA"/>
    <s v="450 AVENUE BLAISE PA"/>
    <s v="77550"/>
    <x v="0"/>
    <x v="2"/>
  </r>
  <r>
    <s v="DSD120770"/>
    <d v="2023-10-17T00:00:00"/>
    <s v="330241541:0830378218"/>
    <s v="161704"/>
    <s v="510146505"/>
    <s v="HNXD"/>
    <s v="TNT"/>
    <s v="607250110"/>
    <s v="SA ETTORI TADDEI MOS"/>
    <s v="RN 193 - FURIANI"/>
    <s v="20600"/>
    <x v="0"/>
    <x v="2"/>
  </r>
  <r>
    <s v="DSD120772"/>
    <d v="2023-10-17T00:00:00"/>
    <s v="330241478:0830378197"/>
    <s v="WC PETIT ROUBIS"/>
    <s v="510146590"/>
    <s v="HNXD"/>
    <s v="TNT"/>
    <s v="607250123"/>
    <s v="AQUITAINE THERMIQUE"/>
    <s v="20 RUE DES ENTREPREN"/>
    <s v="47480"/>
    <x v="0"/>
    <x v="2"/>
  </r>
  <r>
    <s v="DSD120776"/>
    <d v="2023-10-17T00:00:00"/>
    <s v="330241534:0830378211"/>
    <s v="161593"/>
    <s v="510146462"/>
    <s v="HNXD"/>
    <s v="TNT"/>
    <s v="607250137"/>
    <s v="SA ETTORI TADDEI MOS"/>
    <s v="RN 193 - FURIANI"/>
    <s v="20600"/>
    <x v="0"/>
    <x v="2"/>
  </r>
  <r>
    <s v="DSD120778"/>
    <d v="2023-10-17T00:00:00"/>
    <s v="330241423:0830378132"/>
    <s v="CDC127566 AB0133"/>
    <s v="510146242"/>
    <s v="HNXD"/>
    <s v="TNT"/>
    <s v="607250145"/>
    <s v="2AMR CONSEILS"/>
    <s v="282 Avenue de Nantes"/>
    <s v="86000"/>
    <x v="0"/>
    <x v="2"/>
  </r>
  <r>
    <s v="DSD120782"/>
    <d v="2023-10-17T00:00:00"/>
    <s v="330241542:0830378219"/>
    <s v="WC-GIGAFIT"/>
    <s v="510146646"/>
    <s v="HNXD"/>
    <s v="TNT"/>
    <s v="607250154"/>
    <s v="FS PLOMBERIE"/>
    <s v="22 RUE DODERE"/>
    <s v="06300"/>
    <x v="0"/>
    <x v="2"/>
  </r>
  <r>
    <s v="DSD120788"/>
    <d v="2023-10-17T00:00:00"/>
    <s v="330241419:0830378129"/>
    <s v="00100340-8049"/>
    <s v="510146355"/>
    <s v="HSTD"/>
    <s v="TNT"/>
    <s v="607250168"/>
    <s v="H2C AGENCE DE LILLE"/>
    <s v="58 RUE LEON BLUM"/>
    <s v="59370"/>
    <x v="0"/>
    <x v="2"/>
  </r>
  <r>
    <s v="DSD120790"/>
    <d v="2023-10-17T00:00:00"/>
    <s v="330241531:0830378255"/>
    <s v="Tempcold"/>
    <s v="560021771"/>
    <s v="HNXD"/>
    <s v="TNT"/>
    <s v="607250171"/>
    <s v="TEMPCOLD SP.Z O.O."/>
    <s v="."/>
    <s v="01-939"/>
    <x v="17"/>
    <x v="2"/>
  </r>
  <r>
    <s v="DSD120792"/>
    <d v="2023-10-17T00:00:00"/>
    <s v="330241342:0830378165"/>
    <s v="Tempcold"/>
    <s v="560021913"/>
    <s v="HSTD"/>
    <s v="TNT"/>
    <s v="607250199"/>
    <s v="CLIMATRONIC"/>
    <s v="."/>
    <s v="42-500"/>
    <x v="17"/>
    <x v="2"/>
  </r>
  <r>
    <s v="DSD120796"/>
    <d v="2023-10-17T00:00:00"/>
    <s v="330241487:0830378203"/>
    <s v="SOL2310FBC008783-"/>
    <s v="510146208"/>
    <s v="HNXD"/>
    <s v="TNT"/>
    <s v="607250185"/>
    <s v="SYNAPTIC"/>
    <s v="20 AVENUE DIDIER DAU"/>
    <s v="31400"/>
    <x v="0"/>
    <x v="2"/>
  </r>
  <r>
    <s v="DSD120798"/>
    <d v="2023-10-17T00:00:00"/>
    <s v="330241550:0830378227"/>
    <s v="00100440-11344 GU"/>
    <s v="510146718"/>
    <s v="HNXD"/>
    <s v="TNT"/>
    <s v="607250208"/>
    <s v="SEEM CLIMATISATION"/>
    <s v="6 RUE DES SABLONS"/>
    <s v="41120"/>
    <x v="0"/>
    <x v="2"/>
  </r>
  <r>
    <s v="DSD120800"/>
    <d v="2023-10-17T00:00:00"/>
    <s v="330241420:0830378130"/>
    <s v="00100343-SAV 2120"/>
    <s v="510146384"/>
    <s v="HNXD"/>
    <s v="TNT"/>
    <s v="607250211"/>
    <s v="ENGIE TOULON"/>
    <s v="AV DES FRERES LUMIER"/>
    <s v="83160"/>
    <x v="0"/>
    <x v="2"/>
  </r>
  <r>
    <s v="DSD120802"/>
    <d v="2023-10-17T00:00:00"/>
    <s v="330241530:0830378254"/>
    <s v="23VO00367"/>
    <s v="560021768"/>
    <s v="HSTD"/>
    <s v="TNT"/>
    <s v="607250225"/>
    <s v="FOR FUTURE VIT S.R.O"/>
    <s v="HVIEZDOSLAVOVA 1206"/>
    <s v="627 00"/>
    <x v="18"/>
    <x v="2"/>
  </r>
  <r>
    <s v="DSD120804"/>
    <d v="2023-10-17T00:00:00"/>
    <s v="330241492:0830378206"/>
    <s v="SOL2310FBC008860-"/>
    <s v="510146328"/>
    <s v="HNXD"/>
    <s v="TNT"/>
    <s v="607250239"/>
    <s v="SOLIPAC NARBONNE"/>
    <s v="38 AV DU CHAMP DE MA"/>
    <s v="11100"/>
    <x v="0"/>
    <x v="0"/>
  </r>
  <r>
    <s v="DSD120806"/>
    <d v="2023-10-17T00:00:00"/>
    <s v="330241536:0830378213"/>
    <s v="161601"/>
    <s v="510146466"/>
    <s v="HNXD"/>
    <s v="TNT"/>
    <s v="607250242"/>
    <s v="MOREL LAURENT"/>
    <s v="84 RUE DU GRAND PARC"/>
    <s v="78960"/>
    <x v="0"/>
    <x v="2"/>
  </r>
  <r>
    <s v="DSD120808"/>
    <d v="2023-10-17T00:00:00"/>
    <s v="330241548:0830378225"/>
    <s v="00100434-8059"/>
    <s v="510146716"/>
    <s v="HNXD"/>
    <s v="TNT"/>
    <s v="607250256"/>
    <s v="ARTOIS CLIM SAV FAN"/>
    <s v="5 RUE DE GIVENCHY"/>
    <s v="62690"/>
    <x v="0"/>
    <x v="2"/>
  </r>
  <r>
    <s v="DSD120810"/>
    <d v="2023-10-17T00:00:00"/>
    <s v="330241394:0830378183"/>
    <s v="769-JCH-IT"/>
    <s v="560021992"/>
    <s v="HSTD"/>
    <s v="TNT"/>
    <s v="607250260"/>
    <s v="POOL CLIMA 9002 SRL"/>
    <s v="VIA CESARE BATTISTI"/>
    <s v="22075"/>
    <x v="3"/>
    <x v="2"/>
  </r>
  <r>
    <s v="DSD120814"/>
    <d v="2023-10-17T00:00:00"/>
    <s v="330241485:0830378201"/>
    <s v="SOL2309FBC008326-"/>
    <s v="510146203"/>
    <s v="HNXD"/>
    <s v="TNT"/>
    <s v="607250273"/>
    <s v="AMBITHERM SARL"/>
    <s v="27 CHE DES MOLES"/>
    <s v="31120"/>
    <x v="0"/>
    <x v="2"/>
  </r>
  <r>
    <s v="DSD120816"/>
    <d v="2023-10-17T00:00:00"/>
    <s v="330241468:0830378191"/>
    <s v="CENTAURE SAV - 36"/>
    <s v="510146873"/>
    <s v="HNXD"/>
    <s v="TNT"/>
    <s v="607250287"/>
    <s v="AGP"/>
    <s v="9 RUE DENIS PAPIN"/>
    <s v="91630"/>
    <x v="0"/>
    <x v="2"/>
  </r>
  <r>
    <s v="DSD120820"/>
    <d v="2023-10-17T00:00:00"/>
    <s v="330241497:0830378209"/>
    <s v="161583"/>
    <s v="510146458"/>
    <s v="HNXD"/>
    <s v="TNT"/>
    <s v="607250295"/>
    <s v="CEFTECH"/>
    <s v="266 DOMAINE DES BAUX"/>
    <s v="83520"/>
    <x v="0"/>
    <x v="2"/>
  </r>
  <r>
    <s v="DSD120822"/>
    <d v="2023-10-17T00:00:00"/>
    <s v="330241493:0830378207"/>
    <s v="Bruno FOUCHER"/>
    <s v="510146329"/>
    <s v="HNXD"/>
    <s v="TNT"/>
    <s v="607250300"/>
    <s v="ID ENERGIES"/>
    <s v="ZA D ARMANVILLE, 15"/>
    <s v="50700"/>
    <x v="0"/>
    <x v="2"/>
  </r>
  <r>
    <s v="DSD120824"/>
    <d v="2023-10-17T00:00:00"/>
    <s v="330241546:0830378223"/>
    <s v="2312743-ROFFAT JU"/>
    <s v="510146712"/>
    <s v="HNXD"/>
    <s v="TNT"/>
    <s v="607250313"/>
    <s v="CLIM ASSISTANCE SERV"/>
    <s v="575 RUE DE LA FARNIE"/>
    <s v="69400"/>
    <x v="0"/>
    <x v="2"/>
  </r>
  <r>
    <s v="DSD120826"/>
    <d v="2023-10-17T00:00:00"/>
    <s v="330241474:0830378195"/>
    <s v="RF/C2300040/30940"/>
    <s v="510146178"/>
    <s v="HNXD"/>
    <s v="TNT"/>
    <s v="607250327"/>
    <s v="C F 2 C"/>
    <s v="ZA CHAMPS LAMET"/>
    <s v="63430"/>
    <x v="0"/>
    <x v="2"/>
  </r>
  <r>
    <s v="DSD120828"/>
    <d v="2023-10-17T00:00:00"/>
    <s v="330241355:0830378105"/>
    <s v="MALANO"/>
    <s v="510146339"/>
    <s v="HSTD"/>
    <s v="TNT"/>
    <s v="607250335"/>
    <s v="POINT CLIM"/>
    <s v="81 QUAI DE LA MARNE"/>
    <s v="94340"/>
    <x v="0"/>
    <x v="2"/>
  </r>
  <r>
    <s v="DSD120830"/>
    <d v="2023-10-17T00:00:00"/>
    <s v="330241354:0830378104"/>
    <s v="230904290"/>
    <s v="510146823"/>
    <s v="HNXD"/>
    <s v="TNT"/>
    <s v="607250344"/>
    <s v="AIRCCO"/>
    <s v="6 RUE GEORGES BRASSE"/>
    <s v="31140"/>
    <x v="0"/>
    <x v="0"/>
  </r>
  <r>
    <s v="DSD120836"/>
    <d v="2023-10-17T00:00:00"/>
    <s v="330241470:0830378193"/>
    <s v="23090190"/>
    <s v="510146104"/>
    <s v="HNXD"/>
    <s v="TNT"/>
    <s v="607250358"/>
    <s v="JUSTUMUS"/>
    <s v="9 rue marc chagall"/>
    <s v="32000"/>
    <x v="0"/>
    <x v="2"/>
  </r>
  <r>
    <s v="DSD120838"/>
    <d v="2023-10-17T00:00:00"/>
    <s v="330241504:0830378237"/>
    <s v="NOI"/>
    <s v="560021931"/>
    <s v="HSTD"/>
    <s v="TNT"/>
    <s v="607250361"/>
    <s v="PARODI GIORGIO"/>
    <s v="VIA PISACANE 3A C"/>
    <s v="16129"/>
    <x v="3"/>
    <x v="2"/>
  </r>
  <r>
    <s v="DSD120840"/>
    <d v="2023-10-17T00:00:00"/>
    <s v="330241482:0830378200"/>
    <s v="WC-SALOME2"/>
    <s v="510146649"/>
    <s v="HNXD"/>
    <s v="TNT"/>
    <s v="607250375"/>
    <s v="BIDAULT DAVID"/>
    <s v="26 RUE DE CHAMPSORT"/>
    <s v="41500"/>
    <x v="0"/>
    <x v="2"/>
  </r>
  <r>
    <s v="DSD120842"/>
    <d v="2023-10-17T00:00:00"/>
    <s v="330241575:0830378327"/>
    <s v="161600"/>
    <s v="510146464"/>
    <s v="HNXD"/>
    <s v="TNT"/>
    <s v="607250389"/>
    <s v="TROK JEAN-PASCAL"/>
    <s v="103 ROUTE DE SAINT M"/>
    <s v="06130"/>
    <x v="0"/>
    <x v="2"/>
  </r>
  <r>
    <s v="DSD120846"/>
    <d v="2023-10-17T00:00:00"/>
    <s v="330241459:0830378186"/>
    <s v="CDC127877 B0004 S"/>
    <s v="510146368"/>
    <s v="HNXD"/>
    <s v="TNT"/>
    <s v="607250392"/>
    <s v="BETON"/>
    <s v="707 Avenue du Brasse"/>
    <s v="40110"/>
    <x v="0"/>
    <x v="2"/>
  </r>
  <r>
    <s v="DSD120848"/>
    <d v="2023-10-17T00:00:00"/>
    <s v="330241340:0830378164"/>
    <s v="zam/05/10/2023"/>
    <s v="560021904"/>
    <s v="HSTD"/>
    <s v="TNT"/>
    <s v="607250432"/>
    <s v="GRODNO SA"/>
    <s v="Poznanska 312"/>
    <s v="05-840"/>
    <x v="17"/>
    <x v="2"/>
  </r>
  <r>
    <s v="DSD120850"/>
    <d v="2023-10-17T00:00:00"/>
    <s v="330241538:0830378215"/>
    <s v="CF103847/CF103848"/>
    <s v="510146436"/>
    <s v="HNXD"/>
    <s v="TNT"/>
    <s v="607250415"/>
    <s v="BE CLIM"/>
    <s v="224 AVENUE JEAN MERM"/>
    <s v="63100"/>
    <x v="0"/>
    <x v="2"/>
  </r>
  <r>
    <s v="DSD120852"/>
    <d v="2023-10-17T00:00:00"/>
    <s v="330241407:0830378125"/>
    <s v="SOL2309FBC008675-"/>
    <s v="510145978"/>
    <s v="HSTD"/>
    <s v="TNT"/>
    <s v="607250429"/>
    <s v="CLIMAX SAV"/>
    <s v="4 RUE PAUL ROCACHE"/>
    <s v="31100"/>
    <x v="0"/>
    <x v="2"/>
  </r>
  <r>
    <s v="DSD120854"/>
    <d v="2023-10-17T00:00:00"/>
    <s v="330241424:0830378133"/>
    <s v="CDC127644 G0049 S"/>
    <s v="510146256"/>
    <s v="HSTD"/>
    <s v="TNT"/>
    <s v="607250446"/>
    <s v="GOYENECHE"/>
    <s v="Maison UDATXOA"/>
    <s v="64310"/>
    <x v="0"/>
    <x v="2"/>
  </r>
  <r>
    <s v="DSD120860"/>
    <d v="2023-10-17T00:00:00"/>
    <s v="330241579:0830378330"/>
    <s v="00100330-SAV RAM5"/>
    <s v="510146351"/>
    <s v="HNXD"/>
    <s v="TNT"/>
    <s v="607250450"/>
    <s v="HAC MOUANS SARTOUX"/>
    <s v="Z.I. DE L ARGILE"/>
    <s v="06370"/>
    <x v="0"/>
    <x v="2"/>
  </r>
  <r>
    <s v="DSD120862"/>
    <d v="2023-10-17T00:00:00"/>
    <s v="330241400:0830378121"/>
    <s v="171196/DI"/>
    <s v="510146365"/>
    <s v="HSTD"/>
    <s v="TNT"/>
    <s v="607250463"/>
    <s v="VF CONFORT DIJON"/>
    <s v="20 RUE DES ARDENNES"/>
    <s v="21000"/>
    <x v="0"/>
    <x v="2"/>
  </r>
  <r>
    <s v="DSD120864"/>
    <d v="2023-10-17T00:00:00"/>
    <s v="330241585:0830378332"/>
    <s v="00100352-SAV 2023"/>
    <s v="510146404"/>
    <s v="HNXD"/>
    <s v="TNT"/>
    <s v="607250477"/>
    <s v="AIR AZUR DISTRIBUTIO"/>
    <s v="26 RUE JOSEPH CADEן"/>
    <s v="06100"/>
    <x v="0"/>
    <x v="2"/>
  </r>
  <r>
    <s v="DSD120866"/>
    <d v="2023-10-17T00:00:00"/>
    <s v="330241569:0830378322"/>
    <s v="CC300465"/>
    <s v="510146308"/>
    <s v="HNXD"/>
    <s v="TNT"/>
    <s v="607250485"/>
    <s v="LUCIEN SIROT ET ASSO"/>
    <s v="25 RUE DE LA MALADRE"/>
    <s v="03500"/>
    <x v="0"/>
    <x v="2"/>
  </r>
  <r>
    <s v="DSD120868"/>
    <d v="2023-10-17T00:00:00"/>
    <s v="330241580:0830378331"/>
    <s v="00100394-SAV RAC3"/>
    <s v="510146598"/>
    <s v="HNXD"/>
    <s v="TNT"/>
    <s v="607250494"/>
    <s v="H2C SLV"/>
    <s v="225BIS AVENUE PIERRE"/>
    <s v="06700"/>
    <x v="0"/>
    <x v="2"/>
  </r>
  <r>
    <s v="DSD120870"/>
    <d v="2023-10-17T00:00:00"/>
    <s v="330241573:0830378325"/>
    <s v="WC COMBAUD"/>
    <s v="510146697"/>
    <s v="HNXD"/>
    <s v="TNT"/>
    <s v="607250503"/>
    <s v="CAU"/>
    <s v="16 RUE DE PASQUIS"/>
    <s v="03108"/>
    <x v="0"/>
    <x v="2"/>
  </r>
  <r>
    <s v="DSD120874"/>
    <d v="2023-10-17T00:00:00"/>
    <s v="330241568:0830378321"/>
    <s v="CF-100.469-11122"/>
    <s v="510146302"/>
    <s v="HNXD"/>
    <s v="TNT"/>
    <s v="607250525"/>
    <s v="JUILLARD CHAUFFAGE"/>
    <s v="705 RUE DES VAREYS"/>
    <s v="01440"/>
    <x v="0"/>
    <x v="2"/>
  </r>
  <r>
    <s v="DSD120878"/>
    <d v="2023-10-17T00:00:00"/>
    <s v="330241408:0830378126"/>
    <s v="SOL2309FBC008685-"/>
    <s v="510145982"/>
    <s v="HSTD"/>
    <s v="TNT"/>
    <s v="607250534"/>
    <s v="DECOSANIT"/>
    <s v="27 COURS LAFAYETTE"/>
    <s v="69006"/>
    <x v="0"/>
    <x v="2"/>
  </r>
  <r>
    <s v="DSD120880"/>
    <d v="2023-10-17T00:00:00"/>
    <s v="330241574:0830378326"/>
    <s v="WC-Peyrolade / T#"/>
    <s v="510146708"/>
    <s v="HNXD"/>
    <s v="TNT"/>
    <s v="607250548"/>
    <s v="MORO ET PRATO"/>
    <s v="ZI DE L ARGILE LOT 6"/>
    <s v="06370"/>
    <x v="0"/>
    <x v="2"/>
  </r>
  <r>
    <s v="DSD120882"/>
    <d v="2023-10-17T00:00:00"/>
    <s v="330237927:0830378044"/>
    <s v="WC 9684"/>
    <s v="560021891"/>
    <s v="HSTD"/>
    <s v="TNT"/>
    <s v="607250551"/>
    <s v="BIT SYSTEM SRL"/>
    <s v="BIT SYSTEM SRL"/>
    <s v="91026"/>
    <x v="3"/>
    <x v="0"/>
  </r>
  <r>
    <s v="DSD120884"/>
    <d v="2023-10-17T00:00:00"/>
    <s v="330241545:0830378222"/>
    <s v="CORMIER"/>
    <s v="510146565"/>
    <s v="HNXD"/>
    <s v="TNT"/>
    <s v="607250565"/>
    <s v="ORA DEVELOPPEMENT"/>
    <s v="11 RUE SAINT HUBERT"/>
    <s v="71450"/>
    <x v="0"/>
    <x v="2"/>
  </r>
  <r>
    <s v="DSD120892"/>
    <d v="2023-10-17T00:00:00"/>
    <s v="330241551:0830378228"/>
    <s v="172415-AC"/>
    <s v="510146520"/>
    <s v="HNXD"/>
    <s v="TNT"/>
    <s v="607250579"/>
    <s v="EVOLI ENERGIES"/>
    <s v="8 RUEDES VAUGEREUX"/>
    <s v="70150"/>
    <x v="0"/>
    <x v="2"/>
  </r>
  <r>
    <s v="DSD120894"/>
    <d v="2023-10-17T00:00:00"/>
    <s v="330241561:0830378257"/>
    <s v="20231250 ZARA SPA"/>
    <s v="560021889"/>
    <s v="HSTD"/>
    <s v="TNT"/>
    <s v="607250605"/>
    <s v="TEKNOCLIMA SRL"/>
    <s v="SITAM SAS - Manutenz"/>
    <s v="70010"/>
    <x v="3"/>
    <x v="2"/>
  </r>
  <r>
    <s v="DSD120896"/>
    <d v="2023-10-17T00:00:00"/>
    <s v="330241469:0830378192"/>
    <s v="6617 TORRES"/>
    <s v="510145979"/>
    <s v="HNXD"/>
    <s v="TNT"/>
    <s v="607250596"/>
    <s v="SARL AD CLIM"/>
    <s v="ROUTE DE PONTAULT-CO"/>
    <s v="77680"/>
    <x v="0"/>
    <x v="2"/>
  </r>
  <r>
    <s v="DSD120898"/>
    <d v="2023-10-17T00:00:00"/>
    <s v="330241543:0830378220"/>
    <s v="161711"/>
    <s v="510146508"/>
    <s v="HNXD"/>
    <s v="TNT"/>
    <s v="607250619"/>
    <s v="CAUSSANEL G"/>
    <s v="1 CHEMIN DE MIRANDE"/>
    <s v="31590"/>
    <x v="0"/>
    <x v="2"/>
  </r>
  <r>
    <s v="DSD120900"/>
    <d v="2023-10-17T00:00:00"/>
    <s v="330241486:0830378202"/>
    <s v="SOL2310FBC008781-"/>
    <s v="510146207"/>
    <s v="HSTD"/>
    <s v="TNT"/>
    <s v="607250622"/>
    <s v="SOLIPAC TOULOUSE THI"/>
    <s v="39 AV JEAN FRANCOIS"/>
    <s v="31100"/>
    <x v="0"/>
    <x v="2"/>
  </r>
  <r>
    <s v="DSD120902"/>
    <d v="2023-10-17T00:00:00"/>
    <s v="330241463:0830378188"/>
    <s v="CDC127926 V0004 S"/>
    <s v="510146445"/>
    <s v="HNXD"/>
    <s v="TNT"/>
    <s v="607250636"/>
    <s v="VERA ECOTHERMIE"/>
    <s v="352 Route de la Gare"/>
    <s v="64990"/>
    <x v="0"/>
    <x v="2"/>
  </r>
  <r>
    <s v="DSD120908"/>
    <d v="2023-10-17T00:00:00"/>
    <s v="330241337:0830378764"/>
    <s v="zam/25/09/2023"/>
    <s v="560021835"/>
    <s v="HNXD"/>
    <s v="TNT"/>
    <s v="607250653"/>
    <s v="ARTUR GRAD"/>
    <s v="DLUGA 29"/>
    <s v="55-300"/>
    <x v="17"/>
    <x v="2"/>
  </r>
  <r>
    <s v="DSD120910"/>
    <d v="2023-10-17T00:00:00"/>
    <s v="330241525:0830378253"/>
    <s v="Tempcold"/>
    <s v="560021741"/>
    <s v="HNXD"/>
    <s v="TNT"/>
    <s v="607250667"/>
    <s v="SYSTEM FREE"/>
    <s v="ul. Koszalinska 29A"/>
    <s v="76-100"/>
    <x v="17"/>
    <x v="2"/>
  </r>
  <r>
    <s v="DSD120912"/>
    <d v="2023-10-17T00:00:00"/>
    <s v="330241597:0830378747"/>
    <s v="cerpadlo kondenza"/>
    <s v="560021773"/>
    <s v="HNXD"/>
    <s v="TNT"/>
    <s v="607250790"/>
    <s v="RAN, s. r. o."/>
    <s v="Jilovistska"/>
    <s v="155 31"/>
    <x v="18"/>
    <x v="2"/>
  </r>
  <r>
    <s v="DSD120914"/>
    <d v="2023-10-17T00:00:00"/>
    <s v="330241300:0830378751"/>
    <s v="BUTEAUX 62"/>
    <s v="510146081"/>
    <s v="HNXD"/>
    <s v="TNT"/>
    <s v="607250684"/>
    <s v="BUTEAUX KARINE"/>
    <s v="15 RUE DU RUISSEAU"/>
    <s v="62136"/>
    <x v="0"/>
    <x v="2"/>
  </r>
  <r>
    <s v="DSD120916"/>
    <d v="2023-10-17T00:00:00"/>
    <s v="330241430:0830378815"/>
    <s v="172727/AC"/>
    <s v="510146721"/>
    <s v="HSTD"/>
    <s v="TNT"/>
    <s v="607250698"/>
    <s v="DOUBS CLIMAT"/>
    <s v="8 RUE DES VALLIERES"/>
    <s v="25220"/>
    <x v="0"/>
    <x v="2"/>
  </r>
  <r>
    <s v="DSD120918"/>
    <d v="2023-10-17T00:00:00"/>
    <s v="330241336:0830378763"/>
    <s v="10-02-Arfidas"/>
    <s v="560021815"/>
    <s v="HNXD"/>
    <s v="TNT"/>
    <s v="607250707"/>
    <s v="ELMITRA UAB"/>
    <s v="RAUDONDVARIO PL. 150"/>
    <s v="LT-47175"/>
    <x v="19"/>
    <x v="2"/>
  </r>
  <r>
    <s v="DSD120920"/>
    <d v="2023-10-17T00:00:00"/>
    <s v="330241314:0830378757"/>
    <s v="pacifica"/>
    <s v="510146060"/>
    <s v="HNXD"/>
    <s v="TNT"/>
    <s v="607250715"/>
    <s v="AZEOTROPE"/>
    <s v="RUE DIEUDONNE COSTES"/>
    <s v="63800"/>
    <x v="0"/>
    <x v="2"/>
  </r>
  <r>
    <s v="DSD120922"/>
    <d v="2023-10-17T00:00:00"/>
    <s v="330241303:0830378752"/>
    <s v="MORVAN JULIE"/>
    <s v="510146388"/>
    <s v="HNXD"/>
    <s v="TNT"/>
    <s v="607250724"/>
    <s v="ARMOR GENIE THERMIQU"/>
    <s v="RUE DE POULPATRE ,12"/>
    <s v="29160"/>
    <x v="0"/>
    <x v="2"/>
  </r>
  <r>
    <s v="DSD120924"/>
    <d v="2023-10-17T00:00:00"/>
    <s v="330241466:0830378189"/>
    <s v="LALANNE"/>
    <s v="510146523"/>
    <s v="HNXD"/>
    <s v="TNT"/>
    <s v="607250738"/>
    <s v="ERALEC"/>
    <s v="AVENUE DU MAL DE LAT"/>
    <s v="95300"/>
    <x v="0"/>
    <x v="2"/>
  </r>
  <r>
    <s v="DSD120926"/>
    <d v="2023-10-17T00:00:00"/>
    <s v="330241333:0830378762"/>
    <s v="zam/02/10/2023"/>
    <s v="560021811"/>
    <s v="HNXD"/>
    <s v="TNT"/>
    <s v="607250786"/>
    <s v="GRODNO SA"/>
    <s v="Poznanska 312"/>
    <s v="05-840"/>
    <x v="17"/>
    <x v="2"/>
  </r>
  <r>
    <s v="DSD120928"/>
    <d v="2023-10-17T00:00:00"/>
    <s v="330241480:0830378198"/>
    <s v="WC-Orano T#11109"/>
    <s v="510146594"/>
    <s v="HSTD"/>
    <s v="TNT"/>
    <s v="607250755"/>
    <s v="Mr Gauduchon Guillau"/>
    <s v="Residence porte de l"/>
    <s v="30130"/>
    <x v="0"/>
    <x v="2"/>
  </r>
  <r>
    <s v="DSD120930"/>
    <d v="2023-10-17T00:00:00"/>
    <s v="330241503:0830378236"/>
    <s v="26481+28898"/>
    <s v="560021930"/>
    <s v="HSTD"/>
    <s v="TNT"/>
    <s v="607250769"/>
    <s v="BASSO &amp; RIVAGLI SRL"/>
    <s v="VIA VITTORIO VENETO"/>
    <s v="31010"/>
    <x v="3"/>
    <x v="2"/>
  </r>
  <r>
    <s v="DSD120932"/>
    <d v="2023-10-17T00:00:00"/>
    <s v="330241309:0830378755"/>
    <s v="SAV BJ KORUS BESS"/>
    <s v="510145958"/>
    <s v="HNXD"/>
    <s v="TNT"/>
    <s v="607250772"/>
    <s v="DAVAL SARL"/>
    <s v="16 RUE DE LA PLAINE"/>
    <s v="70300"/>
    <x v="0"/>
    <x v="2"/>
  </r>
  <r>
    <s v="DSD120934"/>
    <d v="2023-10-17T00:00:00"/>
    <s v="330241404:0830378800"/>
    <s v="171216/AC"/>
    <s v="510146374"/>
    <s v="HNXD"/>
    <s v="TNT"/>
    <s v="607250874"/>
    <s v="SARL BAUER ET FILS"/>
    <s v="24 RUE PRINCIPALE"/>
    <s v="68520"/>
    <x v="0"/>
    <x v="2"/>
  </r>
  <r>
    <s v="DSD120940"/>
    <d v="2023-10-17T00:00:00"/>
    <s v="330241436:0830378816"/>
    <s v="WC FCS ENERGIE"/>
    <s v="510146672"/>
    <s v="HNXD"/>
    <s v="TNT"/>
    <s v="607250812"/>
    <s v="C CLIM"/>
    <s v="RUE DE DION BOUTON"/>
    <s v="26200"/>
    <x v="0"/>
    <x v="2"/>
  </r>
  <r>
    <s v="DSD120942"/>
    <d v="2023-10-17T00:00:00"/>
    <s v="330241547:0830378224"/>
    <s v="BC15927-AR38858"/>
    <s v="510146713"/>
    <s v="HNXD"/>
    <s v="TNT"/>
    <s v="607250826"/>
    <s v="LINOVA"/>
    <s v="ZI IMPASSE DE BARBE"/>
    <s v="53960"/>
    <x v="0"/>
    <x v="2"/>
  </r>
  <r>
    <s v="DSD120944"/>
    <d v="2023-10-17T00:00:00"/>
    <s v="330241418:0830378810"/>
    <s v="00100313-SAV 1403"/>
    <s v="510146316"/>
    <s v="HNXD"/>
    <s v="TNT"/>
    <s v="607250830"/>
    <s v="DAMOTTE GENIE CLIMAT"/>
    <s v="11 RUE JEAN BAPTISTE"/>
    <s v="21800"/>
    <x v="0"/>
    <x v="2"/>
  </r>
  <r>
    <s v="DSD120946"/>
    <d v="2023-10-17T00:00:00"/>
    <s v="330241298:0830378750"/>
    <s v="SOL2309FBC008608-"/>
    <s v="510146046"/>
    <s v="HNXD"/>
    <s v="TNT"/>
    <s v="607250857"/>
    <s v="CLIMATISATION VAUNAG"/>
    <s v="13 RUE DE LA LIBERTE"/>
    <s v="30420"/>
    <x v="0"/>
    <x v="2"/>
  </r>
  <r>
    <s v="DSD120948"/>
    <d v="2023-10-17T00:00:00"/>
    <s v="330241368:0830378789"/>
    <s v="WC HEBRAS"/>
    <s v="510146574"/>
    <s v="HNXD"/>
    <s v="TNT"/>
    <s v="607250865"/>
    <s v="LEROY CLIMATIQUE SER"/>
    <s v="5 LES MARJOUX"/>
    <s v="87700"/>
    <x v="0"/>
    <x v="2"/>
  </r>
  <r>
    <s v="DSD120950"/>
    <d v="2023-10-17T00:00:00"/>
    <s v="330241307:0830378754"/>
    <s v="stock circulateur"/>
    <s v="510146024"/>
    <s v="HNXD"/>
    <s v="TNT"/>
    <s v="607250843"/>
    <s v="ECO LOGIS"/>
    <s v="1 RUE GEORGES CHARPA"/>
    <s v="37510"/>
    <x v="0"/>
    <x v="2"/>
  </r>
  <r>
    <s v="DSD120952"/>
    <d v="2023-10-17T00:00:00"/>
    <s v="330241363:0830378111"/>
    <s v="SOL2309FBC008545-"/>
    <s v="510145961"/>
    <s v="HSTD"/>
    <s v="TNT"/>
    <s v="607250888"/>
    <s v="MOREAU ST GENISLAVAL"/>
    <s v="150 CHEMIN DE LA PLU"/>
    <s v="69230"/>
    <x v="0"/>
    <x v="2"/>
  </r>
  <r>
    <s v="DSD120954"/>
    <d v="2023-10-17T00:00:00"/>
    <s v="330241479:0830378830"/>
    <s v="WC ATW-RTU-07"/>
    <s v="510146592"/>
    <s v="HNXD"/>
    <s v="TNT"/>
    <s v="607250891"/>
    <s v="SARL VOTRE PLOMBIER"/>
    <s v="25 plan de L AIRE"/>
    <s v="34270"/>
    <x v="0"/>
    <x v="2"/>
  </r>
  <r>
    <s v="DSD120956"/>
    <d v="2023-10-17T00:00:00"/>
    <s v="330241425:0830378134"/>
    <s v="CDC127660 CB0002"/>
    <s v="510146260"/>
    <s v="HNXD"/>
    <s v="TNT"/>
    <s v="607250914"/>
    <s v="C2 ENERGIE"/>
    <s v="7 Avenue de la Resis"/>
    <s v="33310"/>
    <x v="0"/>
    <x v="2"/>
  </r>
  <r>
    <s v="DSD120958"/>
    <d v="2023-10-17T00:00:00"/>
    <s v="330241460:0830378823"/>
    <s v="CDC127887 SB0002"/>
    <s v="510146378"/>
    <s v="HSTD"/>
    <s v="TNT"/>
    <s v="607250905"/>
    <s v="SMER"/>
    <s v="275 ROUTE DE VARS"/>
    <s v="16160"/>
    <x v="0"/>
    <x v="2"/>
  </r>
  <r>
    <s v="DSD120960"/>
    <d v="2023-10-17T00:00:00"/>
    <s v="330241472:0830378826"/>
    <s v="SOL2309FBC008725-"/>
    <s v="510146119"/>
    <s v="HNXD"/>
    <s v="TNT"/>
    <s v="607250928"/>
    <s v="LEBEL"/>
    <s v="17, BOULEVARD PAUL G"/>
    <s v="31220"/>
    <x v="0"/>
    <x v="2"/>
  </r>
  <r>
    <s v="DSD120962"/>
    <d v="2023-10-17T00:00:00"/>
    <s v="330241374:0830378793"/>
    <s v="WC METZ"/>
    <s v="510146585"/>
    <s v="HNXD"/>
    <s v="TNT"/>
    <s v="607250931"/>
    <s v="ETD HEILLECOURT"/>
    <s v="35 ALLEE DES GRAND P"/>
    <s v="54180"/>
    <x v="0"/>
    <x v="2"/>
  </r>
  <r>
    <s v="DSD120964"/>
    <d v="2023-10-17T00:00:00"/>
    <s v="330241361:0830378786"/>
    <s v="88048"/>
    <s v="510146506"/>
    <s v="HNXD"/>
    <s v="TNT"/>
    <s v="607250945"/>
    <s v="I D K"/>
    <s v="26 RUE ISAAC NEWTON"/>
    <s v="77290"/>
    <x v="0"/>
    <x v="2"/>
  </r>
  <r>
    <s v="DSD120966"/>
    <d v="2023-10-17T00:00:00"/>
    <s v="330241371:0830378790"/>
    <s v="WC GUIDON"/>
    <s v="510146579"/>
    <s v="HNXD"/>
    <s v="TNT"/>
    <s v="607250959"/>
    <s v="ETD HEILLECOURT"/>
    <s v="35 ALLEE DES GRAND P"/>
    <s v="54180"/>
    <x v="0"/>
    <x v="2"/>
  </r>
  <r>
    <s v="DSD120968"/>
    <d v="2023-10-17T00:00:00"/>
    <s v="330241572:0830378324"/>
    <s v="WC MOUTON"/>
    <s v="510146686"/>
    <s v="HNXD"/>
    <s v="TNT"/>
    <s v="607250962"/>
    <s v="MOUTON DIDIER"/>
    <s v="LE BAS LIGNOL"/>
    <s v="07000"/>
    <x v="0"/>
    <x v="2"/>
  </r>
  <r>
    <s v="DSD120970"/>
    <d v="2023-10-17T00:00:00"/>
    <s v="330241373:0830378792"/>
    <s v="WC GUIDON"/>
    <s v="510146583"/>
    <s v="HNXD"/>
    <s v="TNT"/>
    <s v="607250976"/>
    <s v="ETD HEILLECOURT"/>
    <s v="35 ALLEE DES GRAND P"/>
    <s v="54180"/>
    <x v="0"/>
    <x v="2"/>
  </r>
  <r>
    <s v="DSD120972"/>
    <d v="2023-10-17T00:00:00"/>
    <s v="330241416:0830378808"/>
    <s v="00100286-11311 39"/>
    <s v="510146263"/>
    <s v="HNXD"/>
    <s v="TNT"/>
    <s v="607250980"/>
    <s v="ENGIE HOME SERVICES"/>
    <s v="41 ALLEE EVARISTE GA"/>
    <s v="18000"/>
    <x v="0"/>
    <x v="2"/>
  </r>
  <r>
    <s v="DSD120974"/>
    <d v="2023-10-17T00:00:00"/>
    <s v="330241410:0830378804"/>
    <s v="COSBANN"/>
    <s v="510145999"/>
    <s v="HNXD"/>
    <s v="TNT"/>
    <s v="607250993"/>
    <s v="ECO LOGIS"/>
    <s v="1 RUE GEORGES CHARPA"/>
    <s v="37510"/>
    <x v="0"/>
    <x v="2"/>
  </r>
  <r>
    <s v="DSD120976"/>
    <d v="2023-10-17T00:00:00"/>
    <s v="330241422:0830378811"/>
    <s v="CDC127542 E0013 S"/>
    <s v="510146240"/>
    <s v="HNXD"/>
    <s v="TNT"/>
    <s v="607251000"/>
    <s v="EUROCLIM"/>
    <s v="811 Route de Cluquel"/>
    <s v="40990"/>
    <x v="0"/>
    <x v="2"/>
  </r>
  <r>
    <s v="DSD120978"/>
    <d v="2023-10-17T00:00:00"/>
    <s v="330241465:0830378825"/>
    <s v="1911688"/>
    <s v="510146819"/>
    <s v="HNXD"/>
    <s v="TNT"/>
    <s v="607251013"/>
    <s v="BRUNET"/>
    <s v="4 RUE LUCIEN BOIS"/>
    <s v="45140"/>
    <x v="0"/>
    <x v="2"/>
  </r>
  <r>
    <s v="DSD120980"/>
    <d v="2023-10-17T00:00:00"/>
    <s v="330241488:0830378833"/>
    <s v="SOL2310FBC008789-"/>
    <s v="510146213"/>
    <s v="HNXD"/>
    <s v="TNT"/>
    <s v="607251027"/>
    <s v="SOLIPAC RODEZ"/>
    <s v="812 RUE SAINT CRHIST"/>
    <s v="12000"/>
    <x v="0"/>
    <x v="2"/>
  </r>
  <r>
    <s v="DSD120982"/>
    <d v="2023-10-17T00:00:00"/>
    <s v="330241405:0830378801"/>
    <s v="171727/AC"/>
    <s v="510146376"/>
    <s v="HNXD"/>
    <s v="TNT"/>
    <s v="607251035"/>
    <s v="FCDE"/>
    <s v="15 ROUTE DE BESANCON"/>
    <s v="25390"/>
    <x v="0"/>
    <x v="2"/>
  </r>
  <r>
    <s v="DSD120988"/>
    <d v="2023-10-17T00:00:00"/>
    <s v="330241365:0830378113"/>
    <s v="171021/AC"/>
    <s v="510146361"/>
    <s v="HNXD"/>
    <s v="TNT"/>
    <s v="607251044"/>
    <s v="SAS PALISSOT"/>
    <s v="4 CHEMIN DU MOULIN N"/>
    <s v="70700"/>
    <x v="0"/>
    <x v="2"/>
  </r>
  <r>
    <s v="DSD120992"/>
    <d v="2023-10-17T00:00:00"/>
    <s v="330241312:0830378756"/>
    <s v="CDE6710-BENDEJGUE"/>
    <s v="510146017"/>
    <s v="HNXD"/>
    <s v="TNT"/>
    <s v="607251058"/>
    <s v="CROZAT"/>
    <s v="103 RUE JEAN LIGONNE"/>
    <s v="69700"/>
    <x v="0"/>
    <x v="2"/>
  </r>
  <r>
    <s v="DSD120994"/>
    <d v="2023-10-17T00:00:00"/>
    <s v="330241477:0830378829"/>
    <s v="SOL2310FBC008756-"/>
    <s v="510146173"/>
    <s v="HNXD"/>
    <s v="TNT"/>
    <s v="607251061"/>
    <s v="PETITJEAN PLOMBERIE"/>
    <s v="17 QUARTIER DES HORT"/>
    <s v="34700"/>
    <x v="0"/>
    <x v="2"/>
  </r>
  <r>
    <s v="DSD120996"/>
    <d v="2023-10-17T00:00:00"/>
    <s v="330241366:0830378788"/>
    <s v="C2309266 HYDECLIM"/>
    <s v="510146097"/>
    <s v="HNXD"/>
    <s v="TNT"/>
    <s v="607251075"/>
    <s v="HYDECLIM LILLE"/>
    <s v="16 RUE DES CHAMPS"/>
    <s v="59650"/>
    <x v="0"/>
    <x v="2"/>
  </r>
  <r>
    <s v="DSD120998"/>
    <d v="2023-10-17T00:00:00"/>
    <s v="330241440:0830378821"/>
    <s v="WC AVL37-CF231000"/>
    <s v="510146692"/>
    <s v="HNXD"/>
    <s v="TNT"/>
    <s v="607251089"/>
    <s v="ANVOLIA"/>
    <s v="ANVOLIA 8 RUE DE SAI"/>
    <s v="44242"/>
    <x v="0"/>
    <x v="0"/>
  </r>
  <r>
    <s v="DSD121002"/>
    <d v="2023-10-17T00:00:00"/>
    <s v="330241409:0830378803"/>
    <s v="SOL2309FBC008688-"/>
    <s v="510145989"/>
    <s v="HNXD"/>
    <s v="TNT"/>
    <s v="607251092"/>
    <s v="SOLIPAC CHASSIEU"/>
    <s v="13 RUE D'ARSONVAL"/>
    <s v="69680"/>
    <x v="0"/>
    <x v="2"/>
  </r>
  <r>
    <s v="DSD121004"/>
    <d v="2023-10-17T00:00:00"/>
    <s v="330241618:0830378834"/>
    <s v="00100247-SAV COMP"/>
    <s v="510146198"/>
    <s v="HSTD"/>
    <s v="TNT"/>
    <s v="607251132"/>
    <s v="H2C AIX EN PROVENCE"/>
    <s v="480 RUE FAMILLE LAUR"/>
    <s v="13854"/>
    <x v="0"/>
    <x v="2"/>
  </r>
  <r>
    <s v="DSD121006"/>
    <d v="2023-10-17T00:00:00"/>
    <s v="330241427:0830378813"/>
    <s v="CDC127806 MB0043"/>
    <s v="510146337"/>
    <s v="HNXD"/>
    <s v="TNT"/>
    <s v="607251115"/>
    <s v="MINORIA SYSTEM"/>
    <s v="16 route de la Brede"/>
    <s v="33650"/>
    <x v="0"/>
    <x v="2"/>
  </r>
  <r>
    <s v="DSD121008"/>
    <d v="2023-10-17T00:00:00"/>
    <s v="330241615:0830378818"/>
    <s v="00100150-SAV IMPE"/>
    <s v="510146160"/>
    <s v="HNXD"/>
    <s v="TNT"/>
    <s v="607251129"/>
    <s v="AES CLIMATISATION"/>
    <s v="37 BD PAUL DOUMER"/>
    <s v="06110"/>
    <x v="0"/>
    <x v="2"/>
  </r>
  <r>
    <s v="DSD121012"/>
    <d v="2023-10-17T00:00:00"/>
    <s v="330241442:0830378144"/>
    <s v="WC246458 GB0056/V"/>
    <s v="510146702"/>
    <s v="HNXD"/>
    <s v="TNT"/>
    <s v="607251146"/>
    <s v="GAUVRIT LETANG"/>
    <s v="6 TAILLIS DE LA GEOR"/>
    <s v="86600"/>
    <x v="0"/>
    <x v="2"/>
  </r>
  <r>
    <s v="DSD121014"/>
    <d v="2023-10-17T00:00:00"/>
    <s v="330241619:0830378835"/>
    <s v="C2310015 - HYD 44"/>
    <s v="510146238"/>
    <s v="HSTD"/>
    <s v="TNT"/>
    <s v="607251150"/>
    <s v="PARTEDIS AGENCE ALBI"/>
    <s v="ZI DE ST JUERY"/>
    <s v="81000"/>
    <x v="0"/>
    <x v="2"/>
  </r>
  <r>
    <s v="DSD121016"/>
    <d v="2023-10-17T00:00:00"/>
    <s v="330241576:0830378328"/>
    <s v="00100379-SAV RAK2"/>
    <s v="510146551"/>
    <s v="HSTD"/>
    <s v="TNT"/>
    <s v="607251163"/>
    <s v="HAC MOUANS SARTOUX"/>
    <s v="Z.I. DE L ARGILE"/>
    <s v="06370"/>
    <x v="0"/>
    <x v="2"/>
  </r>
  <r>
    <s v="DSD121018"/>
    <d v="2023-10-17T00:00:00"/>
    <s v="330241429:0830378814"/>
    <s v="172518/AC"/>
    <s v="510146588"/>
    <s v="HNXD"/>
    <s v="TNT"/>
    <s v="607251177"/>
    <s v="EIMI"/>
    <s v="3 RUE DU VALLON"/>
    <s v="25480"/>
    <x v="0"/>
    <x v="2"/>
  </r>
  <r>
    <s v="DSD121020"/>
    <d v="2023-10-17T00:00:00"/>
    <s v="330241614:0830378817"/>
    <s v="00100136-SAV RWM4"/>
    <s v="510146155"/>
    <s v="HNXD"/>
    <s v="TNT"/>
    <s v="607251185"/>
    <s v="ADL SERVICES"/>
    <s v="712 BOULEVARD MARECH"/>
    <s v="04100"/>
    <x v="0"/>
    <x v="2"/>
  </r>
  <r>
    <s v="DSD121022"/>
    <d v="2023-10-17T00:00:00"/>
    <s v="330241401:0830378122"/>
    <s v="171198/AC"/>
    <s v="510146370"/>
    <s v="HNXD"/>
    <s v="TNT"/>
    <s v="607251194"/>
    <s v="V F CONFORT"/>
    <s v="RUE DES BRUYERES ,8"/>
    <s v="25220"/>
    <x v="0"/>
    <x v="2"/>
  </r>
  <r>
    <s v="DSD121024"/>
    <d v="2023-10-17T00:00:00"/>
    <s v="330241529:0830378857"/>
    <s v="501230113"/>
    <s v="560021762"/>
    <s v="HNXD"/>
    <s v="TNT"/>
    <s v="607251203"/>
    <s v="AB KLIMATIZACE S.R.O"/>
    <s v="LUCNI 3096 24B"/>
    <s v="616 00"/>
    <x v="18"/>
    <x v="2"/>
  </r>
  <r>
    <s v="DSD121026"/>
    <d v="2023-10-17T00:00:00"/>
    <s v="330241417:0830378809"/>
    <s v="00100302-SAV 9633"/>
    <s v="510146299"/>
    <s v="HNXD"/>
    <s v="TNT"/>
    <s v="607251217"/>
    <s v="CMCI VINVI FACILITIE"/>
    <s v="2 RUE HENRI BARBUSSE"/>
    <s v="13001"/>
    <x v="0"/>
    <x v="2"/>
  </r>
  <r>
    <s v="DSD121028"/>
    <d v="2023-10-17T00:00:00"/>
    <s v="330241526:0830378855"/>
    <s v="zam/25/09/2023"/>
    <s v="560021752"/>
    <s v="HNXD"/>
    <s v="TNT"/>
    <s v="607251248"/>
    <s v="GRODNO SA"/>
    <s v="Poznanska 312"/>
    <s v="05-840"/>
    <x v="17"/>
    <x v="2"/>
  </r>
  <r>
    <s v="DSD121032"/>
    <d v="2023-10-17T00:00:00"/>
    <s v="330241567:0830378844"/>
    <s v="WC-PERIN"/>
    <s v="510146652"/>
    <s v="HNXD"/>
    <s v="TNT"/>
    <s v="607251234"/>
    <s v="HAC HITACHI"/>
    <s v="ZI DE L ARGILE VOIE"/>
    <s v="06370"/>
    <x v="0"/>
    <x v="2"/>
  </r>
  <r>
    <s v="DSD121034"/>
    <d v="2023-10-17T00:00:00"/>
    <s v="330241344:0830378766"/>
    <s v="Tempcold"/>
    <s v="560021938"/>
    <s v="HNXD"/>
    <s v="TNT"/>
    <s v="607251251"/>
    <s v="Klimaterm Sp z oo"/>
    <s v="."/>
    <s v="42-427"/>
    <x v="17"/>
    <x v="2"/>
  </r>
  <r>
    <s v="DSD121036"/>
    <d v="2023-10-17T00:00:00"/>
    <s v="330241481:0830378199"/>
    <s v="WC-MR VERSEIL"/>
    <s v="510146648"/>
    <s v="HNXD"/>
    <s v="TNT"/>
    <s v="607251265"/>
    <s v="HAC HITACHI"/>
    <s v="3 RUE LAVOISIER"/>
    <s v="45140"/>
    <x v="0"/>
    <x v="2"/>
  </r>
  <r>
    <s v="DSD121038"/>
    <d v="2023-10-17T00:00:00"/>
    <s v="330241370:0830378116"/>
    <s v="WC stock"/>
    <s v="510146577"/>
    <s v="HNXD"/>
    <s v="TNT"/>
    <s v="607251279"/>
    <s v="ETD HEILLECOURT"/>
    <s v="35 ALLEE DES GRAND P"/>
    <s v="54180"/>
    <x v="0"/>
    <x v="2"/>
  </r>
  <r>
    <s v="DSD121040"/>
    <d v="2023-10-17T00:00:00"/>
    <s v="330241306:0830378753"/>
    <s v="SOL2309FBC008581-"/>
    <s v="510146033"/>
    <s v="HNXD"/>
    <s v="TNT"/>
    <s v="607251282"/>
    <s v="SOLIPAC NIMES"/>
    <s v="280 AVENUE PAVLOV"/>
    <s v="30900"/>
    <x v="0"/>
    <x v="2"/>
  </r>
  <r>
    <s v="DSD121042"/>
    <d v="2023-10-17T00:00:00"/>
    <s v="330241369:0830378115"/>
    <s v="WC STOCK METZ"/>
    <s v="510146575"/>
    <s v="HNXD"/>
    <s v="TNT"/>
    <s v="607251296"/>
    <s v="ETD HEILLECOURT"/>
    <s v="35 ALLEE DES GRANDS"/>
    <s v="54180"/>
    <x v="0"/>
    <x v="2"/>
  </r>
  <r>
    <s v="DSD121044"/>
    <d v="2023-10-17T00:00:00"/>
    <s v="330241441:0830378143"/>
    <s v="WC-ETD"/>
    <s v="510146696"/>
    <s v="HNXD"/>
    <s v="TNT"/>
    <s v="607251305"/>
    <s v="ETD HEILLECOURT"/>
    <s v="35 ALLEE DES GRANDS"/>
    <s v="54180"/>
    <x v="0"/>
    <x v="2"/>
  </r>
  <r>
    <s v="DSD121046"/>
    <d v="2023-10-17T00:00:00"/>
    <s v="330241435:0830378140"/>
    <s v="WC-MR RAFFRAY"/>
    <s v="510146667"/>
    <s v="HNXD"/>
    <s v="TNT"/>
    <s v="607251319"/>
    <s v="HAC HITACHI"/>
    <s v="3 RUE LAVOISIER"/>
    <s v="45140"/>
    <x v="0"/>
    <x v="2"/>
  </r>
  <r>
    <s v="DSD121048"/>
    <d v="2023-10-17T00:00:00"/>
    <s v="330241554:0830378840"/>
    <s v="HE14495999"/>
    <s v="510146839"/>
    <s v="HNXD"/>
    <s v="TNT"/>
    <s v="607251336"/>
    <s v="MALAKOFF HUMANIS"/>
    <s v="4 A 6 RUE BRETONNEAU"/>
    <s v="44260"/>
    <x v="0"/>
    <x v="2"/>
  </r>
  <r>
    <s v="DSD121050"/>
    <d v="2023-10-17T00:00:00"/>
    <s v="330241583:0830378847"/>
    <s v="00100235-SAV RAS4"/>
    <s v="510146187"/>
    <s v="HNXD"/>
    <s v="TNT"/>
    <s v="607251340"/>
    <s v="HAC MOUANS SARTOUX"/>
    <s v="Z.I. DE L ARGILE"/>
    <s v="06370"/>
    <x v="0"/>
    <x v="2"/>
  </r>
  <r>
    <s v="DSD121052"/>
    <d v="2023-10-17T00:00:00"/>
    <s v="330241328:0830378760"/>
    <s v="BC15822-AR38543"/>
    <s v="510146289"/>
    <s v="HSTD"/>
    <s v="TNT"/>
    <s v="607251353"/>
    <s v="ID ENERGIES H&amp;M"/>
    <s v="46 COURS CARNOT"/>
    <s v="76500"/>
    <x v="0"/>
    <x v="2"/>
  </r>
  <r>
    <s v="DSD121054"/>
    <d v="2023-10-17T00:00:00"/>
    <s v="330241483:0830378831"/>
    <s v="WC-CARTER CASH PO"/>
    <s v="510146651"/>
    <s v="HNXD"/>
    <s v="TNT"/>
    <s v="607251367"/>
    <s v="HAC HITACHI"/>
    <s v="CHEMIN GABRIEL VENTR"/>
    <s v="83160"/>
    <x v="0"/>
    <x v="2"/>
  </r>
  <r>
    <s v="DSD121056"/>
    <d v="2023-10-17T00:00:00"/>
    <s v="330241476:0830378828"/>
    <s v="SAVC Hasan DEMIRT"/>
    <s v="510146201"/>
    <s v="HNXD"/>
    <s v="TNT"/>
    <s v="607251375"/>
    <s v="PH ENERGIES"/>
    <s v="318 Avenue des Digue"/>
    <s v="14123"/>
    <x v="0"/>
    <x v="2"/>
  </r>
  <r>
    <s v="DSD120470"/>
    <d v="2023-10-17T00:00:00"/>
    <s v="330239495:0830377210"/>
    <s v="Sep-23"/>
    <s v="560021914"/>
    <s v="HNXD"/>
    <s v="UPS"/>
    <s v="1Z1V47910444451250"/>
    <s v="Angelo Battisti"/>
    <s v="VIA DEL TEMPIO DI DI"/>
    <s v="00148"/>
    <x v="3"/>
    <x v="2"/>
  </r>
  <r>
    <s v="DSD120472"/>
    <d v="2023-10-17T00:00:00"/>
    <s v="330239510:0830377215"/>
    <s v="elettrica landi"/>
    <s v="560021746"/>
    <s v="HNXD"/>
    <s v="UPS"/>
    <s v="1Z1V47910444100861"/>
    <s v="GREENCLIMA DI MONDOL"/>
    <s v="VIA DELLA REPUBBLICA"/>
    <s v="52022"/>
    <x v="3"/>
    <x v="2"/>
  </r>
  <r>
    <s v="DSD120474"/>
    <d v="2023-10-17T00:00:00"/>
    <s v="330239431:0830377181"/>
    <s v="BUSCONE"/>
    <s v="560021759"/>
    <s v="HNXD"/>
    <s v="UPS"/>
    <s v="1Z1V47910445931471"/>
    <s v="CDR CLIMA SERVICE S."/>
    <s v="VIA PADANIA 2"/>
    <s v="27010"/>
    <x v="3"/>
    <x v="2"/>
  </r>
  <r>
    <s v="DSD120506"/>
    <d v="2023-10-17T00:00:00"/>
    <s v="330239564:0830377227"/>
    <s v="1xLager/1xWiedere"/>
    <s v="540012347"/>
    <s v="HNXD"/>
    <s v="UPS"/>
    <s v="1Z1V47910443535699"/>
    <s v="HANS KAUT GMBH &amp; CO."/>
    <s v="HOELKER FELD ,6-8"/>
    <s v="42279"/>
    <x v="16"/>
    <x v="2"/>
  </r>
  <r>
    <s v="DSD120508"/>
    <d v="2023-10-17T00:00:00"/>
    <s v="330239447:0830374121"/>
    <s v="247074M"/>
    <s v="560021817"/>
    <s v="HNXD"/>
    <s v="UPS"/>
    <s v="1Z1V47910443509306"/>
    <s v="GT SERVICE SRL"/>
    <s v="LARGO MONSIGNOR BIAG"/>
    <s v="95024"/>
    <x v="3"/>
    <x v="2"/>
  </r>
  <r>
    <s v="DSD120512"/>
    <d v="2023-10-17T00:00:00"/>
    <s v="330239453:0830377200"/>
    <s v="23248"/>
    <s v="560021833"/>
    <s v="HNXD"/>
    <s v="UPS"/>
    <s v="1Z1V47910445063918"/>
    <s v="GEOS SRL"/>
    <s v="VIA APRILIA, 3"/>
    <s v="54100"/>
    <x v="3"/>
    <x v="2"/>
  </r>
  <r>
    <s v="DSD120540"/>
    <d v="2023-10-17T00:00:00"/>
    <s v="330237914:0830378043"/>
    <s v="WC 9709"/>
    <s v="560021882"/>
    <s v="HNXD"/>
    <s v="UPS"/>
    <s v="1Z1V47910444299523"/>
    <s v="SPECIALE GAS"/>
    <s v="GENNARO MARASCO"/>
    <s v="80014"/>
    <x v="3"/>
    <x v="2"/>
  </r>
  <r>
    <s v="DSD120558"/>
    <d v="2023-10-17T00:00:00"/>
    <s v="330239529:0830378053"/>
    <s v="Kom. 231295 / Gan"/>
    <s v="540012304"/>
    <s v="HNXD"/>
    <s v="UPS"/>
    <s v="1Z1V47910443316130"/>
    <s v="KRIOTEC GmbH"/>
    <s v="Fritz-Ullmann-Str. 1"/>
    <s v="55252"/>
    <x v="16"/>
    <x v="2"/>
  </r>
  <r>
    <s v="DSD120562"/>
    <d v="2023-10-17T00:00:00"/>
    <s v="330239505:0830378051"/>
    <s v="SERVICE.COM842 SR"/>
    <s v="560021736"/>
    <s v="HNXD"/>
    <s v="UPS"/>
    <s v="1Z1V47910444213749"/>
    <s v="SERVICE COM.842 SRL"/>
    <s v="VIA MADONNA ,56"/>
    <s v="31048"/>
    <x v="3"/>
    <x v="2"/>
  </r>
  <r>
    <s v="DSD120564"/>
    <d v="2023-10-17T00:00:00"/>
    <s v="330239527:0830378052"/>
    <s v="Kom. 231139 / Gan"/>
    <s v="540012307"/>
    <s v="HNXD"/>
    <s v="UPS"/>
    <s v="1Z1V47910443092355"/>
    <s v="KRIOTEC GmbH"/>
    <s v="Fritz-Ullmann-Str. 1"/>
    <s v="55252"/>
    <x v="16"/>
    <x v="2"/>
  </r>
  <r>
    <s v="DSD120574"/>
    <d v="2023-10-17T00:00:00"/>
    <s v="330239441:0830378050"/>
    <s v="3940"/>
    <s v="560021786"/>
    <s v="HNXD"/>
    <s v="UPS"/>
    <s v="1Z1V47910445051967"/>
    <s v="VERCO MILANO SRL"/>
    <s v="VIA GIANFRANCO MALIP"/>
    <s v="20138"/>
    <x v="3"/>
    <x v="2"/>
  </r>
  <r>
    <s v="DSD120610"/>
    <d v="2023-10-17T00:00:00"/>
    <s v="330241564:0830378260"/>
    <s v="Dec-23"/>
    <s v="560021920"/>
    <s v="HNXD"/>
    <s v="UPS"/>
    <s v="1Z1V47910443192578"/>
    <s v="CRISTIAN ZAMPARO- SE"/>
    <s v="VIA BATTISTI 43"/>
    <s v="33033"/>
    <x v="3"/>
    <x v="2"/>
  </r>
  <r>
    <s v="DSD120622"/>
    <d v="2023-10-17T00:00:00"/>
    <s v="330241392:0830378182"/>
    <s v="WC 9696"/>
    <s v="560021990"/>
    <s v="HNXD"/>
    <s v="UPS"/>
    <s v="1Z1V47910445614180"/>
    <s v="2 EMME SRL"/>
    <s v="2 EMME SRL"/>
    <s v="21052"/>
    <x v="3"/>
    <x v="2"/>
  </r>
  <r>
    <s v="DSD120654"/>
    <d v="2023-10-17T00:00:00"/>
    <s v="330241505:0830378238"/>
    <s v="DITILLO"/>
    <s v="560021933"/>
    <s v="HNXD"/>
    <s v="UPS"/>
    <s v="1Z1V47910445416797"/>
    <s v="MV SERVICE"/>
    <s v="VIA CALABRIA 4070"/>
    <s v="47521"/>
    <x v="3"/>
    <x v="2"/>
  </r>
  <r>
    <s v="DSD120736"/>
    <d v="2023-10-17T00:00:00"/>
    <s v="330241390:0830378181"/>
    <s v="of 810"/>
    <s v="560021987"/>
    <s v="HNXD"/>
    <s v="UPS"/>
    <s v="1Z1V47910444700409"/>
    <s v="CARMELLINI S.R.L."/>
    <s v="VIA MARCELLO MALPIG"/>
    <s v="48018"/>
    <x v="3"/>
    <x v="2"/>
  </r>
  <r>
    <s v="DSD120742"/>
    <d v="2023-10-17T00:00:00"/>
    <s v="330241507:0830378240"/>
    <s v="ZH"/>
    <s v="560021935"/>
    <s v="HNXD"/>
    <s v="UPS"/>
    <s v="1Z1V47910445565019"/>
    <s v="CON. TER SRL"/>
    <s v="VIA CHERUBINI ,33"/>
    <s v="41122"/>
    <x v="3"/>
    <x v="2"/>
  </r>
  <r>
    <s v="DSD120748"/>
    <d v="2023-10-17T00:00:00"/>
    <s v="330241522:0830378252"/>
    <s v="ORD FORN 17-23"/>
    <s v="560021974"/>
    <s v="HNXD"/>
    <s v="UPS"/>
    <s v="1Z1V47910444110627"/>
    <s v="CLIMACOOL SRL"/>
    <s v="STRADA COMUNALE BELL"/>
    <s v="61047"/>
    <x v="3"/>
    <x v="2"/>
  </r>
  <r>
    <s v="DSD120750"/>
    <d v="2023-10-17T00:00:00"/>
    <s v="330241517:0830378248"/>
    <s v="WC 9696"/>
    <s v="560021950"/>
    <s v="HNXD"/>
    <s v="UPS"/>
    <s v="1Z1V47910445437238"/>
    <s v="2 EMME SRL"/>
    <s v="2 EMME SRL"/>
    <s v="21052"/>
    <x v="3"/>
    <x v="2"/>
  </r>
  <r>
    <s v="DSD120766"/>
    <d v="2023-10-17T00:00:00"/>
    <s v="330241499:0830378233"/>
    <s v="schede"/>
    <s v="560021924"/>
    <s v="HNXD"/>
    <s v="UPS"/>
    <s v="1Z1V47910445644844"/>
    <s v="GIACOMAZZI GIOVANNI"/>
    <s v="VIA SAN LUCA ,29"/>
    <s v="37062"/>
    <x v="3"/>
    <x v="2"/>
  </r>
  <r>
    <s v="DSD120784"/>
    <d v="2023-10-17T00:00:00"/>
    <s v="330241519:0830378249"/>
    <s v="19783-STRADIOTTO"/>
    <s v="560021957"/>
    <s v="HNXD"/>
    <s v="UPS"/>
    <s v="1Z1V47910445103062"/>
    <s v="BASSO &amp; RIVAGLI SRL"/>
    <s v="VIA VITTORIO VENETO"/>
    <s v="31010"/>
    <x v="3"/>
    <x v="2"/>
  </r>
  <r>
    <s v="DSD120786"/>
    <d v="2023-10-17T00:00:00"/>
    <s v="330241498:0830378232"/>
    <s v="of 793"/>
    <s v="560021923"/>
    <s v="HNXD"/>
    <s v="UPS"/>
    <s v="1Z1V47910444285289"/>
    <s v="CARMELLINI S.R.L."/>
    <s v="VIA MARCELLO MALPIG"/>
    <s v="48018"/>
    <x v="3"/>
    <x v="2"/>
  </r>
  <r>
    <s v="DSD120794"/>
    <d v="2023-10-17T00:00:00"/>
    <s v="330241521:0830378251"/>
    <s v="VERONESE"/>
    <s v="560021986"/>
    <s v="HNXD"/>
    <s v="UPS"/>
    <s v="1Z1V47910443397893"/>
    <s v="VERONESE ALESSANDRO"/>
    <s v="VIA LUIGI EINAUDI 20"/>
    <s v="30015"/>
    <x v="3"/>
    <x v="2"/>
  </r>
  <r>
    <s v="DSD120818"/>
    <d v="2023-10-17T00:00:00"/>
    <s v="330241515:0830378246"/>
    <s v="WC 9722"/>
    <s v="560021948"/>
    <s v="HNXD"/>
    <s v="UPS"/>
    <s v="1Z1V47910444991506"/>
    <s v="MORA CESARE SRL"/>
    <s v="MORA CESARE SRL"/>
    <s v="25047"/>
    <x v="3"/>
    <x v="2"/>
  </r>
  <r>
    <s v="DSD120834"/>
    <d v="2023-10-17T00:00:00"/>
    <s v="330241509:0830378242"/>
    <s v="Iaccarini Michele"/>
    <s v="560021937"/>
    <s v="HNXD"/>
    <s v="UPS"/>
    <s v="1Z1V47910445166110"/>
    <s v="Iaccarini Michele"/>
    <s v="Via Calabria n. 3"/>
    <s v="70132"/>
    <x v="3"/>
    <x v="0"/>
  </r>
  <r>
    <s v="DSD120844"/>
    <d v="2023-10-17T00:00:00"/>
    <s v="330241589:0830378335"/>
    <s v="WC 9730"/>
    <s v="560021999"/>
    <s v="HNXD"/>
    <s v="UPS"/>
    <s v="1Z1V47910443021725"/>
    <s v="IETIS SRL"/>
    <s v="I.E.T.I.S. SRL"/>
    <s v="06055"/>
    <x v="3"/>
    <x v="2"/>
  </r>
  <r>
    <s v="DSD120856"/>
    <d v="2023-10-17T00:00:00"/>
    <s v="330241508:0830378241"/>
    <s v="TURCHI"/>
    <s v="560021936"/>
    <s v="HNXD"/>
    <s v="UPS"/>
    <s v="1Z1V47910443658333"/>
    <s v="BI-CLIMA SRL"/>
    <s v="VIA CONFINI ,2"/>
    <s v="50013"/>
    <x v="3"/>
    <x v="2"/>
  </r>
  <r>
    <s v="DSD120876"/>
    <d v="2023-10-17T00:00:00"/>
    <s v="330241588:0830378334"/>
    <s v="WC 9104"/>
    <s v="560021994"/>
    <s v="HNXD"/>
    <s v="UPS"/>
    <s v="1Z1V47910443175944"/>
    <s v="MELIS MAURIZIO"/>
    <s v="MELIS MAURIZIO"/>
    <s v="09028"/>
    <x v="3"/>
    <x v="2"/>
  </r>
  <r>
    <s v="DSD120886"/>
    <d v="2023-10-17T00:00:00"/>
    <s v="330241520:0830378250"/>
    <s v="247814M"/>
    <s v="560021958"/>
    <s v="HNXD"/>
    <s v="UPS"/>
    <s v="1Z1V47910443674557"/>
    <s v="GT SERVICE SRL"/>
    <s v="LARGO MONSIGNOR BIAG"/>
    <s v="95024"/>
    <x v="3"/>
    <x v="2"/>
  </r>
  <r>
    <s v="DSD120888"/>
    <d v="2023-10-17T00:00:00"/>
    <s v="330241502:0830378235"/>
    <s v="ORD FORN 16/23"/>
    <s v="560021929"/>
    <s v="HNXD"/>
    <s v="UPS"/>
    <s v="1Z1V47910444254160"/>
    <s v="CLIMACOOL SRL"/>
    <s v="STRADA COMUNALE BELL"/>
    <s v="61047"/>
    <x v="3"/>
    <x v="2"/>
  </r>
  <r>
    <s v="DSD120890"/>
    <d v="2023-10-17T00:00:00"/>
    <s v="330241500:0830378234"/>
    <s v="lido blu"/>
    <s v="560021926"/>
    <s v="HNXD"/>
    <s v="UPS"/>
    <s v="1Z1V47910444014777"/>
    <s v="CECCATO SRL"/>
    <s v="VIA BALTERA, 19"/>
    <s v="38066"/>
    <x v="3"/>
    <x v="2"/>
  </r>
  <r>
    <s v="DSD120906"/>
    <d v="2023-10-17T00:00:00"/>
    <s v="330241511:0830378244"/>
    <s v="WC MILETI"/>
    <s v="560021940"/>
    <s v="HNXD"/>
    <s v="UPS"/>
    <s v="1Z1V47910445056382"/>
    <s v="F.LLI CARPARELLI"/>
    <s v="F.LLI CARPARELLI"/>
    <s v="70043"/>
    <x v="3"/>
    <x v="2"/>
  </r>
  <r>
    <s v="DSD120936"/>
    <d v="2023-10-17T00:00:00"/>
    <s v="330241506:0830378239"/>
    <s v="MANUZZI-PASINI"/>
    <s v="560021932"/>
    <s v="HNXD"/>
    <s v="UPS"/>
    <s v="1Z1V47910443478993"/>
    <s v="MV SERVICE"/>
    <s v="VIA CALABRIA 4070"/>
    <s v="47521"/>
    <x v="3"/>
    <x v="2"/>
  </r>
  <r>
    <s v="DSD120984"/>
    <d v="2023-10-17T00:00:00"/>
    <s v="330241393:0830378798"/>
    <s v="WC 9638"/>
    <s v="560021991"/>
    <s v="HNXD"/>
    <s v="UPS"/>
    <s v="1Z1V47910443867214"/>
    <s v="GIACOMAZZI GIOVANNI"/>
    <s v="GIACOMAZZI GIOVANNI"/>
    <s v="37062"/>
    <x v="3"/>
    <x v="0"/>
  </r>
  <r>
    <s v="DSD120986"/>
    <d v="2023-10-17T00:00:00"/>
    <s v="330241510:0830378243"/>
    <s v="WC 9721"/>
    <s v="560021939"/>
    <s v="HNXD"/>
    <s v="UPS"/>
    <s v="1Z1V47910443979433"/>
    <s v="MORA CESARE SRL"/>
    <s v="MORA CESARE SRL"/>
    <s v="25047"/>
    <x v="3"/>
    <x v="2"/>
  </r>
  <r>
    <s v="DSD120990"/>
    <d v="2023-10-17T00:00:00"/>
    <s v="330241516:0830378247"/>
    <s v="WC 9693 + 9694"/>
    <s v="560021949"/>
    <s v="HNXD"/>
    <s v="UPS"/>
    <s v="1Z1V47910445807043"/>
    <s v="ING CLIMA DI PREDA G"/>
    <s v="ING CLIMA DI PREDA G"/>
    <s v="24044"/>
    <x v="3"/>
    <x v="2"/>
  </r>
  <r>
    <s v="DSD121000"/>
    <d v="2023-10-17T00:00:00"/>
    <s v="330241514:0830378245"/>
    <s v="WC ORIZON SPA"/>
    <s v="560021947"/>
    <s v="HNXD"/>
    <s v="UPS"/>
    <s v="1Z1V47910445615652"/>
    <s v="F.LLI CARPARELLI"/>
    <s v="F.LLI CARPARELLI"/>
    <s v="70043"/>
    <x v="3"/>
    <x v="2"/>
  </r>
  <r>
    <s v="DSD121030"/>
    <d v="2023-10-17T00:00:00"/>
    <s v="330241518:0830378852"/>
    <s v="313"/>
    <s v="560021956"/>
    <s v="HNXD"/>
    <s v="UPS"/>
    <s v="1Z1V47910445505262"/>
    <s v="SPECIALE GAS DI GENN"/>
    <s v="VIALE MEDUSA, 31"/>
    <s v="80014"/>
    <x v="3"/>
    <x v="2"/>
  </r>
  <r>
    <s v="DSD120524"/>
    <d v="2023-10-18T00:00:00"/>
    <s v="330240845:0830377312"/>
    <s v="Frigicoll"/>
    <s v="530019987"/>
    <s v="HSTD"/>
    <s v="NACEX"/>
    <s v="DSD120524"/>
    <s v="FRIGICOLL"/>
    <s v="Carrer Blasco de Gar"/>
    <s v="08960"/>
    <x v="1"/>
    <x v="2"/>
  </r>
  <r>
    <s v="DSD121150"/>
    <d v="2023-10-18T00:00:00"/>
    <s v="330241581:0830378859"/>
    <s v="3004840"/>
    <s v="530020151"/>
    <s v="HSTD"/>
    <s v="NACEX"/>
    <s v="DSD121150"/>
    <s v="COPREMAN SERVICIOS"/>
    <s v="Carrer Maria Fortuny"/>
    <s v="08940"/>
    <x v="1"/>
    <x v="2"/>
  </r>
  <r>
    <s v="DSD121124"/>
    <d v="2023-10-18T00:00:00"/>
    <s v="330241582:0830378860"/>
    <s v="PR1105067-OT11134"/>
    <s v="530020152"/>
    <s v="HSTD"/>
    <s v="SEUR"/>
    <s v="DSD121124"/>
    <s v="DIFUSORA DEL CLIMA"/>
    <s v="C/ QUARTER DE SIMANC"/>
    <s v="08042"/>
    <x v="1"/>
    <x v="2"/>
  </r>
  <r>
    <s v="DSD120520"/>
    <d v="2023-10-18T00:00:00"/>
    <s v="330239662:0830377154"/>
    <s v="4500355598"/>
    <s v="560021750"/>
    <s v="HSTD"/>
    <s v="TNT"/>
    <s v="607251574"/>
    <s v="ASEA BROWN BOVERI SA"/>
    <s v="KM NATIONAL ROAD ,13"/>
    <s v="144 52"/>
    <x v="6"/>
    <x v="0"/>
  </r>
  <r>
    <s v="DSD121058"/>
    <d v="2023-10-18T00:00:00"/>
    <s v="330241524:0830378854"/>
    <s v="Tempcold"/>
    <s v="560021735"/>
    <s v="HNXD"/>
    <s v="TNT"/>
    <s v="607251398"/>
    <s v="KBS Sp. z o.o."/>
    <s v="."/>
    <s v="58-307"/>
    <x v="17"/>
    <x v="2"/>
  </r>
  <r>
    <s v="DSD121060"/>
    <d v="2023-10-18T00:00:00"/>
    <s v="330241448:0830378822"/>
    <s v="172864/TH"/>
    <s v="510146859"/>
    <s v="HSTD"/>
    <s v="TNT"/>
    <s v="607251407"/>
    <s v="ROULIN ET FILS"/>
    <s v="ZA ARINTHOD BP17"/>
    <s v="39240"/>
    <x v="0"/>
    <x v="2"/>
  </r>
  <r>
    <s v="DSD121062"/>
    <d v="2023-10-18T00:00:00"/>
    <s v="330239452:0830377199"/>
    <s v="PELIZZI"/>
    <s v="560021832"/>
    <s v="HSTD"/>
    <s v="TNT"/>
    <s v="607251415"/>
    <s v="GL SERVICE DI RICCAR"/>
    <s v="VIA REBOANI 55"/>
    <s v="26039"/>
    <x v="3"/>
    <x v="2"/>
  </r>
  <r>
    <s v="DSD121068"/>
    <d v="2023-10-18T00:00:00"/>
    <s v="330241528:0830378856"/>
    <s v="Tempcold"/>
    <s v="560021760"/>
    <s v="HNXD"/>
    <s v="TNT"/>
    <s v="607251588"/>
    <s v="EKO-MAT"/>
    <s v="."/>
    <s v="37-320"/>
    <x v="17"/>
    <x v="2"/>
  </r>
  <r>
    <s v="DSD121070"/>
    <d v="2023-10-18T00:00:00"/>
    <s v="330241473:0830378827"/>
    <s v="SOL2309FBC008729-"/>
    <s v="510146122"/>
    <s v="HSTD"/>
    <s v="TNT"/>
    <s v="607251438"/>
    <s v="SOLIPAC NIMES"/>
    <s v="280 AVENUE PAVLOV"/>
    <s v="30900"/>
    <x v="0"/>
    <x v="2"/>
  </r>
  <r>
    <s v="DSD121072"/>
    <d v="2023-10-18T00:00:00"/>
    <s v="330241562:0830378258"/>
    <s v="GEROTTO RENATO"/>
    <s v="560021896"/>
    <s v="HSTD"/>
    <s v="TNT"/>
    <s v="607251441"/>
    <s v="TE.CO. CENTROCLIMA S"/>
    <s v="VIA FELTRINA NUOVA,1"/>
    <s v="31044"/>
    <x v="3"/>
    <x v="2"/>
  </r>
  <r>
    <s v="DSD121074"/>
    <d v="2023-10-18T00:00:00"/>
    <s v="330241372:0830378791"/>
    <s v="WC SOCAFNA"/>
    <s v="510146581"/>
    <s v="HSTD"/>
    <s v="TNT"/>
    <s v="607251455"/>
    <s v="SAC ACEP"/>
    <s v="132 RUE THOMAS EDISO"/>
    <s v="47250"/>
    <x v="0"/>
    <x v="2"/>
  </r>
  <r>
    <s v="DSD121076"/>
    <d v="2023-10-18T00:00:00"/>
    <s v="330241578:0830378329"/>
    <s v="00100433-SAV CF23"/>
    <s v="510146715"/>
    <s v="HSTD"/>
    <s v="TNT"/>
    <s v="607251469"/>
    <s v="SET STE ELECTRO THER"/>
    <s v="ZI DE L ARGILE LOT 3"/>
    <s v="06370"/>
    <x v="0"/>
    <x v="2"/>
  </r>
  <r>
    <s v="DSD121078"/>
    <d v="2023-10-18T00:00:00"/>
    <s v="330241552:0830378839"/>
    <s v="22910341"/>
    <s v="510146785"/>
    <s v="HNXD"/>
    <s v="TNT"/>
    <s v="607251676"/>
    <s v="AXIMA CONCEPT"/>
    <s v="ZAE FONT DE LA BANQU"/>
    <s v="34978"/>
    <x v="0"/>
    <x v="2"/>
  </r>
  <r>
    <s v="DSD121080"/>
    <d v="2023-10-18T00:00:00"/>
    <s v="330241559:0830378843"/>
    <s v="171272/AC"/>
    <s v="510146375"/>
    <s v="HNXD"/>
    <s v="TNT"/>
    <s v="607251472"/>
    <s v="ENERGIES SERVICES 25"/>
    <s v="2 LE BAS DE CHARME"/>
    <s v="25390"/>
    <x v="0"/>
    <x v="2"/>
  </r>
  <r>
    <s v="DSD121082"/>
    <d v="2023-10-18T00:00:00"/>
    <s v="330241406:0830378802"/>
    <s v="172278/AC"/>
    <s v="510146387"/>
    <s v="HNXD"/>
    <s v="TNT"/>
    <s v="607251486"/>
    <s v="VINCI FACILITIES"/>
    <s v="ZA LES PRES CHALOTS"/>
    <s v="25220"/>
    <x v="0"/>
    <x v="2"/>
  </r>
  <r>
    <s v="DSD121084"/>
    <d v="2023-10-18T00:00:00"/>
    <s v="330241577:0830378846"/>
    <s v="00100381-SAV YUTA"/>
    <s v="510146552"/>
    <s v="HNXD"/>
    <s v="TNT"/>
    <s v="607251490"/>
    <s v="H2C SLV"/>
    <s v="225BIS AVENUE PIERRE"/>
    <s v="06700"/>
    <x v="0"/>
    <x v="2"/>
  </r>
  <r>
    <s v="DSD121086"/>
    <d v="2023-10-18T00:00:00"/>
    <s v="330241332:0830378761"/>
    <s v="Tempcold"/>
    <s v="560021793"/>
    <s v="HNXD"/>
    <s v="TNT"/>
    <s v="607251509"/>
    <s v="PZN Sp. z o.o."/>
    <s v="."/>
    <s v="60-111"/>
    <x v="17"/>
    <x v="2"/>
  </r>
  <r>
    <s v="DSD121088"/>
    <d v="2023-10-18T00:00:00"/>
    <s v="330241385:0830378176"/>
    <s v="Vaminstal01"/>
    <s v="560021922"/>
    <s v="HSTD"/>
    <s v="TNT"/>
    <s v="607251512"/>
    <s v="Vaminstal SRL"/>
    <s v="Str. Pomiculturii nr"/>
    <s v="300272"/>
    <x v="20"/>
    <x v="0"/>
  </r>
  <r>
    <s v="DSD121090"/>
    <d v="2023-10-18T00:00:00"/>
    <s v="330241464:0830378824"/>
    <s v="CDC127928 E0050 S"/>
    <s v="510146451"/>
    <s v="HSTD"/>
    <s v="TNT"/>
    <s v="607251526"/>
    <s v="E2B MOULIMOUS HENRI"/>
    <s v="45 impasse Gazte Xok"/>
    <s v="64120"/>
    <x v="0"/>
    <x v="0"/>
  </r>
  <r>
    <s v="DSD121092"/>
    <d v="2023-10-18T00:00:00"/>
    <s v="330241322:0830378758"/>
    <s v="BC15789-AR38465"/>
    <s v="510146281"/>
    <s v="HSTD"/>
    <s v="TNT"/>
    <s v="607251530"/>
    <s v="PIECES EXPRESS"/>
    <s v="1 RUE PHILLIPE LEBON"/>
    <s v="14120"/>
    <x v="0"/>
    <x v="2"/>
  </r>
  <r>
    <s v="DSD121094"/>
    <d v="2023-10-18T00:00:00"/>
    <s v="330241413:0830378806"/>
    <s v="C2309268 HYD 44BC"/>
    <s v="510146100"/>
    <s v="HNXD"/>
    <s v="TNT"/>
    <s v="607251543"/>
    <s v="PARTEDIS"/>
    <s v="11 BIS AV LOUIS LUMI"/>
    <s v="17180"/>
    <x v="0"/>
    <x v="2"/>
  </r>
  <r>
    <s v="DSD121096"/>
    <d v="2023-10-18T00:00:00"/>
    <s v="330241426:0830378812"/>
    <s v="CDC127803 T0034 S"/>
    <s v="510146336"/>
    <s v="HSTD"/>
    <s v="TNT"/>
    <s v="607251557"/>
    <s v="TEC SERVICE"/>
    <s v="70 Gozategiko bidea"/>
    <s v="64240"/>
    <x v="0"/>
    <x v="2"/>
  </r>
  <r>
    <s v="DSD121098"/>
    <d v="2023-10-18T00:00:00"/>
    <s v="330241484:0830378832"/>
    <s v="WC-CP Clim concep"/>
    <s v="510146653"/>
    <s v="HSTD"/>
    <s v="TNT"/>
    <s v="607251591"/>
    <s v="CP Clim Concept"/>
    <s v="1020 Chemin du Fort"/>
    <s v="83200"/>
    <x v="0"/>
    <x v="0"/>
  </r>
  <r>
    <s v="DSD121100"/>
    <d v="2023-10-18T00:00:00"/>
    <s v="330241362:0830378787"/>
    <s v="24012"/>
    <s v="510146766"/>
    <s v="HSTD"/>
    <s v="TNT"/>
    <s v="607251605"/>
    <s v="MAINTENANCE GENIE CL"/>
    <s v="ZI DU PLOUVIER"/>
    <s v="59175"/>
    <x v="0"/>
    <x v="2"/>
  </r>
  <r>
    <s v="DSD121102"/>
    <d v="2023-10-18T00:00:00"/>
    <s v="330241571:0830378323"/>
    <s v="WC MAISONNAS"/>
    <s v="510146674"/>
    <s v="HNXD"/>
    <s v="TNT"/>
    <s v="607251614"/>
    <s v="DELOCHE PLOMBERIE"/>
    <s v="35 CHEMIN DE MARGUER"/>
    <s v="07410"/>
    <x v="0"/>
    <x v="2"/>
  </r>
  <r>
    <s v="DSD121106"/>
    <d v="2023-10-18T00:00:00"/>
    <s v="330241586:0830378849"/>
    <s v="WC MARTIAL"/>
    <s v="510146576"/>
    <s v="HNXD"/>
    <s v="TNT"/>
    <s v="607251628"/>
    <s v="JACOUTON"/>
    <s v="ZA CHAMPAGNE"/>
    <s v="07300"/>
    <x v="0"/>
    <x v="2"/>
  </r>
  <r>
    <s v="DSD121108"/>
    <d v="2023-10-18T00:00:00"/>
    <s v="330241555:0830378841"/>
    <s v="22880154"/>
    <s v="510146888"/>
    <s v="HSTD"/>
    <s v="TNT"/>
    <s v="607251631"/>
    <s v="I TER RAVEZIES AXIMA"/>
    <s v="Cote Parc Relais"/>
    <s v="33110"/>
    <x v="0"/>
    <x v="2"/>
  </r>
  <r>
    <s v="DSD121110"/>
    <d v="2023-10-18T00:00:00"/>
    <s v="330241570:0830378845"/>
    <s v="CF103846"/>
    <s v="510146333"/>
    <s v="HSTD"/>
    <s v="TNT"/>
    <s v="607251659"/>
    <s v="ATEC"/>
    <s v="19 RUE EUGENE SUE"/>
    <s v="03100"/>
    <x v="0"/>
    <x v="2"/>
  </r>
  <r>
    <s v="DSD121112"/>
    <d v="2023-10-18T00:00:00"/>
    <s v="330241411:0830378805"/>
    <s v="C2309252 3C STECH"/>
    <s v="510146003"/>
    <s v="HSTD"/>
    <s v="TNT"/>
    <s v="607251662"/>
    <s v="MOYSAN ENERGIES"/>
    <s v="16 ROUTE DE ST POL"/>
    <s v="29420"/>
    <x v="0"/>
    <x v="2"/>
  </r>
  <r>
    <s v="DSD121114"/>
    <d v="2023-10-18T00:00:00"/>
    <s v="330241457:0830378158"/>
    <m/>
    <s v="510146270"/>
    <s v="HNXD"/>
    <s v="TNT"/>
    <s v="607251680"/>
    <s v="SOLIPAC"/>
    <s v="739 AVENUE DE CROUPI"/>
    <s v="30100"/>
    <x v="0"/>
    <x v="2"/>
  </r>
  <r>
    <s v="DSD121116"/>
    <d v="2023-10-18T00:00:00"/>
    <s v="330241527:0830379642"/>
    <s v="zam/26/09/2023"/>
    <s v="560021758"/>
    <s v="HNXD"/>
    <s v="TNT"/>
    <s v="607251968"/>
    <s v="GRODNO SA"/>
    <s v="Poznanska 312"/>
    <s v="05-840"/>
    <x v="17"/>
    <x v="2"/>
  </r>
  <r>
    <s v="DSD121118"/>
    <d v="2023-10-18T00:00:00"/>
    <s v="330241343:0830379619"/>
    <s v="Gudrus sildymas -"/>
    <s v="560021934"/>
    <s v="HNXD"/>
    <s v="TNT"/>
    <s v="607251693"/>
    <s v="ELMITRA UAB"/>
    <s v="RAUDONDVARIO PL. 150"/>
    <s v="LT-47175"/>
    <x v="19"/>
    <x v="2"/>
  </r>
  <r>
    <s v="DSD121120"/>
    <d v="2023-10-18T00:00:00"/>
    <s v="330241584:0830378848"/>
    <s v="00100336-SAV AFF"/>
    <s v="510146353"/>
    <s v="HSTD"/>
    <s v="TNT"/>
    <s v="607251702"/>
    <s v="OSMOSE"/>
    <s v="QUAI BEAUMON"/>
    <s v="06330"/>
    <x v="0"/>
    <x v="2"/>
  </r>
  <r>
    <s v="DSD121126"/>
    <d v="2023-10-18T00:00:00"/>
    <s v="330228551:0830379616"/>
    <s v="TA2143"/>
    <s v="7660223403"/>
    <s v="HSTD"/>
    <s v="TNT"/>
    <s v="607251716"/>
    <s v="FERN SERVICES"/>
    <s v="36 RUE FRANCIS COMBE"/>
    <s v="95000"/>
    <x v="0"/>
    <x v="2"/>
  </r>
  <r>
    <s v="DSD121128"/>
    <d v="2023-10-18T00:00:00"/>
    <s v="330241495:0830379618"/>
    <s v="CDE6735-M RACHEDI"/>
    <s v="510146321"/>
    <s v="HNXD"/>
    <s v="TNT"/>
    <s v="607251720"/>
    <s v="M RACHEDI"/>
    <s v="5 TER RUE DE LA COMB"/>
    <s v="69700"/>
    <x v="0"/>
    <x v="2"/>
  </r>
  <r>
    <s v="DSD121130"/>
    <d v="2023-10-18T00:00:00"/>
    <s v="330241375:0830378794"/>
    <s v="WC AXA"/>
    <s v="510146586"/>
    <s v="HNXD"/>
    <s v="TNT"/>
    <s v="607251733"/>
    <s v="TRICHET LOUE ENERGIE"/>
    <s v="15 RUE CAMAMINE"/>
    <s v="85150"/>
    <x v="0"/>
    <x v="2"/>
  </r>
  <r>
    <s v="DSD121132"/>
    <d v="2023-10-18T00:00:00"/>
    <s v="330241566:0830378731"/>
    <m/>
    <s v="SW 20231017"/>
    <s v="HSTD"/>
    <s v="TNT"/>
    <s v="607251764"/>
    <s v="FRIGO-VE D.O.O"/>
    <s v="MARINICI 180"/>
    <s v="51216"/>
    <x v="11"/>
    <x v="0"/>
  </r>
  <r>
    <s v="DSD121134"/>
    <d v="2023-10-18T00:00:00"/>
    <s v="330241462:0830379617"/>
    <s v="161562"/>
    <s v="510146444"/>
    <s v="HNXD"/>
    <s v="TNT"/>
    <s v="607251755"/>
    <s v="SA ETTORI TADDEI MOS"/>
    <s v="RN 193 - FURIANI"/>
    <s v="20600"/>
    <x v="0"/>
    <x v="2"/>
  </r>
  <r>
    <s v="DSD121136"/>
    <d v="2023-10-18T00:00:00"/>
    <s v="330229584:0830378960"/>
    <s v="Gift Criscat"/>
    <s v="7690046958"/>
    <s v="HSTD"/>
    <s v="TNT"/>
    <s v="607251778"/>
    <s v="ONE CONCEPT DISTRIBU"/>
    <s v="DECEBAL 24 RUDENI"/>
    <s v="077046"/>
    <x v="20"/>
    <x v="0"/>
  </r>
  <r>
    <s v="DSD121138"/>
    <d v="2023-10-18T00:00:00"/>
    <s v="330241414:0830378807"/>
    <s v="CABINET YZICO / K"/>
    <s v="510146101"/>
    <s v="HSTD"/>
    <s v="TNT"/>
    <s v="607251781"/>
    <s v="ZAC DU BOIS MOUSSAY"/>
    <s v="17-25 AVENUE DU BOIS"/>
    <s v="93240"/>
    <x v="0"/>
    <x v="2"/>
  </r>
  <r>
    <s v="DSD121142"/>
    <d v="2023-10-18T00:00:00"/>
    <s v="330241382:0830378796"/>
    <s v="RAS61"/>
    <s v="560021869"/>
    <s v="HSTD"/>
    <s v="TNT"/>
    <s v="607251804"/>
    <s v="KLIMA KFT"/>
    <s v="REITTER FERENC U. 13"/>
    <s v="1131"/>
    <x v="13"/>
    <x v="0"/>
  </r>
  <r>
    <s v="DSD121144"/>
    <d v="2023-10-18T00:00:00"/>
    <s v="330241391:0830378797"/>
    <s v="5424-PIZZOL"/>
    <s v="560021989"/>
    <s v="HSTD"/>
    <s v="TNT"/>
    <s v="607251818"/>
    <s v="BASSO &amp; RIVAGLI SRL"/>
    <s v="VIA VITTORIO VENETO"/>
    <s v="31010"/>
    <x v="3"/>
    <x v="2"/>
  </r>
  <r>
    <s v="DSD121146"/>
    <d v="2023-10-18T00:00:00"/>
    <s v="330241532:0830378858"/>
    <s v="2023-09-29-01"/>
    <s v="560021789"/>
    <s v="HNXD"/>
    <s v="TNT"/>
    <s v="607251821"/>
    <s v="ELMITRA UAB"/>
    <s v="RAUDONDVARIO PL. 150"/>
    <s v="LT-47175"/>
    <x v="19"/>
    <x v="2"/>
  </r>
  <r>
    <s v="DSD121148"/>
    <d v="2023-10-18T00:00:00"/>
    <s v="330242297:0830379705"/>
    <s v="WC-RAHOU MARSEILL"/>
    <s v="510146726"/>
    <s v="HNXD"/>
    <s v="TNT"/>
    <s v="607251835"/>
    <s v="HAC HITACHI"/>
    <s v="AVENUE FONTFREGE QUA"/>
    <s v="13420"/>
    <x v="0"/>
    <x v="2"/>
  </r>
  <r>
    <s v="DSD121152"/>
    <d v="2023-10-18T00:00:00"/>
    <s v="330242298:0830379706"/>
    <s v="WC-PAC HYDROLUX"/>
    <s v="510146728"/>
    <s v="HNXD"/>
    <s v="TNT"/>
    <s v="607251849"/>
    <s v="VAUCLUSE FROID CLIMA"/>
    <s v="100 IMPASSE DE LA CH"/>
    <s v="84350"/>
    <x v="0"/>
    <x v="2"/>
  </r>
  <r>
    <s v="DSD121154"/>
    <d v="2023-10-18T00:00:00"/>
    <s v="330241501:0830378783"/>
    <s v="903815"/>
    <s v="560021928"/>
    <s v="HSTD"/>
    <s v="TNT"/>
    <s v="607251852"/>
    <s v="ELETTROCLIMA SRL"/>
    <s v="VIA PADANA SUPERIORE"/>
    <s v="25046"/>
    <x v="3"/>
    <x v="2"/>
  </r>
  <r>
    <s v="DSD121156"/>
    <d v="2023-10-18T00:00:00"/>
    <s v="330242310:0830379714"/>
    <s v="CC300474"/>
    <s v="510146610"/>
    <s v="HNXD"/>
    <s v="TNT"/>
    <s v="607251866"/>
    <s v="LMF2C"/>
    <s v="232 AVENUE FERNAND A"/>
    <s v="03700"/>
    <x v="0"/>
    <x v="2"/>
  </r>
  <r>
    <s v="DSD121158"/>
    <d v="2023-10-18T00:00:00"/>
    <s v="330241563:0830378259"/>
    <s v="Capaccioli Srl"/>
    <s v="560021897"/>
    <s v="HSTD"/>
    <s v="TNT"/>
    <s v="607251870"/>
    <s v="F.LLI PRATESI DI PRA"/>
    <s v="VIA PIEVAN LANDI ,46"/>
    <s v="52100"/>
    <x v="3"/>
    <x v="0"/>
  </r>
  <r>
    <s v="DSD121160"/>
    <d v="2023-10-18T00:00:00"/>
    <s v="330242300:0830379707"/>
    <s v="WC-SAV QUESNEL"/>
    <s v="510146741"/>
    <s v="HNXD"/>
    <s v="TNT"/>
    <s v="607251883"/>
    <s v="ID ENERGIES"/>
    <s v="Z.A. d'Armanville"/>
    <s v="50700"/>
    <x v="0"/>
    <x v="2"/>
  </r>
  <r>
    <s v="DSD121162"/>
    <d v="2023-10-18T00:00:00"/>
    <s v="330242309:0830379713"/>
    <s v="w008907"/>
    <s v="510146611"/>
    <s v="HNXD"/>
    <s v="TNT"/>
    <s v="607251906"/>
    <s v="jean yves CRAPET"/>
    <s v="6 ALLEE DE LA FONTAI"/>
    <s v="59269"/>
    <x v="0"/>
    <x v="2"/>
  </r>
  <r>
    <s v="DSD121164"/>
    <d v="2023-10-18T00:00:00"/>
    <s v="330241325:0830378759"/>
    <s v="BC15806-AR38518"/>
    <s v="510146284"/>
    <s v="HSTD"/>
    <s v="TNT"/>
    <s v="607251910"/>
    <s v="LC PRO ENERGIES"/>
    <s v="ZI, Rue de l Orne"/>
    <s v="14570"/>
    <x v="0"/>
    <x v="2"/>
  </r>
  <r>
    <s v="DSD121166"/>
    <d v="2023-10-18T00:00:00"/>
    <s v="330241367:0830378114"/>
    <s v="172514/AC"/>
    <s v="510146582"/>
    <s v="HSTD"/>
    <s v="TNT"/>
    <s v="607251923"/>
    <s v="V F CONFORT"/>
    <s v="RUE DES BRUYERES ,8"/>
    <s v="25220"/>
    <x v="0"/>
    <x v="2"/>
  </r>
  <r>
    <s v="DSD121168"/>
    <d v="2023-10-18T00:00:00"/>
    <s v="330241296:0830378749"/>
    <s v="EDILIANS STE FOY"/>
    <s v="510146059"/>
    <s v="HSTD"/>
    <s v="TNT"/>
    <s v="607251937"/>
    <s v="BONVALLET FROID CLIM"/>
    <s v="ROUTE DE RIOTTIER ,1"/>
    <s v="69400"/>
    <x v="0"/>
    <x v="2"/>
  </r>
  <r>
    <s v="DSD121170"/>
    <d v="2023-10-18T00:00:00"/>
    <s v="330241512:0830378850"/>
    <s v="WC 9732"/>
    <s v="560021941"/>
    <s v="HSTD"/>
    <s v="TNT"/>
    <s v="607251945"/>
    <s v="MORA CESARE SRL"/>
    <s v="MORA CESARE SRL"/>
    <s v="25047"/>
    <x v="3"/>
    <x v="2"/>
  </r>
  <r>
    <s v="DSD121172"/>
    <d v="2023-10-18T00:00:00"/>
    <s v="330241558:0830378842"/>
    <s v="13346939"/>
    <s v="510146917"/>
    <s v="HSTD"/>
    <s v="TNT"/>
    <s v="607251954"/>
    <s v="LRI POUR ENGIE"/>
    <s v="56 RUE LEON TROTSKI"/>
    <s v="34070"/>
    <x v="0"/>
    <x v="2"/>
  </r>
  <r>
    <s v="DSD121174"/>
    <d v="2023-10-18T00:00:00"/>
    <s v="330214627:0830379824"/>
    <s v="00099501-SAV RAS4"/>
    <s v="7660221489"/>
    <s v="HSTD"/>
    <s v="TNT"/>
    <s v="607251971"/>
    <s v="SOLAIRCIE"/>
    <s v="257 AVENUE SAINT ANTOINE"/>
    <s v="13015"/>
    <x v="0"/>
    <x v="2"/>
  </r>
  <r>
    <s v="DSD121176"/>
    <d v="2023-10-18T00:00:00"/>
    <s v="330241598:0830379621"/>
    <s v="Hauzvic"/>
    <s v="560021866"/>
    <s v="HSTD"/>
    <s v="TNT"/>
    <s v="607251985"/>
    <s v="RADEK FRONEK"/>
    <s v="MASARYKOVA 379"/>
    <s v="273 04"/>
    <x v="18"/>
    <x v="2"/>
  </r>
  <r>
    <s v="DSD121178"/>
    <d v="2023-10-18T00:00:00"/>
    <s v="330242303:0830379710"/>
    <s v="WC-BERDOLL"/>
    <s v="510146736"/>
    <s v="HNXD"/>
    <s v="TNT"/>
    <s v="607251999"/>
    <s v="ABF"/>
    <s v="3 Impasse Remy"/>
    <s v="44260"/>
    <x v="0"/>
    <x v="2"/>
  </r>
  <r>
    <s v="DSD121182"/>
    <d v="2023-10-18T00:00:00"/>
    <s v="330242302:0830379709"/>
    <s v="WC-Age et vie Noy"/>
    <s v="510146737"/>
    <s v="HNXD"/>
    <s v="TNT"/>
    <s v="607252019"/>
    <s v="SAS HOUEIX"/>
    <s v="ZA du Bois Vert Rue"/>
    <s v="56800"/>
    <x v="0"/>
    <x v="2"/>
  </r>
  <r>
    <s v="DSD121186"/>
    <d v="2023-10-18T00:00:00"/>
    <s v="330242299:0830379829"/>
    <s v="WC-M. GODEL"/>
    <s v="510146742"/>
    <s v="HNXD"/>
    <s v="TNT"/>
    <s v="607252067"/>
    <s v="PV SYSTEM"/>
    <s v="13 rue de la Gesse B"/>
    <s v="72610"/>
    <x v="0"/>
    <x v="2"/>
  </r>
  <r>
    <s v="DSD121188"/>
    <d v="2023-10-18T00:00:00"/>
    <s v="330242306:0830379831"/>
    <s v="WC-PAC HYDROLUX"/>
    <s v="510146729"/>
    <s v="HNXD"/>
    <s v="TNT"/>
    <s v="607252036"/>
    <s v="HAC HITACHI"/>
    <s v="ZI DE L ARGILE VOIE"/>
    <s v="06370"/>
    <x v="0"/>
    <x v="2"/>
  </r>
  <r>
    <s v="DSD121190"/>
    <d v="2023-10-18T00:00:00"/>
    <s v="330242295:0830379827"/>
    <s v="WC-Hotel de Perri"/>
    <s v="510146735"/>
    <s v="HSTD"/>
    <s v="TNT"/>
    <s v="607252040"/>
    <s v="Engie Home Service"/>
    <s v="78 rue de Berlin"/>
    <s v="53000"/>
    <x v="0"/>
    <x v="0"/>
  </r>
  <r>
    <s v="DSD121192"/>
    <d v="2023-10-18T00:00:00"/>
    <s v="330242305:0830379830"/>
    <s v="WC-MME CHIGOT"/>
    <s v="510146730"/>
    <s v="HNXD"/>
    <s v="TNT"/>
    <s v="607252053"/>
    <s v="ASCC"/>
    <s v="12 RUE IRENE ET FRED"/>
    <s v="18230"/>
    <x v="0"/>
    <x v="2"/>
  </r>
  <r>
    <s v="DSD121194"/>
    <d v="2023-10-18T00:00:00"/>
    <s v="330242307:0830379832"/>
    <s v="MEN BOU177"/>
    <s v="510146614"/>
    <s v="HSTD"/>
    <s v="TNT"/>
    <s v="607252075"/>
    <s v="BO2"/>
    <s v="12 quai du canal"/>
    <s v="42300"/>
    <x v="0"/>
    <x v="2"/>
  </r>
  <r>
    <s v="DSD121198"/>
    <d v="2023-10-18T00:00:00"/>
    <s v="330241489:0830378838"/>
    <s v="TL-TL-CAPPADOCE"/>
    <s v="510146265"/>
    <s v="HSTD"/>
    <s v="TNT"/>
    <s v="607252084"/>
    <s v="CRISTAL AIR"/>
    <s v="2 RUE DU POTEAU"/>
    <s v="77181"/>
    <x v="0"/>
    <x v="2"/>
  </r>
  <r>
    <s v="DSD121200"/>
    <d v="2023-10-18T00:00:00"/>
    <s v="330242294:0830379826"/>
    <s v="WC-BAZINCOURT"/>
    <s v="510146732"/>
    <s v="HNXD"/>
    <s v="TNT"/>
    <s v="607252098"/>
    <s v="POINT SERVICES"/>
    <s v="23 ROUTE DE DELINCOU"/>
    <s v="27140"/>
    <x v="0"/>
    <x v="2"/>
  </r>
  <r>
    <s v="DSD121202"/>
    <d v="2023-10-18T00:00:00"/>
    <s v="330241596:0830379620"/>
    <s v="VO2023512"/>
    <s v="560021753"/>
    <s v="HNXD"/>
    <s v="TNT"/>
    <s v="607252107"/>
    <s v="GASTROTECHNO GROUP S"/>
    <s v="Kastanova 495/64a"/>
    <s v="620 00"/>
    <x v="18"/>
    <x v="2"/>
  </r>
  <r>
    <s v="DSD121204"/>
    <d v="2023-10-18T00:00:00"/>
    <s v="330242296:0830379828"/>
    <s v="WC-BUANDERIE"/>
    <s v="510146727"/>
    <s v="HNXD"/>
    <s v="TNT"/>
    <s v="607252115"/>
    <s v="SANITVAL"/>
    <s v="1176 AVENUE ST MARTI"/>
    <s v="06250"/>
    <x v="0"/>
    <x v="2"/>
  </r>
  <r>
    <s v="DSD121212"/>
    <d v="2023-10-18T00:00:00"/>
    <s v="330238792:0830380210"/>
    <s v="PR230486"/>
    <s v="510145933"/>
    <s v="HSTD"/>
    <s v="TNT"/>
    <s v="607252124"/>
    <s v="CERFIC FROID"/>
    <s v="83 IMPASSE DES BARRI"/>
    <s v="69400"/>
    <x v="0"/>
    <x v="2"/>
  </r>
  <r>
    <s v="DSD121214"/>
    <d v="2023-10-18T00:00:00"/>
    <s v="330242440:0830380306"/>
    <s v="C2310062 3C"/>
    <s v="510146569"/>
    <s v="HNXD"/>
    <s v="TNT"/>
    <s v="607252138"/>
    <s v="CENTRE CLIM"/>
    <s v="72 RUE DES PIEDS BLA"/>
    <s v="18230"/>
    <x v="0"/>
    <x v="2"/>
  </r>
  <r>
    <s v="DSD121216"/>
    <d v="2023-10-18T00:00:00"/>
    <s v="330242419:0830380295"/>
    <s v="C2310048 PARIS CL"/>
    <s v="510146369"/>
    <s v="HNXD"/>
    <s v="TNT"/>
    <s v="607252141"/>
    <s v="FL SERVICES"/>
    <s v="POUR PARIS CLIM"/>
    <s v="95360"/>
    <x v="0"/>
    <x v="2"/>
  </r>
  <r>
    <s v="DSD121218"/>
    <d v="2023-10-18T00:00:00"/>
    <s v="330242390:0830380277"/>
    <s v="WC-Guezengard"/>
    <s v="510146748"/>
    <s v="HNXD"/>
    <s v="TNT"/>
    <s v="607252155"/>
    <s v="Clim et vous"/>
    <s v="4 le petit Treherman"/>
    <s v="56230"/>
    <x v="0"/>
    <x v="2"/>
  </r>
  <r>
    <s v="DSD121220"/>
    <d v="2023-10-18T00:00:00"/>
    <s v="330242424:0830380298"/>
    <s v="AVENIR ENERGIES"/>
    <s v="510146396"/>
    <s v="HNXD"/>
    <s v="TNT"/>
    <s v="607252169"/>
    <s v="C-CLIM"/>
    <s v="RUE DE DION BOUTON"/>
    <s v="26200"/>
    <x v="0"/>
    <x v="2"/>
  </r>
  <r>
    <s v="DSD121224"/>
    <d v="2023-10-18T00:00:00"/>
    <s v="330242381:0830380269"/>
    <m/>
    <s v="510146624"/>
    <s v="HNXD"/>
    <s v="TNT"/>
    <s v="607252212"/>
    <s v="YANNICK CHEVREUX"/>
    <s v="184 ROUTE DE LA BRAU"/>
    <s v="36330"/>
    <x v="0"/>
    <x v="2"/>
  </r>
  <r>
    <s v="DSD121226"/>
    <d v="2023-10-18T00:00:00"/>
    <s v="330242435:0830380303"/>
    <s v="CF103829"/>
    <s v="510146568"/>
    <s v="HNXD"/>
    <s v="TNT"/>
    <s v="607252172"/>
    <s v="ATOUTS FER"/>
    <s v="13 RUE DE CROQUANT"/>
    <s v="58200"/>
    <x v="0"/>
    <x v="2"/>
  </r>
  <r>
    <s v="DSD121228"/>
    <d v="2023-10-18T00:00:00"/>
    <s v="330242386:0830380274"/>
    <s v="16035"/>
    <s v="510146542"/>
    <s v="HNXD"/>
    <s v="TNT"/>
    <s v="607252186"/>
    <s v="CLIMATIC ENERGIES"/>
    <s v="4 Rue des Freres Lum"/>
    <s v="69680"/>
    <x v="0"/>
    <x v="2"/>
  </r>
  <r>
    <s v="DSD121230"/>
    <d v="2023-10-18T00:00:00"/>
    <s v="330242402:0830380284"/>
    <s v="563957"/>
    <s v="510146655"/>
    <s v="HSTD"/>
    <s v="TNT"/>
    <s v="607252190"/>
    <s v="ETM Porto-Vecchio"/>
    <s v="rue Pierre Andreani"/>
    <s v="20137"/>
    <x v="0"/>
    <x v="0"/>
  </r>
  <r>
    <s v="DSD121232"/>
    <d v="2023-10-18T00:00:00"/>
    <s v="330242444:0830380310"/>
    <s v="SOL2310FBC008965-"/>
    <s v="510146601"/>
    <s v="HNXD"/>
    <s v="TNT"/>
    <s v="607252209"/>
    <s v="SPIE INDUSTRIE &amp; TER"/>
    <s v="8 RUE JULES VEDRINES"/>
    <s v="31400"/>
    <x v="0"/>
    <x v="2"/>
  </r>
  <r>
    <s v="DSD121234"/>
    <d v="2023-10-18T00:00:00"/>
    <s v="330242441:0830380307"/>
    <s v="bc15908-ar38809"/>
    <s v="510146589"/>
    <s v="HNXD"/>
    <s v="TNT"/>
    <s v="607252226"/>
    <s v="CONFORTHERMIC CONFOR"/>
    <s v="3 RUE MASSELIN"/>
    <s v="27300"/>
    <x v="0"/>
    <x v="2"/>
  </r>
  <r>
    <s v="DSD121236"/>
    <d v="2023-10-18T00:00:00"/>
    <s v="330242413:0830380424"/>
    <s v="SOL2309FBC008741-"/>
    <s v="510146130"/>
    <s v="HSTD"/>
    <s v="TNT"/>
    <s v="607252230"/>
    <s v="SOLIPAC TOULOUSE"/>
    <s v="39 AV JEAN FRANCOIS"/>
    <s v="31100"/>
    <x v="0"/>
    <x v="2"/>
  </r>
  <r>
    <s v="DSD121238"/>
    <d v="2023-10-18T00:00:00"/>
    <s v="330242420:0830380296"/>
    <s v="AFURIO CLIMATISAT"/>
    <s v="510146381"/>
    <s v="HNXD"/>
    <s v="TNT"/>
    <s v="607252243"/>
    <s v="AFURIO CLIMATISATION"/>
    <s v="6 BOULEVARD DU MONTO"/>
    <s v="07000"/>
    <x v="0"/>
    <x v="2"/>
  </r>
  <r>
    <s v="DSD121240"/>
    <d v="2023-10-18T00:00:00"/>
    <s v="330242409:0830380290"/>
    <s v="CF-23100020/LA210"/>
    <s v="510146673"/>
    <s v="HNXD"/>
    <s v="TNT"/>
    <s v="607252257"/>
    <s v="CLIMATER MAINTENANCE"/>
    <s v="145 RUE DE LA MARBRE"/>
    <s v="34740"/>
    <x v="0"/>
    <x v="2"/>
  </r>
  <r>
    <s v="DSD121242"/>
    <d v="2023-10-18T00:00:00"/>
    <s v="330242378:0830380267"/>
    <s v="161801"/>
    <s v="510146608"/>
    <s v="HNXD"/>
    <s v="TNT"/>
    <s v="607252265"/>
    <s v="rainon sebastien"/>
    <s v="795 route de thoul"/>
    <s v="33141"/>
    <x v="0"/>
    <x v="2"/>
  </r>
  <r>
    <s v="DSD121244"/>
    <d v="2023-10-18T00:00:00"/>
    <s v="330242377:0830380416"/>
    <s v="161802"/>
    <s v="510146607"/>
    <s v="HSTD"/>
    <s v="TNT"/>
    <s v="607252288"/>
    <s v="bianchi yves"/>
    <s v="115 rue edouard beli"/>
    <s v="30290"/>
    <x v="0"/>
    <x v="2"/>
  </r>
  <r>
    <s v="DSD121246"/>
    <d v="2023-10-18T00:00:00"/>
    <s v="330242405:0830380287"/>
    <s v="SOL2310FBC009002-"/>
    <s v="510146693"/>
    <s v="HNXD"/>
    <s v="TNT"/>
    <s v="607252291"/>
    <s v="SOLIPAC TOULOUSE"/>
    <s v="39 AV JEAN FRANCOIS"/>
    <s v="31100"/>
    <x v="0"/>
    <x v="2"/>
  </r>
  <r>
    <s v="DSD121248"/>
    <d v="2023-10-18T00:00:00"/>
    <s v="330242400:0830380282"/>
    <s v="00100409-SAV RAM5"/>
    <s v="510146638"/>
    <s v="HNXD"/>
    <s v="TNT"/>
    <s v="607252305"/>
    <s v="CLIM ALU CONFORT"/>
    <s v="1 BOULEVARD EUGENE D"/>
    <s v="06590"/>
    <x v="0"/>
    <x v="2"/>
  </r>
  <r>
    <s v="DSD121250"/>
    <d v="2023-10-18T00:00:00"/>
    <s v="330242431:0830380301"/>
    <s v="CF103824"/>
    <s v="510146537"/>
    <s v="HNXD"/>
    <s v="TNT"/>
    <s v="607252274"/>
    <s v="BE CLIM"/>
    <s v="224 AVENUE JEAN MERM"/>
    <s v="63100"/>
    <x v="0"/>
    <x v="0"/>
  </r>
  <r>
    <s v="DSD121252"/>
    <d v="2023-10-18T00:00:00"/>
    <s v="330242383:0830380271"/>
    <s v="ARTISAN ECO"/>
    <s v="510146626"/>
    <s v="HNXD"/>
    <s v="TNT"/>
    <s v="607252314"/>
    <s v="C-CLIM"/>
    <s v="RUE DE DION BOUTON"/>
    <s v="26200"/>
    <x v="0"/>
    <x v="2"/>
  </r>
  <r>
    <s v="DSD121254"/>
    <d v="2023-10-18T00:00:00"/>
    <s v="330242374:0830380265"/>
    <s v="KLAMKA"/>
    <s v="510146591"/>
    <s v="HNXD"/>
    <s v="TNT"/>
    <s v="607252328"/>
    <s v="CLIMETHIK"/>
    <s v="178 MAUVAISE RUE"/>
    <s v="59940"/>
    <x v="0"/>
    <x v="2"/>
  </r>
  <r>
    <s v="DSD121256"/>
    <d v="2023-10-18T00:00:00"/>
    <s v="330242379:0830380268"/>
    <s v="161800"/>
    <s v="510146609"/>
    <s v="HNXD"/>
    <s v="TNT"/>
    <s v="607252331"/>
    <s v="MARTIN claudie"/>
    <s v="39 rue du 19 mars 19"/>
    <s v="78280"/>
    <x v="0"/>
    <x v="2"/>
  </r>
  <r>
    <s v="DSD121258"/>
    <d v="2023-10-18T00:00:00"/>
    <s v="330242417:0830380294"/>
    <s v="C2310046 HYD 59BC"/>
    <s v="510146366"/>
    <s v="HNXD"/>
    <s v="TNT"/>
    <s v="607252345"/>
    <s v="HYDECLIM LILLE"/>
    <s v="16 RUE DES CHAMPS"/>
    <s v="59650"/>
    <x v="0"/>
    <x v="2"/>
  </r>
  <r>
    <s v="DSD121260"/>
    <d v="2023-10-18T00:00:00"/>
    <s v="330242408:0830380289"/>
    <s v="00100430-11341 CA"/>
    <s v="510146699"/>
    <s v="HNXD"/>
    <s v="TNT"/>
    <s v="607252359"/>
    <s v="SEEM CLIMATISATION"/>
    <s v="6 RUE DES SABLONS"/>
    <s v="41120"/>
    <x v="0"/>
    <x v="2"/>
  </r>
  <r>
    <s v="DSD121064"/>
    <d v="2023-10-18T00:00:00"/>
    <s v="330241587:0830378333"/>
    <s v="HT6509060001"/>
    <s v="560021988"/>
    <s v="HNXD"/>
    <s v="UPS"/>
    <s v="1Z1V47910444927488"/>
    <s v="Melis Maurizio"/>
    <s v="via Stoccolma 4"/>
    <s v="09028"/>
    <x v="3"/>
    <x v="0"/>
  </r>
  <r>
    <s v="DSD121066"/>
    <d v="2023-10-18T00:00:00"/>
    <s v="330241513:0830378851"/>
    <s v="WC 9638"/>
    <s v="560021944"/>
    <s v="HNXD"/>
    <s v="UPS"/>
    <s v="1Z1V47910445660095"/>
    <s v="GIACOMAZZI GIOVANNI"/>
    <s v="GIACOMAZZI GIOVANNI"/>
    <s v="37062"/>
    <x v="3"/>
    <x v="2"/>
  </r>
  <r>
    <s v="DSD121104"/>
    <d v="2023-10-18T00:00:00"/>
    <s v="330241523:0830378853"/>
    <s v="fm elettronica"/>
    <s v="560021976"/>
    <s v="HNXD"/>
    <s v="UPS"/>
    <s v="1Z1V47910444668311"/>
    <s v="GIACOMAZZI GIOVANNI"/>
    <s v="VIA SAN LUCA ,29"/>
    <s v="37062"/>
    <x v="3"/>
    <x v="2"/>
  </r>
  <r>
    <s v="DSD121140"/>
    <d v="2023-10-18T00:00:00"/>
    <s v="330219199:0830379638"/>
    <s v="23000347"/>
    <s v="7670014388"/>
    <s v="HNXD"/>
    <s v="UPS"/>
    <s v="1Z1V47910444143922"/>
    <s v="HD KLIMAATSYSTEMEN"/>
    <s v="CARNEOOL 400"/>
    <s v="3316 KC"/>
    <x v="2"/>
    <x v="2"/>
  </r>
  <r>
    <s v="DSD121184"/>
    <d v="2023-10-18T00:00:00"/>
    <s v="330242315:0830379822"/>
    <s v="5090841"/>
    <s v="560021839"/>
    <s v="HNXD"/>
    <s v="UPS"/>
    <s v="1Z1V47910443400539"/>
    <s v="AIRSISTEM IMPIANTI S"/>
    <s v="VIA LUIGI CARRER ,12"/>
    <s v="00139"/>
    <x v="3"/>
    <x v="2"/>
  </r>
  <r>
    <s v="DSD121196"/>
    <d v="2023-10-18T00:00:00"/>
    <s v="330242313:0830379833"/>
    <s v="WC 9733"/>
    <s v="560021945"/>
    <s v="HNXD"/>
    <s v="UPS"/>
    <s v="1Z1V47910444538149"/>
    <s v="MORA CESARE SRL"/>
    <s v="MORA CESARE SRL"/>
    <s v="25047"/>
    <x v="3"/>
    <x v="2"/>
  </r>
  <r>
    <s v="DSD121262"/>
    <d v="2023-10-19T00:00:00"/>
    <s v="330242387:0830380275"/>
    <s v="161786"/>
    <s v="510146580"/>
    <s v="HNXD"/>
    <s v="TNT"/>
    <s v="607252362"/>
    <s v="EIRL HAVIN REMY"/>
    <s v="32 RUE DU 8 MARS 184"/>
    <s v="14270"/>
    <x v="0"/>
    <x v="2"/>
  </r>
  <r>
    <s v="DSD121264"/>
    <d v="2023-10-19T00:00:00"/>
    <s v="330242433:0830380302"/>
    <s v="CF103849"/>
    <s v="510146530"/>
    <s v="HSTD"/>
    <s v="TNT"/>
    <s v="607252376"/>
    <s v="BE CLIM"/>
    <s v="224 AVENUE JEAN MERM"/>
    <s v="63100"/>
    <x v="0"/>
    <x v="2"/>
  </r>
  <r>
    <s v="DSD121266"/>
    <d v="2023-10-19T00:00:00"/>
    <s v="330242416:0830380293"/>
    <s v="SOL2310FBC008885-"/>
    <s v="510146358"/>
    <s v="HNXD"/>
    <s v="TNT"/>
    <s v="607252380"/>
    <s v="SARL DES ETS CAZES"/>
    <s v="8 RUE PARMENTIER"/>
    <s v="66350"/>
    <x v="0"/>
    <x v="0"/>
  </r>
  <r>
    <s v="DSD121268"/>
    <d v="2023-10-19T00:00:00"/>
    <s v="330242410:0830380291"/>
    <s v="bc15910-ar38812"/>
    <s v="510146605"/>
    <s v="HNXD"/>
    <s v="TNT"/>
    <s v="607252393"/>
    <s v="NCEN"/>
    <s v="36 RUE DES VICTOIRES"/>
    <s v="76190"/>
    <x v="0"/>
    <x v="2"/>
  </r>
  <r>
    <s v="DSD121270"/>
    <d v="2023-10-19T00:00:00"/>
    <s v="330242373:0830380414"/>
    <s v="bc15911-ar38766"/>
    <s v="510146606"/>
    <s v="HNXD"/>
    <s v="TNT"/>
    <s v="607252402"/>
    <s v="SARL KEVIN CLIM"/>
    <s v="32 BIS CHEMIN DE LA"/>
    <s v="14700"/>
    <x v="0"/>
    <x v="2"/>
  </r>
  <r>
    <s v="DSD121272"/>
    <d v="2023-10-19T00:00:00"/>
    <s v="330242385:0830380273"/>
    <s v="CA2310060"/>
    <s v="510146476"/>
    <s v="HSTD"/>
    <s v="TNT"/>
    <s v="607252416"/>
    <s v="ANQUETIL"/>
    <s v="9 CHEMIN DE SAINT TH"/>
    <s v="51370"/>
    <x v="0"/>
    <x v="2"/>
  </r>
  <r>
    <s v="DSD121274"/>
    <d v="2023-10-19T00:00:00"/>
    <s v="330242403:0830380285"/>
    <s v="Commande VCF N°"/>
    <s v="510146666"/>
    <s v="HNXD"/>
    <s v="TNT"/>
    <s v="607252420"/>
    <s v="VCF"/>
    <s v="8 RUE JACQUES MONOD"/>
    <s v="26700"/>
    <x v="0"/>
    <x v="2"/>
  </r>
  <r>
    <s v="DSD121276"/>
    <d v="2023-10-19T00:00:00"/>
    <s v="330242423:0830380297"/>
    <s v="AVENIR ENERGIES"/>
    <s v="510146395"/>
    <s v="HNXD"/>
    <s v="TNT"/>
    <s v="607252433"/>
    <s v="C-CLIM"/>
    <s v="RUE DE DION BOUTON"/>
    <s v="26200"/>
    <x v="0"/>
    <x v="2"/>
  </r>
  <r>
    <s v="DSD121278"/>
    <d v="2023-10-19T00:00:00"/>
    <s v="330242438:0830380305"/>
    <s v="500062"/>
    <s v="510146571"/>
    <s v="HNXD"/>
    <s v="TNT"/>
    <s v="607252570"/>
    <s v="BC AUVERGNE"/>
    <s v="1746 RTE DE CHATEAU"/>
    <s v="58000"/>
    <x v="0"/>
    <x v="0"/>
  </r>
  <r>
    <s v="DSD121280"/>
    <d v="2023-10-19T00:00:00"/>
    <s v="330242406:0830380288"/>
    <s v="SOL2310FBC009005-"/>
    <s v="510146698"/>
    <s v="HNXD"/>
    <s v="TNT"/>
    <s v="607252447"/>
    <s v="SOLIPAC TOULOUSE THI"/>
    <s v="39 AV JEAN FRANCOIS"/>
    <s v="31100"/>
    <x v="0"/>
    <x v="2"/>
  </r>
  <r>
    <s v="DSD121282"/>
    <d v="2023-10-19T00:00:00"/>
    <s v="330242442:0830380308"/>
    <s v="AVLHO-CF23091666"/>
    <s v="510146595"/>
    <s v="HSTD"/>
    <s v="TNT"/>
    <s v="607252455"/>
    <s v="SAS ANVOLIA"/>
    <s v="26 avenue Ferdinand"/>
    <s v="33610"/>
    <x v="0"/>
    <x v="2"/>
  </r>
  <r>
    <s v="DSD121284"/>
    <d v="2023-10-19T00:00:00"/>
    <s v="330242399:0830380281"/>
    <s v="00100408-SAV LE G"/>
    <s v="510146637"/>
    <s v="HNXD"/>
    <s v="TNT"/>
    <s v="607252464"/>
    <s v="H2C FREJUS"/>
    <s v="545 AVENUE DES LIONS"/>
    <s v="83600"/>
    <x v="0"/>
    <x v="0"/>
  </r>
  <r>
    <s v="DSD121286"/>
    <d v="2023-10-19T00:00:00"/>
    <s v="330242395:0830380279"/>
    <s v="WC-Coudreau"/>
    <s v="510146751"/>
    <s v="HNXD"/>
    <s v="TNT"/>
    <s v="607252478"/>
    <s v="Sols Solutions"/>
    <s v="15 rue de Chatenay"/>
    <s v="37210"/>
    <x v="0"/>
    <x v="0"/>
  </r>
  <r>
    <s v="DSD121288"/>
    <d v="2023-10-19T00:00:00"/>
    <s v="330242429:0830380300"/>
    <s v="CDC127995 E0106 S"/>
    <s v="510146543"/>
    <s v="HSTD"/>
    <s v="TNT"/>
    <s v="607252481"/>
    <s v="ENGIE ENERGIE SERVIC"/>
    <s v="BLD YVES DU MANOIR"/>
    <s v="40100"/>
    <x v="0"/>
    <x v="0"/>
  </r>
  <r>
    <s v="DSD121290"/>
    <d v="2023-10-19T00:00:00"/>
    <s v="330242427:0830380428"/>
    <s v="161613"/>
    <s v="510146470"/>
    <s v="HSTD"/>
    <s v="TNT"/>
    <s v="607252495"/>
    <s v="ATLAS CLIM"/>
    <s v="HICHAM AZOUGAGH"/>
    <s v="49000"/>
    <x v="0"/>
    <x v="0"/>
  </r>
  <r>
    <s v="DSD121292"/>
    <d v="2023-10-19T00:00:00"/>
    <s v="330242443:0830380309"/>
    <s v="SOL2310FBC008962-"/>
    <s v="510146597"/>
    <s v="HNXD"/>
    <s v="TNT"/>
    <s v="607252504"/>
    <s v="THIERRY STIGNANI"/>
    <s v="36 CHEMIN DE LA BOUS"/>
    <s v="81300"/>
    <x v="0"/>
    <x v="2"/>
  </r>
  <r>
    <s v="DSD121294"/>
    <d v="2023-10-19T00:00:00"/>
    <s v="330242301:0830379708"/>
    <s v="WC-Belanger"/>
    <s v="510146739"/>
    <s v="HNXD"/>
    <s v="TNT"/>
    <s v="607252518"/>
    <s v="Armiar PARIS"/>
    <s v="2 rue remy Lambert"/>
    <s v="72540"/>
    <x v="0"/>
    <x v="2"/>
  </r>
  <r>
    <s v="DSD121296"/>
    <d v="2023-10-19T00:00:00"/>
    <s v="330242393:0830380278"/>
    <s v="WC-BELANGER"/>
    <s v="510146747"/>
    <s v="HNXD"/>
    <s v="TNT"/>
    <s v="607252521"/>
    <s v="Le Comptoir CVC"/>
    <s v="14bis boulevard Ren"/>
    <s v="72000"/>
    <x v="0"/>
    <x v="2"/>
  </r>
  <r>
    <s v="DSD121300"/>
    <d v="2023-10-19T00:00:00"/>
    <s v="330242389:0830380276"/>
    <s v="WC-CHARTIER"/>
    <s v="510146746"/>
    <s v="HNXD"/>
    <s v="TNT"/>
    <s v="607252535"/>
    <s v="ABF Chauffage Ouest"/>
    <s v=",3 impasse Remy"/>
    <s v="44260"/>
    <x v="0"/>
    <x v="2"/>
  </r>
  <r>
    <s v="DSD121302"/>
    <d v="2023-10-19T00:00:00"/>
    <s v="330242398:0830380421"/>
    <s v="WC-PALAIS BELVEDE"/>
    <s v="510146755"/>
    <s v="HNXD"/>
    <s v="TNT"/>
    <s v="607252549"/>
    <s v="HAC HITACHI"/>
    <s v="ZI DE L ARGILE VOIE"/>
    <s v="06370"/>
    <x v="0"/>
    <x v="0"/>
  </r>
  <r>
    <s v="DSD121304"/>
    <d v="2023-10-19T00:00:00"/>
    <s v="330242397:0830380280"/>
    <s v="WC-Melle DELEAGE"/>
    <s v="510146754"/>
    <s v="HNXD"/>
    <s v="TNT"/>
    <s v="607252552"/>
    <s v="CHAREL FRANCK"/>
    <s v="170 RUE DE LA FERME"/>
    <s v="07320"/>
    <x v="0"/>
    <x v="2"/>
  </r>
  <r>
    <s v="DSD121306"/>
    <d v="2023-10-19T00:00:00"/>
    <s v="330242304:0830379711"/>
    <s v="WC-MR DEPARDIEU"/>
    <s v="510146731"/>
    <s v="HNXD"/>
    <s v="TNT"/>
    <s v="607252566"/>
    <s v="CNR"/>
    <s v="185 AVENUE D'ARGENTO"/>
    <s v="36000"/>
    <x v="0"/>
    <x v="2"/>
  </r>
  <r>
    <s v="DSD121310"/>
    <d v="2023-10-19T00:00:00"/>
    <s v="330242426:0830380299"/>
    <s v="TTEC MONTELIMAR"/>
    <s v="510146400"/>
    <s v="HNXD"/>
    <s v="TNT"/>
    <s v="607252583"/>
    <s v="C-CLIM"/>
    <s v="RUE DE DION BOUTON"/>
    <s v="26200"/>
    <x v="0"/>
    <x v="0"/>
  </r>
  <r>
    <s v="DSD121312"/>
    <d v="2023-10-19T00:00:00"/>
    <s v="330242432:0830380430"/>
    <s v="CDC127928 E0050 S"/>
    <s v="510146535"/>
    <s v="HSTD"/>
    <s v="TNT"/>
    <s v="607253460"/>
    <s v="ENGIE"/>
    <s v="275 rue du stade"/>
    <s v="79180"/>
    <x v="0"/>
    <x v="2"/>
  </r>
  <r>
    <s v="DSD121314"/>
    <d v="2023-10-19T00:00:00"/>
    <s v="330242418:0830380426"/>
    <s v="SOL2310FBC008890-"/>
    <s v="510146367"/>
    <s v="HNXD"/>
    <s v="TNT"/>
    <s v="607252606"/>
    <s v="IBC ENR"/>
    <s v="380 RUE D ARLES"/>
    <s v="30127"/>
    <x v="0"/>
    <x v="2"/>
  </r>
  <r>
    <s v="DSD121316"/>
    <d v="2023-10-19T00:00:00"/>
    <s v="330242437:0830380304"/>
    <s v="500064"/>
    <s v="510146570"/>
    <s v="HSTD"/>
    <s v="TNT"/>
    <s v="607252610"/>
    <s v="CERT"/>
    <s v="11 RUE DE LA CROIX D"/>
    <s v="58200"/>
    <x v="0"/>
    <x v="0"/>
  </r>
  <r>
    <s v="DSD121318"/>
    <d v="2023-10-19T00:00:00"/>
    <s v="330242411:0830380422"/>
    <s v="22866548"/>
    <s v="510146799"/>
    <s v="HNXD"/>
    <s v="TNT"/>
    <s v="607253544"/>
    <s v="COFELY AXIMA"/>
    <s v="SITE EUROTUNNEL, BAT"/>
    <s v="62231"/>
    <x v="0"/>
    <x v="0"/>
  </r>
  <r>
    <s v="DSD121320"/>
    <d v="2023-10-19T00:00:00"/>
    <s v="330239436:0830377182"/>
    <s v="OF 757"/>
    <s v="560021767"/>
    <s v="HSTD"/>
    <s v="TNT"/>
    <s v="607252623"/>
    <s v="CARMELLINI S.R.L."/>
    <s v="VIA MARCELLO MALPIG"/>
    <s v="48018"/>
    <x v="3"/>
    <x v="0"/>
  </r>
  <r>
    <s v="DSD121322"/>
    <d v="2023-10-19T00:00:00"/>
    <s v="330242414:0830380425"/>
    <s v="SOL2310FBC008851-"/>
    <s v="510146315"/>
    <s v="HNXD"/>
    <s v="TNT"/>
    <s v="607252637"/>
    <s v="CLIMAX SAV"/>
    <s v="4 RUE PAUL ROCACHE"/>
    <s v="31100"/>
    <x v="0"/>
    <x v="2"/>
  </r>
  <r>
    <s v="DSD121324"/>
    <d v="2023-10-19T00:00:00"/>
    <s v="330242392:0830380419"/>
    <s v="WC-MARZIN"/>
    <s v="510146749"/>
    <s v="HNXD"/>
    <s v="TNT"/>
    <s v="607252645"/>
    <s v="ID Energie"/>
    <s v="15 route de la briqu"/>
    <s v="50700"/>
    <x v="0"/>
    <x v="2"/>
  </r>
  <r>
    <s v="DSD121326"/>
    <d v="2023-10-19T00:00:00"/>
    <s v="330242396:0830380420"/>
    <s v="WC-VIGNAUD"/>
    <s v="510146753"/>
    <s v="HNXD"/>
    <s v="TNT"/>
    <s v="607252654"/>
    <s v="RVT SANITHERMIE"/>
    <s v="2 RUE DELAROCHE"/>
    <s v="37100"/>
    <x v="0"/>
    <x v="2"/>
  </r>
  <r>
    <s v="DSD121328"/>
    <d v="2023-10-19T00:00:00"/>
    <s v="330242382:0830380270"/>
    <s v="23098213 - GAY"/>
    <s v="510146625"/>
    <s v="HSTD"/>
    <s v="TNT"/>
    <s v="607252668"/>
    <s v="CLIM ASSISTANCE SERV"/>
    <s v="575 RUE DE LA FARNIE"/>
    <s v="69400"/>
    <x v="0"/>
    <x v="2"/>
  </r>
  <r>
    <s v="DSD121330"/>
    <d v="2023-10-19T00:00:00"/>
    <s v="330243018:0830381351"/>
    <s v="PEYRE - COSTEMALE"/>
    <s v="510146800"/>
    <s v="HNXD"/>
    <s v="TNT"/>
    <s v="607252671"/>
    <s v="PROJET-CLIM 31"/>
    <s v="235 VOIE TRIPODI"/>
    <s v="06600"/>
    <x v="0"/>
    <x v="2"/>
  </r>
  <r>
    <s v="DSD121332"/>
    <d v="2023-10-19T00:00:00"/>
    <s v="330242376:0830380266"/>
    <s v="C2309261 EQUANS B"/>
    <s v="510146678"/>
    <s v="HSTD"/>
    <s v="TNT"/>
    <s v="607252685"/>
    <s v="CLIMSYSTEM"/>
    <s v="5 RUE COURTOIS"/>
    <s v="92320"/>
    <x v="0"/>
    <x v="0"/>
  </r>
  <r>
    <s v="DSD121334"/>
    <d v="2023-10-19T00:00:00"/>
    <s v="330242388:0830380418"/>
    <s v="WC-LAMY"/>
    <s v="510146745"/>
    <s v="HNXD"/>
    <s v="TNT"/>
    <s v="607252699"/>
    <s v="SARL SPAD49"/>
    <s v="57 impasse du carref"/>
    <s v="49400"/>
    <x v="0"/>
    <x v="2"/>
  </r>
  <r>
    <s v="DSD121336"/>
    <d v="2023-10-19T00:00:00"/>
    <s v="330243041:0830381367"/>
    <s v="U230009249"/>
    <s v="510146869"/>
    <s v="HNXD"/>
    <s v="TNT"/>
    <s v="607252708"/>
    <s v="RICHARDEAU"/>
    <s v="4 RUE GERTRUDE BELLE"/>
    <s v="44400"/>
    <x v="0"/>
    <x v="2"/>
  </r>
  <r>
    <s v="DSD121338"/>
    <d v="2023-10-19T00:00:00"/>
    <s v="330242380:0830380417"/>
    <s v="SOL2310FBC008971-"/>
    <s v="510146616"/>
    <s v="HNXD"/>
    <s v="TNT"/>
    <s v="607252711"/>
    <s v="INSTAL EAUSUD"/>
    <s v="8 TER ROUTE DE BEAUL"/>
    <s v="34160"/>
    <x v="0"/>
    <x v="2"/>
  </r>
  <r>
    <s v="DSD121340"/>
    <d v="2023-10-19T00:00:00"/>
    <s v="330243015:0830381348"/>
    <s v="WC BRUNET"/>
    <s v="510146807"/>
    <s v="HNXD"/>
    <s v="TNT"/>
    <s v="607252725"/>
    <s v="VIGNAL ENERGIE"/>
    <s v="2 AVENUE DENIS PAPIN"/>
    <s v="26250"/>
    <x v="0"/>
    <x v="2"/>
  </r>
  <r>
    <s v="DSD121342"/>
    <d v="2023-10-19T00:00:00"/>
    <s v="330242401:0830380283"/>
    <s v="ENGIE IP MORGUE"/>
    <s v="510146644"/>
    <s v="HSTD"/>
    <s v="TNT"/>
    <s v="607252739"/>
    <s v="ESPACES 3"/>
    <s v="35 CHEMIN DE CHIRADI"/>
    <s v="69530"/>
    <x v="0"/>
    <x v="2"/>
  </r>
  <r>
    <s v="DSD121344"/>
    <d v="2023-10-19T00:00:00"/>
    <s v="330243000:0830381336"/>
    <s v="WC Pompe funebre"/>
    <s v="510146858"/>
    <s v="HNXD"/>
    <s v="TNT"/>
    <s v="607252742"/>
    <s v="SARL LALIN"/>
    <s v="PARC D ACTIVITE PLEI"/>
    <s v="52000"/>
    <x v="0"/>
    <x v="2"/>
  </r>
  <r>
    <s v="DSD121346"/>
    <d v="2023-10-19T00:00:00"/>
    <s v="330242985:0830381326"/>
    <s v="161852"/>
    <s v="510146838"/>
    <s v="HNXD"/>
    <s v="TNT"/>
    <s v="607252756"/>
    <s v="caigne gerard"/>
    <s v="6163 chemin de ceser"/>
    <s v="30490"/>
    <x v="0"/>
    <x v="0"/>
  </r>
  <r>
    <s v="DSD121348"/>
    <d v="2023-10-19T00:00:00"/>
    <s v="330242422:0830380427"/>
    <s v="SOL2310FBC008898-"/>
    <s v="510146392"/>
    <s v="HNXD"/>
    <s v="TNT"/>
    <s v="607252760"/>
    <s v="ART FROID"/>
    <s v="LIEU DIT BORDE HAUTE"/>
    <s v="81500"/>
    <x v="0"/>
    <x v="2"/>
  </r>
  <r>
    <s v="DSD121350"/>
    <d v="2023-10-19T00:00:00"/>
    <s v="330243005:0830381340"/>
    <s v="CDC128202 L0030 S"/>
    <s v="510146822"/>
    <s v="HNXD"/>
    <s v="TNT"/>
    <s v="607252773"/>
    <s v="BENAT LAHIRIGOYEN"/>
    <s v="MEDIKUENIA"/>
    <s v="64780"/>
    <x v="0"/>
    <x v="0"/>
  </r>
  <r>
    <s v="DSD121352"/>
    <d v="2023-10-19T00:00:00"/>
    <s v="330243069:0830381386"/>
    <s v="161690"/>
    <s v="510146499"/>
    <s v="HNXD"/>
    <s v="TNT"/>
    <s v="607252787"/>
    <s v="LEJEUNE MICKAEL"/>
    <s v="117 RUE DES ARCHES"/>
    <s v="02270"/>
    <x v="0"/>
    <x v="2"/>
  </r>
  <r>
    <s v="DSD121354"/>
    <d v="2023-10-19T00:00:00"/>
    <s v="330242983:0830381324"/>
    <s v="22901069"/>
    <s v="510146841"/>
    <s v="HNXD"/>
    <s v="TNT"/>
    <s v="607252795"/>
    <s v="SITE ORANO POUR ENGI"/>
    <s v="ROUTE DE MOUSSAN"/>
    <s v="11100"/>
    <x v="0"/>
    <x v="2"/>
  </r>
  <r>
    <s v="DSD121356"/>
    <d v="2023-10-19T00:00:00"/>
    <s v="330243036:0830381365"/>
    <s v="CDC128296 EB0006"/>
    <s v="510146914"/>
    <s v="HNXD"/>
    <s v="TNT"/>
    <s v="607252800"/>
    <s v="ECOELEC SYSTEM AQUIT"/>
    <s v="11 ALLEE DES VERGERS"/>
    <s v="33370"/>
    <x v="0"/>
    <x v="2"/>
  </r>
  <r>
    <s v="DSD121358"/>
    <d v="2023-10-19T00:00:00"/>
    <s v="330243067:0830381384"/>
    <s v="161692"/>
    <s v="510146503"/>
    <s v="HNXD"/>
    <s v="TNT"/>
    <s v="607252813"/>
    <s v="DENIS ERIC"/>
    <s v="9 RUE DE LA FONTENEL"/>
    <s v="95450"/>
    <x v="0"/>
    <x v="2"/>
  </r>
  <r>
    <s v="DSD121360"/>
    <d v="2023-10-19T00:00:00"/>
    <s v="330243065:0830381382"/>
    <s v="00100395-SAV FILT"/>
    <s v="510146603"/>
    <s v="HNXD"/>
    <s v="TNT"/>
    <s v="607252827"/>
    <s v="ATOLL CLIM SERVICES"/>
    <s v="31 ANCIEN CHE DES BE"/>
    <s v="83460"/>
    <x v="0"/>
    <x v="0"/>
  </r>
  <r>
    <s v="DSD121362"/>
    <d v="2023-10-19T00:00:00"/>
    <s v="330243039:0830381366"/>
    <s v="SOL2310FBC009088-"/>
    <s v="510146911"/>
    <s v="HNXD"/>
    <s v="TNT"/>
    <s v="607252835"/>
    <s v="ADEXPRESS EURL"/>
    <s v="14 RUE FRANCOIS THER"/>
    <s v="81990"/>
    <x v="0"/>
    <x v="2"/>
  </r>
  <r>
    <s v="DSD121364"/>
    <d v="2023-10-19T00:00:00"/>
    <s v="330243014:0830381347"/>
    <s v="C2310098 HYD 44BC"/>
    <s v="510146811"/>
    <s v="HNXD"/>
    <s v="TNT"/>
    <s v="607252844"/>
    <s v="PARTEDIS"/>
    <s v="183 AV DU 8 MAI 1945"/>
    <s v="86000"/>
    <x v="0"/>
    <x v="2"/>
  </r>
  <r>
    <s v="DSD121366"/>
    <d v="2023-10-19T00:00:00"/>
    <s v="330243006:0830381341"/>
    <s v="CF103859"/>
    <s v="510146821"/>
    <s v="HSTD"/>
    <s v="TNT"/>
    <s v="607252858"/>
    <s v="BE CLIM"/>
    <s v="224 AVENUE JEAN MERM"/>
    <s v="63100"/>
    <x v="0"/>
    <x v="2"/>
  </r>
  <r>
    <s v="DSD121368"/>
    <d v="2023-10-19T00:00:00"/>
    <s v="330243025:0830381358"/>
    <s v="CDC128257 DIVPG S"/>
    <s v="510146872"/>
    <s v="HNXD"/>
    <s v="TNT"/>
    <s v="607252861"/>
    <s v="CEGECLIM"/>
    <s v="84 Rue des Alouettes"/>
    <s v="40990"/>
    <x v="0"/>
    <x v="2"/>
  </r>
  <r>
    <s v="DSD121370"/>
    <d v="2023-10-19T00:00:00"/>
    <s v="330243027:0830381360"/>
    <s v="CF103861"/>
    <s v="510146919"/>
    <s v="HNXD"/>
    <s v="TNT"/>
    <s v="607252875"/>
    <s v="BE CLIM"/>
    <s v="224 AVENUE JEAN MERM"/>
    <s v="63100"/>
    <x v="0"/>
    <x v="2"/>
  </r>
  <r>
    <s v="DSD121372"/>
    <d v="2023-10-19T00:00:00"/>
    <s v="330243026:0830381359"/>
    <s v="ACMR - RAW-35NHB"/>
    <s v="510146871"/>
    <s v="HNXD"/>
    <s v="TNT"/>
    <s v="607252889"/>
    <s v="BO2"/>
    <s v="1 rue Gabriel Lippma"/>
    <s v="71100"/>
    <x v="0"/>
    <x v="2"/>
  </r>
  <r>
    <s v="DSD121374"/>
    <d v="2023-10-19T00:00:00"/>
    <s v="330242990:0830381331"/>
    <s v="Bigland"/>
    <s v="510146831"/>
    <s v="HNXD"/>
    <s v="TNT"/>
    <s v="607252892"/>
    <s v="MURE Energies"/>
    <s v="41 ROUTE DE LA LIBER"/>
    <s v="69110"/>
    <x v="0"/>
    <x v="2"/>
  </r>
  <r>
    <s v="DSD121376"/>
    <d v="2023-10-19T00:00:00"/>
    <s v="330242988:0830381329"/>
    <s v="SOL2310FBC009068-"/>
    <s v="510146834"/>
    <s v="HNXD"/>
    <s v="TNT"/>
    <s v="607252901"/>
    <s v="MME DE GRAEVE SUZANN"/>
    <s v="6 RUE DE CHATEAU"/>
    <s v="02820"/>
    <x v="0"/>
    <x v="2"/>
  </r>
  <r>
    <s v="DSD121384"/>
    <d v="2023-10-19T00:00:00"/>
    <s v="330242404:0830380286"/>
    <s v="2310003"/>
    <s v="510146690"/>
    <s v="HSTD"/>
    <s v="TNT"/>
    <s v="607252915"/>
    <s v="COUVRET SANDRA"/>
    <s v="6 RUE DES SAVEURS"/>
    <s v="59180"/>
    <x v="0"/>
    <x v="2"/>
  </r>
  <r>
    <s v="DSD121386"/>
    <d v="2023-10-19T00:00:00"/>
    <s v="330243101:0830381404"/>
    <s v="CDC127419 MB0073"/>
    <s v="510146076"/>
    <s v="HNXD"/>
    <s v="TNT"/>
    <s v="607252929"/>
    <s v="CEGECLIM"/>
    <s v="17 RUE LA PLACE"/>
    <s v="33700"/>
    <x v="0"/>
    <x v="2"/>
  </r>
  <r>
    <s v="DSD121388"/>
    <d v="2023-10-19T00:00:00"/>
    <s v="330242987:0830381328"/>
    <s v="CDC128225 D0025 S"/>
    <s v="510146835"/>
    <s v="HNXD"/>
    <s v="TNT"/>
    <s v="607252932"/>
    <s v="DOYHARCABAL Pascal"/>
    <s v="200 ZUBIZABALETAKO"/>
    <s v="64250"/>
    <x v="0"/>
    <x v="0"/>
  </r>
  <r>
    <s v="DSD121390"/>
    <d v="2023-10-19T00:00:00"/>
    <s v="330243043:0830381368"/>
    <s v="WC DELPECH"/>
    <s v="510146881"/>
    <s v="HNXD"/>
    <s v="TNT"/>
    <s v="607252946"/>
    <s v="ETS Delpech"/>
    <s v="112 CHEMIN BELLE CRO"/>
    <s v="46000"/>
    <x v="0"/>
    <x v="2"/>
  </r>
  <r>
    <s v="DSD121392"/>
    <d v="2023-10-19T00:00:00"/>
    <s v="330243056:0830381378"/>
    <s v="WC LM"/>
    <s v="510146895"/>
    <s v="HNXD"/>
    <s v="TNT"/>
    <s v="607252950"/>
    <s v="C CLIM"/>
    <s v="115 RUE DES ALLIES"/>
    <s v="38000"/>
    <x v="0"/>
    <x v="0"/>
  </r>
  <r>
    <s v="DSD121394"/>
    <d v="2023-10-19T00:00:00"/>
    <s v="330242997:0830381433"/>
    <s v="WC DESPOR"/>
    <s v="510146862"/>
    <s v="HNXD"/>
    <s v="TNT"/>
    <s v="607252963"/>
    <s v="ECONERGY SUD OUEST"/>
    <s v="Lieu dit la Taillade"/>
    <s v="46700"/>
    <x v="0"/>
    <x v="0"/>
  </r>
  <r>
    <s v="DSD121396"/>
    <d v="2023-10-19T00:00:00"/>
    <s v="330243019:0830381352"/>
    <s v="IF RAK50RXB"/>
    <s v="510146809"/>
    <s v="HNXD"/>
    <s v="TNT"/>
    <s v="607252977"/>
    <s v="BO2"/>
    <s v="16 RUE VICTOR GRIGNA"/>
    <s v="42000"/>
    <x v="0"/>
    <x v="2"/>
  </r>
  <r>
    <s v="DSD121398"/>
    <d v="2023-10-19T00:00:00"/>
    <s v="330243016:0830381349"/>
    <s v="PR230417"/>
    <s v="510146806"/>
    <s v="HNXD"/>
    <s v="TNT"/>
    <s v="607252985"/>
    <s v="CERFIC FROID"/>
    <s v="83 IMPASSE DES BARRI"/>
    <s v="69400"/>
    <x v="0"/>
    <x v="2"/>
  </r>
  <r>
    <s v="DSD121400"/>
    <d v="2023-10-19T00:00:00"/>
    <s v="330242992:0830381332"/>
    <s v="CHAUVEAU"/>
    <s v="510146703"/>
    <s v="HNXD"/>
    <s v="TNT"/>
    <s v="607252994"/>
    <s v="CNR"/>
    <s v="185 AVENUE D'ARGENTO"/>
    <s v="36000"/>
    <x v="0"/>
    <x v="2"/>
  </r>
  <r>
    <s v="DSD121402"/>
    <d v="2023-10-19T00:00:00"/>
    <s v="330243012:0830381345"/>
    <s v="CDC128191 E0094 S"/>
    <s v="510146814"/>
    <s v="HNXD"/>
    <s v="TNT"/>
    <s v="607253005"/>
    <s v="ENGIE HOME SERVICES"/>
    <s v="23 AVENUE DES MONDAU"/>
    <s v="33270"/>
    <x v="0"/>
    <x v="2"/>
  </r>
  <r>
    <s v="DSD121404"/>
    <d v="2023-10-19T00:00:00"/>
    <s v="330243044:0830381369"/>
    <s v="CIF"/>
    <s v="510146880"/>
    <s v="HNXD"/>
    <s v="TNT"/>
    <s v="607253028"/>
    <s v="C2 ENERGIE"/>
    <s v="7 AVENUE DE LA RESIS"/>
    <s v="33310"/>
    <x v="0"/>
    <x v="2"/>
  </r>
  <r>
    <s v="DSD121406"/>
    <d v="2023-10-19T00:00:00"/>
    <s v="330243007:0830381342"/>
    <s v="THIEBAUD LOGIE"/>
    <s v="510146820"/>
    <s v="HNXD"/>
    <s v="TNT"/>
    <s v="607253014"/>
    <s v="CNR"/>
    <s v="185 AVENUE D ARGENTO"/>
    <s v="36000"/>
    <x v="0"/>
    <x v="2"/>
  </r>
  <r>
    <s v="DSD121408"/>
    <d v="2023-10-19T00:00:00"/>
    <s v="330243045:0830381370"/>
    <s v="24100093 - SAV PA"/>
    <s v="510146879"/>
    <s v="HNXD"/>
    <s v="TNT"/>
    <s v="607253031"/>
    <s v="STE AIR FROID"/>
    <s v="ZAC MERMOZ"/>
    <s v="33320"/>
    <x v="0"/>
    <x v="2"/>
  </r>
  <r>
    <s v="DSD121410"/>
    <d v="2023-10-19T00:00:00"/>
    <s v="330243034:0830381363"/>
    <s v="CDC128288 S0103 S"/>
    <s v="510146909"/>
    <s v="HNXD"/>
    <s v="TNT"/>
    <s v="607253045"/>
    <s v="SAMORA &amp; MITCH ELEC"/>
    <s v="51 rue de l Industri"/>
    <s v="64700"/>
    <x v="0"/>
    <x v="0"/>
  </r>
  <r>
    <s v="DSD121412"/>
    <d v="2023-10-19T00:00:00"/>
    <s v="330243091:0830381397"/>
    <s v="8068P - TECMAT SE"/>
    <s v="510146633"/>
    <s v="HNXD"/>
    <s v="TNT"/>
    <s v="607253059"/>
    <s v="C V T I"/>
    <s v="3 RUE JULES VERNE"/>
    <s v="69630"/>
    <x v="0"/>
    <x v="2"/>
  </r>
  <r>
    <s v="DSD121414"/>
    <d v="2023-10-19T00:00:00"/>
    <s v="330243017:0830381350"/>
    <s v="WC BADOIL"/>
    <s v="510146805"/>
    <s v="HNXD"/>
    <s v="TNT"/>
    <s v="607253062"/>
    <s v="CLIM PAC ECO ENERGIE"/>
    <s v="2 IMPASSE THOMAS EDI"/>
    <s v="26250"/>
    <x v="0"/>
    <x v="2"/>
  </r>
  <r>
    <s v="DSD121416"/>
    <d v="2023-10-19T00:00:00"/>
    <s v="330243102:0830381405"/>
    <s v="CDC127417 MB0001"/>
    <s v="510146074"/>
    <s v="HNXD"/>
    <s v="TNT"/>
    <s v="607253076"/>
    <s v="MOULINIE"/>
    <s v="Le Petit Bijou"/>
    <s v="47600"/>
    <x v="0"/>
    <x v="2"/>
  </r>
  <r>
    <s v="DSD121418"/>
    <d v="2023-10-19T00:00:00"/>
    <s v="330243046:0830381371"/>
    <s v="00100490-8066"/>
    <s v="510146876"/>
    <s v="HNXD"/>
    <s v="TNT"/>
    <s v="607253080"/>
    <s v="H2C HAC HITACHI"/>
    <s v="58 AVENUE LEON BLUM"/>
    <s v="59370"/>
    <x v="0"/>
    <x v="2"/>
  </r>
  <r>
    <s v="DSD121420"/>
    <d v="2023-10-19T00:00:00"/>
    <s v="330243053:0830381375"/>
    <s v="WC-SAV3"/>
    <s v="510146898"/>
    <s v="HNXD"/>
    <s v="TNT"/>
    <s v="607253093"/>
    <s v="Comptoir CVC"/>
    <s v="33 rue du bois brian"/>
    <s v="44300"/>
    <x v="0"/>
    <x v="2"/>
  </r>
  <r>
    <s v="DSD121422"/>
    <d v="2023-10-19T00:00:00"/>
    <s v="330243086:0830381396"/>
    <s v="SOL2310FBC008980-"/>
    <s v="510146654"/>
    <s v="HNXD"/>
    <s v="TNT"/>
    <s v="607253102"/>
    <s v="MARTIN FREDERIC SARL"/>
    <s v="31 RUE DE LA CONVENT"/>
    <s v="38200"/>
    <x v="0"/>
    <x v="2"/>
  </r>
  <r>
    <s v="DSD121424"/>
    <d v="2023-10-19T00:00:00"/>
    <s v="330243022:0830381355"/>
    <s v="BRUN LOC"/>
    <s v="510146844"/>
    <s v="HNXD"/>
    <s v="TNT"/>
    <s v="607253116"/>
    <s v="C2 ENERGIE"/>
    <s v="7 AVENUE DE LA RESIS"/>
    <s v="33310"/>
    <x v="0"/>
    <x v="2"/>
  </r>
  <r>
    <s v="DSD121426"/>
    <d v="2023-10-19T00:00:00"/>
    <s v="330242986:0830381327"/>
    <s v="SOL2309FBC008584-"/>
    <s v="510146836"/>
    <s v="HNXD"/>
    <s v="TNT"/>
    <s v="607253120"/>
    <s v="AB2J ENERGIES"/>
    <s v="320C 1 CHE DE LA GRA"/>
    <s v="34400"/>
    <x v="0"/>
    <x v="2"/>
  </r>
  <r>
    <s v="DSD121428"/>
    <d v="2023-10-19T00:00:00"/>
    <s v="330243103:0830381406"/>
    <s v="CDC217410 SB0095"/>
    <s v="510146071"/>
    <s v="HNXD"/>
    <s v="TNT"/>
    <s v="607253133"/>
    <s v="CEGECLIM"/>
    <s v="67 AVENUE MARYSE BAS"/>
    <s v="16340"/>
    <x v="0"/>
    <x v="2"/>
  </r>
  <r>
    <s v="DSD121430"/>
    <d v="2023-10-19T00:00:00"/>
    <s v="330243011:0830381344"/>
    <s v="WC ARTI"/>
    <s v="510146812"/>
    <s v="HNXD"/>
    <s v="TNT"/>
    <s v="607253147"/>
    <s v="C-CLIM"/>
    <s v="48 AVENUE DES AUREAT"/>
    <s v="26000"/>
    <x v="0"/>
    <x v="0"/>
  </r>
  <r>
    <s v="DSD121432"/>
    <d v="2023-10-19T00:00:00"/>
    <s v="330242984:0830381325"/>
    <s v="BC15930 - AR38860"/>
    <s v="510146840"/>
    <s v="HNXD"/>
    <s v="TNT"/>
    <s v="607253155"/>
    <s v="ENGIE HOME SAUMUR"/>
    <s v="7 ALLEE DE LA GAGNER"/>
    <s v="49400"/>
    <x v="0"/>
    <x v="2"/>
  </r>
  <r>
    <s v="DSD121434"/>
    <d v="2023-10-19T00:00:00"/>
    <s v="330243141:0830381427"/>
    <s v="C2310077 HYD 59BC"/>
    <s v="510146710"/>
    <s v="HNXD"/>
    <s v="TNT"/>
    <s v="607253164"/>
    <s v="HYDECLIM LILLE"/>
    <s v="16 RUE DES CHAMPS"/>
    <s v="59650"/>
    <x v="0"/>
    <x v="2"/>
  </r>
  <r>
    <s v="DSD121436"/>
    <d v="2023-10-19T00:00:00"/>
    <s v="330242375:0830380415"/>
    <s v="COMERA"/>
    <s v="510146659"/>
    <s v="HSTD"/>
    <s v="TNT"/>
    <s v="607253178"/>
    <s v="ENERGIE 10"/>
    <s v="75 AVENUE MARECHAL L"/>
    <s v="10120"/>
    <x v="0"/>
    <x v="0"/>
  </r>
  <r>
    <s v="DSD121438"/>
    <d v="2023-10-19T00:00:00"/>
    <s v="330242993:0830381333"/>
    <s v="TEST CECILE"/>
    <s v="510146866"/>
    <s v="HNXD"/>
    <s v="TNT"/>
    <s v="607253181"/>
    <s v="DISTRITEC"/>
    <s v="33 RUE DU BOIS BRIAN"/>
    <s v="44300"/>
    <x v="0"/>
    <x v="2"/>
  </r>
  <r>
    <s v="DSD121440"/>
    <d v="2023-10-19T00:00:00"/>
    <s v="330243075:0830381390"/>
    <s v="00100347-SAV FILT"/>
    <s v="510146386"/>
    <s v="HNXD"/>
    <s v="TNT"/>
    <s v="607253195"/>
    <s v="SARL LAURENT DAUZET"/>
    <s v="873 AV DU PEYRAT"/>
    <s v="83310"/>
    <x v="0"/>
    <x v="2"/>
  </r>
  <r>
    <s v="DSD121442"/>
    <d v="2023-10-19T00:00:00"/>
    <s v="330243033:0830381362"/>
    <s v="00100497-SAVRAS35"/>
    <s v="510146922"/>
    <s v="HSTD"/>
    <s v="TNT"/>
    <s v="607253204"/>
    <s v="CLIMAT TECH"/>
    <s v="64 CH DU QUARTIER DU"/>
    <s v="13880"/>
    <x v="0"/>
    <x v="2"/>
  </r>
  <r>
    <s v="DSD121444"/>
    <d v="2023-10-19T00:00:00"/>
    <s v="330243087:0830381458"/>
    <s v="I.P. IRM"/>
    <s v="510146647"/>
    <s v="HSTD"/>
    <s v="TNT"/>
    <s v="607253218"/>
    <s v="ESPACES 3"/>
    <s v="35 CHEMIN DE CHIRADI"/>
    <s v="69530"/>
    <x v="0"/>
    <x v="2"/>
  </r>
  <r>
    <s v="DSD121446"/>
    <d v="2023-10-19T00:00:00"/>
    <s v="330243104:0830381407"/>
    <s v="CA2310082"/>
    <s v="510146618"/>
    <s v="HNXD"/>
    <s v="TNT"/>
    <s v="607253221"/>
    <s v="ANQUETIL"/>
    <s v="9 CHEMIN DE SAINT TH"/>
    <s v="51370"/>
    <x v="0"/>
    <x v="2"/>
  </r>
  <r>
    <s v="DSD121448"/>
    <d v="2023-10-19T00:00:00"/>
    <s v="330243071:0830381388"/>
    <s v="161589"/>
    <s v="510146461"/>
    <s v="HNXD"/>
    <s v="TNT"/>
    <s v="607253235"/>
    <s v="SA ETTORI TADDEI MOS"/>
    <s v="RN 193 - FURIANI"/>
    <s v="20600"/>
    <x v="0"/>
    <x v="2"/>
  </r>
  <r>
    <s v="DSD121450"/>
    <d v="2023-10-19T00:00:00"/>
    <s v="330243021:0830381354"/>
    <s v="CHERPIN ERIC"/>
    <s v="510146810"/>
    <s v="HNXD"/>
    <s v="TNT"/>
    <s v="607253249"/>
    <s v="CERFIC FROID"/>
    <s v="83 IMPASSE DES BARRI"/>
    <s v="69400"/>
    <x v="0"/>
    <x v="2"/>
  </r>
  <r>
    <s v="DSD121452"/>
    <d v="2023-10-19T00:00:00"/>
    <s v="330243096:0830381399"/>
    <s v="w008913"/>
    <s v="510146621"/>
    <s v="HNXD"/>
    <s v="TNT"/>
    <s v="607253252"/>
    <s v="alain GUILLOT"/>
    <s v="46 RUE DE LAPALISSE"/>
    <s v="03250"/>
    <x v="0"/>
    <x v="2"/>
  </r>
  <r>
    <s v="DSD121454"/>
    <d v="2023-10-19T00:00:00"/>
    <s v="330243030:0830381361"/>
    <s v="C10728961"/>
    <s v="510146887"/>
    <s v="HSTD"/>
    <s v="TNT"/>
    <s v="607253266"/>
    <s v="CEA VALDUC"/>
    <s v="VIA REGIS MARTELET"/>
    <s v="21075"/>
    <x v="0"/>
    <x v="0"/>
  </r>
  <r>
    <s v="DSD121456"/>
    <d v="2023-10-19T00:00:00"/>
    <s v="330243024:0830381357"/>
    <s v="CENTAURE SAV - 36"/>
    <s v="510146873"/>
    <s v="HNXD"/>
    <s v="TNT"/>
    <s v="607253270"/>
    <s v="AGP"/>
    <s v="9 RUE DENIS PAPIN"/>
    <s v="91630"/>
    <x v="0"/>
    <x v="2"/>
  </r>
  <r>
    <s v="DSD121458"/>
    <d v="2023-10-19T00:00:00"/>
    <s v="330243089:0830381460"/>
    <s v="DOCTEUR HUMBLOT I"/>
    <s v="510146641"/>
    <s v="HSTD"/>
    <s v="TNT"/>
    <s v="607253283"/>
    <s v="ESPACES 3"/>
    <s v="35 CHEMIN DE CHIRADI"/>
    <s v="69530"/>
    <x v="0"/>
    <x v="2"/>
  </r>
  <r>
    <s v="DSD121460"/>
    <d v="2023-10-19T00:00:00"/>
    <s v="330243097:0830381400"/>
    <s v="FIALON"/>
    <s v="510146619"/>
    <s v="HNXD"/>
    <s v="TNT"/>
    <s v="607253297"/>
    <s v="C-CLIM"/>
    <s v="RUE DE DION BOUTON"/>
    <s v="26200"/>
    <x v="0"/>
    <x v="2"/>
  </r>
  <r>
    <s v="DSD121462"/>
    <d v="2023-10-19T00:00:00"/>
    <s v="330243150:0830381492"/>
    <s v="CDC128017 S0053 S"/>
    <s v="510146600"/>
    <s v="HSTD"/>
    <s v="TNT"/>
    <s v="607253306"/>
    <s v="SARRAT"/>
    <s v="QUARTIER Munein"/>
    <s v="64390"/>
    <x v="0"/>
    <x v="0"/>
  </r>
  <r>
    <s v="DSD121464"/>
    <d v="2023-10-19T00:00:00"/>
    <s v="330243062:0830381380"/>
    <s v="BC15945-AR38901"/>
    <s v="510146845"/>
    <s v="HNXD"/>
    <s v="TNT"/>
    <s v="607253310"/>
    <s v="ENGIE HOMES QUIMPER"/>
    <s v="462 ROUTE DE ROSPORD"/>
    <s v="29000"/>
    <x v="0"/>
    <x v="2"/>
  </r>
  <r>
    <s v="DSD121466"/>
    <d v="2023-10-19T00:00:00"/>
    <s v="330243111:0830381411"/>
    <s v="00100471-11356"/>
    <s v="510146793"/>
    <s v="HNXD"/>
    <s v="TNT"/>
    <s v="607253323"/>
    <s v="PERON"/>
    <s v="3 RUE DE BEAUNE"/>
    <s v="45340"/>
    <x v="0"/>
    <x v="2"/>
  </r>
  <r>
    <s v="DSD121468"/>
    <d v="2023-10-19T00:00:00"/>
    <s v="330243050:0830381446"/>
    <s v="WC-LE HOUEROU"/>
    <s v="510146901"/>
    <s v="HNXD"/>
    <s v="TNT"/>
    <s v="607253337"/>
    <s v="HER"/>
    <s v="4 rue Pierre Gilles"/>
    <s v="22000"/>
    <x v="0"/>
    <x v="2"/>
  </r>
  <r>
    <s v="DSD121470"/>
    <d v="2023-10-19T00:00:00"/>
    <s v="330243143:0830381428"/>
    <s v="925327 - 1H POUR"/>
    <s v="510146656"/>
    <s v="HNXD"/>
    <s v="TNT"/>
    <s v="607253345"/>
    <s v="ETS Joseph SAS"/>
    <s v="390 Avenue de Parme"/>
    <s v="01000"/>
    <x v="0"/>
    <x v="2"/>
  </r>
  <r>
    <s v="DSD121472"/>
    <d v="2023-10-19T00:00:00"/>
    <s v="330243058:0830381449"/>
    <s v="WC FIVE"/>
    <s v="510146893"/>
    <s v="HSTD"/>
    <s v="TNT"/>
    <s v="607253354"/>
    <s v="C CLIM"/>
    <s v="48 AVENUE DES AUREAT"/>
    <s v="26000"/>
    <x v="0"/>
    <x v="0"/>
  </r>
  <r>
    <s v="DSD121474"/>
    <d v="2023-10-19T00:00:00"/>
    <s v="330243068:0830381385"/>
    <s v="LE KIOSQUE A PIZZ"/>
    <s v="510146502"/>
    <s v="HNXD"/>
    <s v="TNT"/>
    <s v="607253368"/>
    <s v="PATINET SAS"/>
    <s v="14 RUE ALEXIS DE TOC"/>
    <s v="51100"/>
    <x v="0"/>
    <x v="2"/>
  </r>
  <r>
    <s v="DSD121476"/>
    <d v="2023-10-19T00:00:00"/>
    <s v="330243003:0830381338"/>
    <s v="SOL2310FBC009065-"/>
    <s v="510146829"/>
    <s v="HNXD"/>
    <s v="TNT"/>
    <s v="607253371"/>
    <s v="2M2D"/>
    <s v="8 CARRELOT DE PANDEL"/>
    <s v="31410"/>
    <x v="0"/>
    <x v="2"/>
  </r>
  <r>
    <s v="DSD121478"/>
    <d v="2023-10-19T00:00:00"/>
    <s v="330243127:0830381420"/>
    <s v="897202"/>
    <s v="510146764"/>
    <s v="HNXD"/>
    <s v="TNT"/>
    <s v="607253385"/>
    <s v="BOUSCASSE"/>
    <s v="8 Avenue de la Borie"/>
    <s v="94470"/>
    <x v="0"/>
    <x v="0"/>
  </r>
  <r>
    <s v="DSD121480"/>
    <d v="2023-10-19T00:00:00"/>
    <s v="330243049:0830381372"/>
    <s v="13S11528-AP-60773"/>
    <s v="510146902"/>
    <s v="HNXD"/>
    <s v="TNT"/>
    <s v="607253399"/>
    <s v="SMEF AZUR"/>
    <s v="PARC D ACTIVITES DU"/>
    <s v="13580"/>
    <x v="0"/>
    <x v="2"/>
  </r>
  <r>
    <s v="DSD121482"/>
    <d v="2023-10-19T00:00:00"/>
    <s v="330243020:0830381353"/>
    <s v="C2310073BIS HYD 4"/>
    <s v="510146803"/>
    <s v="HSTD"/>
    <s v="TNT"/>
    <s v="607253408"/>
    <s v="PARTEDIS"/>
    <s v="45-47 AV DES ARLUCS"/>
    <s v="06150"/>
    <x v="0"/>
    <x v="0"/>
  </r>
  <r>
    <s v="DSD121484"/>
    <d v="2023-10-19T00:00:00"/>
    <s v="330243035:0830381364"/>
    <s v="SIVOM DU BOCAGE"/>
    <s v="510146905"/>
    <s v="HSTD"/>
    <s v="TNT"/>
    <s v="607253411"/>
    <s v="LA CHALLERIE"/>
    <s v="LA CHALLERIE"/>
    <s v="72210"/>
    <x v="0"/>
    <x v="0"/>
  </r>
  <r>
    <s v="DSD121486"/>
    <d v="2023-10-19T00:00:00"/>
    <s v="330243125:0830381419"/>
    <s v="00100462-SAV LA V"/>
    <s v="510146768"/>
    <s v="HSTD"/>
    <s v="TNT"/>
    <s v="607253425"/>
    <s v="H2C TOULON"/>
    <s v="CHEMIN GABRIEL VENTR"/>
    <s v="83160"/>
    <x v="0"/>
    <x v="2"/>
  </r>
  <r>
    <s v="DSD121488"/>
    <d v="2023-10-19T00:00:00"/>
    <s v="330243148:0830381491"/>
    <s v="88053"/>
    <s v="510146584"/>
    <s v="HSTD"/>
    <s v="TNT"/>
    <s v="607253439"/>
    <s v="I D K"/>
    <s v="26 RUE ISAAC NEWTON"/>
    <s v="77290"/>
    <x v="0"/>
    <x v="2"/>
  </r>
  <r>
    <s v="DSD121490"/>
    <d v="2023-10-19T00:00:00"/>
    <s v="330243013:0830381346"/>
    <s v="WC CYRIL"/>
    <s v="510146813"/>
    <s v="HNXD"/>
    <s v="TNT"/>
    <s v="607253442"/>
    <s v="PROVENCE CHAUFFAGE"/>
    <s v="1760 CHEMIN DE LA DE"/>
    <s v="26130"/>
    <x v="0"/>
    <x v="2"/>
  </r>
  <r>
    <s v="DSD121492"/>
    <d v="2023-10-19T00:00:00"/>
    <s v="330242439:0830380431"/>
    <s v="PR230512"/>
    <s v="510146573"/>
    <s v="HSTD"/>
    <s v="TNT"/>
    <s v="607253456"/>
    <s v="CERFIC FROID"/>
    <s v="83 IMPASSE DES BARRI"/>
    <s v="69400"/>
    <x v="0"/>
    <x v="2"/>
  </r>
  <r>
    <s v="DSD121500"/>
    <d v="2023-10-19T00:00:00"/>
    <s v="330243082:0830381393"/>
    <s v="CFM23ROB02201"/>
    <s v="510146668"/>
    <s v="HNXD"/>
    <s v="TNT"/>
    <s v="607253473"/>
    <s v="ANNEXX PERPIGNAN"/>
    <s v="ANNEXX BOX4 POUR AGT"/>
    <s v="66000"/>
    <x v="0"/>
    <x v="2"/>
  </r>
  <r>
    <s v="DSD121502"/>
    <d v="2023-10-19T00:00:00"/>
    <s v="330243008:0830381343"/>
    <s v="161839"/>
    <s v="510146816"/>
    <s v="HNXD"/>
    <s v="TNT"/>
    <s v="607253487"/>
    <s v="ETM"/>
    <s v="RN 193 - FURIANI"/>
    <s v="20600"/>
    <x v="0"/>
    <x v="2"/>
  </r>
  <r>
    <s v="DSD121504"/>
    <d v="2023-10-19T00:00:00"/>
    <s v="330242428:0830380429"/>
    <s v="161763"/>
    <s v="510146511"/>
    <s v="HSTD"/>
    <s v="TNT"/>
    <s v="607253495"/>
    <s v="MEJRI ELYES"/>
    <s v="4 BOULEVARD JACQUES"/>
    <s v="06220"/>
    <x v="0"/>
    <x v="2"/>
  </r>
  <r>
    <s v="DSD121506"/>
    <d v="2023-10-19T00:00:00"/>
    <s v="330243070:0830381387"/>
    <s v="161612"/>
    <s v="510146469"/>
    <s v="HNXD"/>
    <s v="TNT"/>
    <s v="607253500"/>
    <s v="SA ETTORI TADDEI MOS"/>
    <s v="RN 193 - FURIANI"/>
    <s v="20600"/>
    <x v="0"/>
    <x v="2"/>
  </r>
  <r>
    <s v="DSD121508"/>
    <d v="2023-10-19T00:00:00"/>
    <s v="330243114:0830381478"/>
    <s v="00100474-SAV 1403"/>
    <s v="510146794"/>
    <s v="HNXD"/>
    <s v="TNT"/>
    <s v="607253513"/>
    <s v="DELCLIM (CLAUGER)"/>
    <s v="150 RUE DU 8 MAI 194"/>
    <s v="69100"/>
    <x v="0"/>
    <x v="2"/>
  </r>
  <r>
    <s v="DSD121510"/>
    <d v="2023-10-19T00:00:00"/>
    <s v="330243107:0830381409"/>
    <s v="CF210828 - VINCEN"/>
    <s v="510146706"/>
    <s v="HSTD"/>
    <s v="TNT"/>
    <s v="607253527"/>
    <s v="ARTIC CLIM"/>
    <s v="2 RUE DU PETIT PARC"/>
    <s v="77150"/>
    <x v="0"/>
    <x v="0"/>
  </r>
  <r>
    <s v="DSD121512"/>
    <d v="2023-10-19T00:00:00"/>
    <s v="330243124:0830381418"/>
    <s v="00100463-SAV RAYN"/>
    <s v="510146769"/>
    <s v="HSTD"/>
    <s v="TNT"/>
    <s v="607253535"/>
    <s v="HAC MOUANS SARTOUX"/>
    <s v="Z.I. DE L ARGILE"/>
    <s v="06370"/>
    <x v="0"/>
    <x v="2"/>
  </r>
  <r>
    <s v="DSD121514"/>
    <d v="2023-10-19T00:00:00"/>
    <s v="330243128:0830381483"/>
    <s v="WC-DELISTRIE"/>
    <s v="510146763"/>
    <s v="HNXD"/>
    <s v="TNT"/>
    <s v="607253558"/>
    <s v="HAC HITACHI"/>
    <s v="ZI DE L ARGILE VOIE"/>
    <s v="06370"/>
    <x v="0"/>
    <x v="0"/>
  </r>
  <r>
    <s v="DSD121516"/>
    <d v="2023-10-19T00:00:00"/>
    <s v="330243119:0830381480"/>
    <s v="WC-ETD STOCK"/>
    <s v="510146781"/>
    <s v="HNXD"/>
    <s v="TNT"/>
    <s v="607253561"/>
    <s v="ETD HEILLECOURT"/>
    <s v="35 ALLEE DES GRANDS"/>
    <s v="54180"/>
    <x v="0"/>
    <x v="2"/>
  </r>
  <r>
    <s v="DSD121518"/>
    <d v="2023-10-19T00:00:00"/>
    <s v="330243149:0830381465"/>
    <s v="SOL2310FBC008958-"/>
    <s v="510146596"/>
    <s v="HSTD"/>
    <s v="TNT"/>
    <s v="607253575"/>
    <s v="SOLIPAC NARBONNE"/>
    <s v="38 AVENUE DU CHAMP D"/>
    <s v="11100"/>
    <x v="0"/>
    <x v="2"/>
  </r>
  <r>
    <s v="DSD121520"/>
    <d v="2023-10-19T00:00:00"/>
    <s v="330242415:0830380292"/>
    <m/>
    <s v="510146357"/>
    <s v="HNXD"/>
    <s v="TNT"/>
    <s v="607253589"/>
    <s v="BRUNET EEGI"/>
    <s v="ZI LAVIGNE"/>
    <s v="31190"/>
    <x v="0"/>
    <x v="2"/>
  </r>
  <r>
    <s v="DSD121522"/>
    <d v="2023-10-19T00:00:00"/>
    <s v="330243140:0830381488"/>
    <s v="C2310079 HYD 59BC"/>
    <s v="510146714"/>
    <s v="HNXD"/>
    <s v="TNT"/>
    <s v="607253592"/>
    <s v="HYDECLIM LILLE"/>
    <s v="16 RUE DES CHAMPS"/>
    <s v="59650"/>
    <x v="0"/>
    <x v="2"/>
  </r>
  <r>
    <s v="DSD121524"/>
    <d v="2023-10-19T00:00:00"/>
    <s v="330243037:0830381439"/>
    <s v="WC-MR MORIN"/>
    <s v="510146913"/>
    <s v="HNXD"/>
    <s v="TNT"/>
    <s v="607253601"/>
    <s v="HAC HITACHI"/>
    <s v="3 RUE LAVOISIER"/>
    <s v="45140"/>
    <x v="0"/>
    <x v="2"/>
  </r>
  <r>
    <s v="DSD121526"/>
    <d v="2023-10-19T00:00:00"/>
    <s v="330243147:0830381490"/>
    <s v="WC ENGIE"/>
    <s v="510146685"/>
    <s v="HNXD"/>
    <s v="TNT"/>
    <s v="607253615"/>
    <s v="C CLIM"/>
    <s v="48 AVENUE DES AUREAT"/>
    <s v="26000"/>
    <x v="0"/>
    <x v="0"/>
  </r>
  <r>
    <s v="DSD121528"/>
    <d v="2023-10-19T00:00:00"/>
    <s v="330242991:0830381431"/>
    <s v="00100482-MONSIEUR"/>
    <s v="510146830"/>
    <s v="HSTD"/>
    <s v="TNT"/>
    <s v="607253629"/>
    <s v="HAC HITACHI"/>
    <s v="8 Rue Colbert"/>
    <s v="91320"/>
    <x v="0"/>
    <x v="0"/>
  </r>
  <r>
    <s v="DSD121530"/>
    <d v="2023-10-19T00:00:00"/>
    <s v="330242982:0830381377"/>
    <s v="BC15944-AR38898"/>
    <s v="510146842"/>
    <s v="HNXD"/>
    <s v="TNT"/>
    <s v="607253632"/>
    <s v="IMTS TOUZEAU"/>
    <s v="RUE PLEIN CHAMPS"/>
    <s v="49430"/>
    <x v="0"/>
    <x v="2"/>
  </r>
  <r>
    <s v="DSD121532"/>
    <d v="2023-10-19T00:00:00"/>
    <s v="330243081:0830381456"/>
    <s v="00100416-SAV REST"/>
    <s v="510146669"/>
    <s v="HNXD"/>
    <s v="TNT"/>
    <s v="607253646"/>
    <s v="ENR SUD EST"/>
    <s v="139 CHEMIN DES VERNE"/>
    <s v="83480"/>
    <x v="0"/>
    <x v="0"/>
  </r>
  <r>
    <s v="DSD121534"/>
    <d v="2023-10-19T00:00:00"/>
    <s v="330242412:0830380423"/>
    <s v="6733-AQUAGAZ-1060"/>
    <s v="510146310"/>
    <s v="HSTD"/>
    <s v="TNT"/>
    <s v="607253650"/>
    <s v="AQUAGAZ SERVICES"/>
    <s v="23 RUE BUFFON"/>
    <s v="21200"/>
    <x v="0"/>
    <x v="2"/>
  </r>
  <r>
    <s v="DSD121536"/>
    <d v="2023-10-19T00:00:00"/>
    <s v="330243079:0830381454"/>
    <s v="161814"/>
    <s v="510146681"/>
    <s v="HNXD"/>
    <s v="TNT"/>
    <s v="607253663"/>
    <s v="ETM"/>
    <s v="RN 193 - FURIANI"/>
    <s v="20600"/>
    <x v="0"/>
    <x v="2"/>
  </r>
  <r>
    <s v="DSD121538"/>
    <d v="2023-10-19T00:00:00"/>
    <s v="330243130:0830381485"/>
    <s v="WC-LEFEVRE"/>
    <s v="510146765"/>
    <s v="HNXD"/>
    <s v="TNT"/>
    <s v="607253677"/>
    <s v="SANDERS PASCAL"/>
    <s v="RUE DU BISSONET"/>
    <s v="14370"/>
    <x v="0"/>
    <x v="0"/>
  </r>
  <r>
    <s v="DSD121540"/>
    <d v="2023-10-19T00:00:00"/>
    <s v="330243040:0830381441"/>
    <s v="WC PREYNAT"/>
    <s v="510146870"/>
    <s v="HNXD"/>
    <s v="TNT"/>
    <s v="607253685"/>
    <s v="ACTIV"/>
    <s v="2 rue Darcy"/>
    <s v="71300"/>
    <x v="0"/>
    <x v="2"/>
  </r>
  <r>
    <s v="DSD121542"/>
    <d v="2023-10-19T00:00:00"/>
    <s v="330243055:0830381447"/>
    <s v="O2Feel"/>
    <s v="510146896"/>
    <s v="HSTD"/>
    <s v="TNT"/>
    <s v="607253694"/>
    <s v="ARO CONCEPT"/>
    <s v="31 BIS RUE DE LA GAR"/>
    <s v="59840"/>
    <x v="0"/>
    <x v="0"/>
  </r>
  <r>
    <s v="DSD121544"/>
    <d v="2023-10-19T00:00:00"/>
    <s v="330243131:0830381421"/>
    <s v="CC 300463"/>
    <s v="510146760"/>
    <s v="HSTD"/>
    <s v="TNT"/>
    <s v="607253703"/>
    <s v="LUCIEN SIROT ET ASSO"/>
    <s v="25 RUE DE LA MALADRE"/>
    <s v="03500"/>
    <x v="0"/>
    <x v="2"/>
  </r>
  <r>
    <s v="DSD121546"/>
    <d v="2023-10-19T00:00:00"/>
    <s v="330243098:0830381401"/>
    <s v="WC-SALOME"/>
    <s v="510146538"/>
    <s v="HNXD"/>
    <s v="TNT"/>
    <s v="607253717"/>
    <s v="BIDAULT David"/>
    <s v="26 RUE DE CHAMPSORT"/>
    <s v="41500"/>
    <x v="0"/>
    <x v="2"/>
  </r>
  <r>
    <s v="DSD121548"/>
    <d v="2023-10-19T00:00:00"/>
    <s v="330243132:0830381422"/>
    <s v="CC 300479"/>
    <s v="510146759"/>
    <s v="HNXD"/>
    <s v="TNT"/>
    <s v="607253725"/>
    <s v="LUCIEN SIROT ET ASSO"/>
    <s v="25 RUE DE LA MALADRE"/>
    <s v="03500"/>
    <x v="0"/>
    <x v="2"/>
  </r>
  <r>
    <s v="DSD121550"/>
    <d v="2023-10-19T00:00:00"/>
    <s v="330243064:0830381381"/>
    <s v="00100406-SAV CUIR"/>
    <s v="510146604"/>
    <s v="HNXD"/>
    <s v="TNT"/>
    <s v="607253734"/>
    <s v="CP CLIM CONCEPT"/>
    <s v="1020 CHEMIN DU FORT"/>
    <s v="83200"/>
    <x v="0"/>
    <x v="2"/>
  </r>
  <r>
    <s v="DSD121552"/>
    <d v="2023-10-19T00:00:00"/>
    <s v="330243136:0830381426"/>
    <s v="28-150-3583371"/>
    <s v="510146740"/>
    <s v="HSTD"/>
    <s v="TNT"/>
    <s v="607253748"/>
    <s v="IDEX ENERGIES"/>
    <s v="832 AV DE BRUXELLES"/>
    <s v="66000"/>
    <x v="0"/>
    <x v="0"/>
  </r>
  <r>
    <s v="DSD121554"/>
    <d v="2023-10-19T00:00:00"/>
    <s v="330243099:0830381402"/>
    <s v="CDC127534 RB0044"/>
    <s v="510146243"/>
    <s v="HNXD"/>
    <s v="TNT"/>
    <s v="607253751"/>
    <s v="CEGECLIM ENERGIES BR"/>
    <s v="2 Rue Victor Hugo"/>
    <s v="19600"/>
    <x v="0"/>
    <x v="0"/>
  </r>
  <r>
    <s v="DSD121560"/>
    <d v="2023-10-19T00:00:00"/>
    <s v="330243057:0830381448"/>
    <s v="WC ECM"/>
    <s v="510146894"/>
    <s v="HNXD"/>
    <s v="TNT"/>
    <s v="607253765"/>
    <s v="ECM"/>
    <s v="670 ROUTE DE LYON"/>
    <s v="07430"/>
    <x v="0"/>
    <x v="2"/>
  </r>
  <r>
    <s v="DSD121562"/>
    <d v="2023-10-19T00:00:00"/>
    <s v="330243009:0830381436"/>
    <s v="WC240749 M0054-BL"/>
    <s v="510146817"/>
    <s v="HNXD"/>
    <s v="TNT"/>
    <s v="607253779"/>
    <s v="MORA"/>
    <s v="ZA les AGREOUS"/>
    <s v="40550"/>
    <x v="0"/>
    <x v="2"/>
  </r>
  <r>
    <s v="DSD121564"/>
    <d v="2023-10-19T00:00:00"/>
    <s v="330243105:0830381408"/>
    <s v="CDC128187 AB0052"/>
    <s v="510146802"/>
    <s v="HNXD"/>
    <s v="TNT"/>
    <s v="607253782"/>
    <s v="Allez et CIE"/>
    <s v="ZI du Rooy"/>
    <s v="47300"/>
    <x v="0"/>
    <x v="0"/>
  </r>
  <r>
    <s v="DSD121566"/>
    <d v="2023-10-19T00:00:00"/>
    <s v="330243052:0830381374"/>
    <s v="WC-SAV3"/>
    <s v="510146899"/>
    <s v="HSTD"/>
    <s v="TNT"/>
    <s v="607253796"/>
    <s v="Comptoir CVC"/>
    <s v="33 rue du bois brian"/>
    <s v="44300"/>
    <x v="0"/>
    <x v="2"/>
  </r>
  <r>
    <s v="DSD121568"/>
    <d v="2023-10-19T00:00:00"/>
    <s v="330243118:0830381415"/>
    <s v="WC-ETD STOCK"/>
    <s v="510146783"/>
    <s v="HNXD"/>
    <s v="TNT"/>
    <s v="607253805"/>
    <s v="ETD HEILLECOURT"/>
    <s v="35 ALLEE DES GRANDS"/>
    <s v="54180"/>
    <x v="0"/>
    <x v="2"/>
  </r>
  <r>
    <s v="DSD121570"/>
    <d v="2023-10-19T00:00:00"/>
    <s v="330243134:0830381424"/>
    <s v="DA23069964"/>
    <s v="510146752"/>
    <s v="HNXD"/>
    <s v="TNT"/>
    <s v="607253819"/>
    <s v="DALKIA FROID SOLUTIO"/>
    <s v="ZAC DE FROMADAN"/>
    <s v="47190"/>
    <x v="0"/>
    <x v="2"/>
  </r>
  <r>
    <s v="DSD121574"/>
    <d v="2023-10-19T00:00:00"/>
    <s v="330243074:0830381452"/>
    <s v="172278/AC"/>
    <s v="510146387"/>
    <s v="HNXD"/>
    <s v="TNT"/>
    <s v="607253822"/>
    <s v="VINCI FACILITIES"/>
    <s v="ZA LES PRES CHALOTS"/>
    <s v="25220"/>
    <x v="0"/>
    <x v="2"/>
  </r>
  <r>
    <s v="DSD121576"/>
    <d v="2023-10-19T00:00:00"/>
    <s v="330243001:0830381435"/>
    <s v="WC-CARTER CASH AR"/>
    <s v="510146857"/>
    <s v="HNXD"/>
    <s v="TNT"/>
    <s v="607253836"/>
    <s v="HAC HITACHI"/>
    <s v="chemin Gabriel Ventr"/>
    <s v="83160"/>
    <x v="0"/>
    <x v="2"/>
  </r>
  <r>
    <s v="DSD121578"/>
    <d v="2023-10-19T00:00:00"/>
    <s v="330242998:0830381434"/>
    <s v="WC-GUIGNARD ST AN"/>
    <s v="510146861"/>
    <s v="HNXD"/>
    <s v="TNT"/>
    <s v="607253840"/>
    <s v="HAC HITACHI"/>
    <s v="545 avenue des Lions"/>
    <s v="83600"/>
    <x v="0"/>
    <x v="2"/>
  </r>
  <r>
    <s v="DSD121580"/>
    <d v="2023-10-19T00:00:00"/>
    <s v="330238742:0830381430"/>
    <s v="00100240-SAV CASS"/>
    <s v="510146191"/>
    <s v="HNXD"/>
    <s v="TNT"/>
    <s v="607253853"/>
    <s v="JAS DU PREBIER"/>
    <s v="QUARTIER LE FOURNEL"/>
    <s v="83520"/>
    <x v="0"/>
    <x v="2"/>
  </r>
  <r>
    <s v="DSD121582"/>
    <d v="2023-10-19T00:00:00"/>
    <s v="330243028:0830381437"/>
    <s v="WC-TICKET 11176 S"/>
    <s v="510146853"/>
    <s v="HNXD"/>
    <s v="TNT"/>
    <s v="607253867"/>
    <s v="HAC HITACHI"/>
    <s v="58 avenue Leon Blum"/>
    <s v="59370"/>
    <x v="0"/>
    <x v="2"/>
  </r>
  <r>
    <s v="DSD121584"/>
    <d v="2023-10-19T00:00:00"/>
    <s v="330243106:0830381475"/>
    <s v="EC2023-0200"/>
    <s v="510146774"/>
    <s v="HNXD"/>
    <s v="TNT"/>
    <s v="607253875"/>
    <s v="ACI MAINTENANCE"/>
    <s v="582 RUE MADELON DURI"/>
    <s v="60490"/>
    <x v="0"/>
    <x v="2"/>
  </r>
  <r>
    <s v="DSD121586"/>
    <d v="2023-10-19T00:00:00"/>
    <s v="330242995:0830381432"/>
    <s v="WC-AQUA"/>
    <s v="510146864"/>
    <s v="HNXD"/>
    <s v="TNT"/>
    <s v="607253884"/>
    <s v="HAC HITACHI"/>
    <s v="3 RUE LAVOISIER"/>
    <s v="45140"/>
    <x v="0"/>
    <x v="2"/>
  </r>
  <r>
    <s v="DSD121588"/>
    <d v="2023-10-19T00:00:00"/>
    <s v="330243061:0830381450"/>
    <s v="SOL2310FBC009071-"/>
    <s v="510146846"/>
    <s v="HNXD"/>
    <s v="TNT"/>
    <s v="607253898"/>
    <s v="JPMEP"/>
    <s v="2 CHEMIN DE BARATEAU"/>
    <s v="33450"/>
    <x v="0"/>
    <x v="2"/>
  </r>
  <r>
    <s v="DSD121590"/>
    <d v="2023-10-19T00:00:00"/>
    <s v="330243090:0830381461"/>
    <s v="SAV Bureau Valogn"/>
    <s v="510146634"/>
    <s v="HNXD"/>
    <s v="TNT"/>
    <s v="607253907"/>
    <s v="ID ENERGIES"/>
    <s v="ZA d Armanville"/>
    <s v="50700"/>
    <x v="0"/>
    <x v="2"/>
  </r>
  <r>
    <s v="DSD121592"/>
    <d v="2023-10-19T00:00:00"/>
    <s v="330243112:0830381477"/>
    <s v="C10742152"/>
    <s v="510146790"/>
    <s v="HNXD"/>
    <s v="TNT"/>
    <s v="607253915"/>
    <s v="SPIE FACILITIES"/>
    <s v="AV DE L AERODROME"/>
    <s v="66240"/>
    <x v="0"/>
    <x v="2"/>
  </r>
  <r>
    <s v="DSD121594"/>
    <d v="2023-10-19T00:00:00"/>
    <s v="330243047:0830381442"/>
    <s v="892607"/>
    <s v="510146904"/>
    <s v="HNXD"/>
    <s v="TNT"/>
    <s v="607253924"/>
    <s v="PRIEUR"/>
    <s v="6 PLACE DE LA LIBERA"/>
    <s v="82000"/>
    <x v="0"/>
    <x v="0"/>
  </r>
  <r>
    <s v="DSD121596"/>
    <d v="2023-10-19T00:00:00"/>
    <s v="330243115:0830381413"/>
    <s v="BC N° 32321417"/>
    <s v="510146787"/>
    <s v="HNXD"/>
    <s v="TNT"/>
    <s v="607253938"/>
    <s v="SA COMALEC"/>
    <s v="RUE FERREE CHALON SU"/>
    <s v="71530"/>
    <x v="0"/>
    <x v="2"/>
  </r>
  <r>
    <s v="DSD121598"/>
    <d v="2023-10-19T00:00:00"/>
    <s v="330243048:0830381445"/>
    <s v="WC-BULTEAU"/>
    <s v="510146903"/>
    <s v="HNXD"/>
    <s v="TNT"/>
    <s v="IN TRANSIT"/>
    <s v="JM ENERGIE"/>
    <s v="13 domaine de la Sau"/>
    <s v="85710"/>
    <x v="0"/>
    <x v="1"/>
  </r>
  <r>
    <s v="DSD121600"/>
    <d v="2023-10-19T00:00:00"/>
    <s v="330243137:0830381486"/>
    <s v="EVOLEA"/>
    <s v="510146738"/>
    <s v="HNXD"/>
    <s v="TNT"/>
    <s v="607253955"/>
    <d v="2001-10-01T00:00:00"/>
    <s v="16 RUE DE PASQUIS"/>
    <s v="03100"/>
    <x v="0"/>
    <x v="2"/>
  </r>
  <r>
    <s v="DSD121602"/>
    <d v="2023-10-19T00:00:00"/>
    <s v="330243076:0830381391"/>
    <s v="S.LAFOND"/>
    <s v="510146390"/>
    <s v="HNXD"/>
    <s v="TNT"/>
    <s v="607253969"/>
    <s v="C-CLIM"/>
    <s v="RUE DE DION BOUTON"/>
    <s v="26200"/>
    <x v="0"/>
    <x v="1"/>
  </r>
  <r>
    <s v="DSD121604"/>
    <d v="2023-10-19T00:00:00"/>
    <s v="330243085:0830381457"/>
    <s v="CD23-125 MENEZO"/>
    <s v="510146661"/>
    <s v="HNXD"/>
    <s v="TNT"/>
    <s v="607253986"/>
    <s v="TEC CLIM SERVICES"/>
    <s v="4 AVENUE DE LA POINT"/>
    <s v="33610"/>
    <x v="0"/>
    <x v="2"/>
  </r>
  <r>
    <s v="DSD121606"/>
    <d v="2023-10-19T00:00:00"/>
    <s v="330227566:0830381527"/>
    <s v="161431"/>
    <s v="7660223240"/>
    <s v="HSTD"/>
    <s v="TNT"/>
    <s v="607253990"/>
    <s v="PICARD SAS"/>
    <s v="ZA D'ETABLES"/>
    <s v="39200"/>
    <x v="0"/>
    <x v="0"/>
  </r>
  <r>
    <s v="DSD121608"/>
    <d v="2023-10-19T00:00:00"/>
    <s v="330243092:0830381462"/>
    <s v="23108264 - lidl d"/>
    <s v="510146632"/>
    <s v="HSTD"/>
    <s v="TNT"/>
    <s v="607254006"/>
    <s v="POLE BOX"/>
    <s v="BOX CHASSIEU N°0-14"/>
    <s v="69680"/>
    <x v="0"/>
    <x v="2"/>
  </r>
  <r>
    <s v="DSD121610"/>
    <d v="2023-10-19T00:00:00"/>
    <s v="330243117:0830381479"/>
    <s v="WC MARQUES"/>
    <s v="510146789"/>
    <s v="HNXD"/>
    <s v="TNT"/>
    <s v="607254010"/>
    <s v="VAL DE LOIRE MAINTEN"/>
    <s v="MAINTENANCE SERVICE"/>
    <s v="41350"/>
    <x v="0"/>
    <x v="2"/>
  </r>
  <r>
    <s v="DSD121612"/>
    <d v="2023-10-19T00:00:00"/>
    <s v="330243080:0830381455"/>
    <s v="SAV HAUTBOIS-DEBR"/>
    <s v="510146677"/>
    <s v="HNXD"/>
    <s v="TNT"/>
    <s v="607254023"/>
    <s v="ID ENERGIES"/>
    <s v="Z.A. d Armanville"/>
    <s v="50700"/>
    <x v="0"/>
    <x v="2"/>
  </r>
  <r>
    <s v="DSD121614"/>
    <d v="2023-10-19T00:00:00"/>
    <s v="330243122:0830381481"/>
    <s v="WC246324 SERGE DE"/>
    <s v="510146775"/>
    <s v="HNXD"/>
    <s v="TNT"/>
    <s v="607254037"/>
    <s v="AIR FROID"/>
    <s v="13 RUE JEAN BAPTISTE"/>
    <s v="33320"/>
    <x v="0"/>
    <x v="2"/>
  </r>
  <r>
    <s v="DSD121616"/>
    <d v="2023-10-19T00:00:00"/>
    <s v="330243093:0830381463"/>
    <s v="23108264-LIDL DR"/>
    <s v="510146631"/>
    <s v="HSTD"/>
    <s v="TNT"/>
    <s v="607254045"/>
    <s v="POLE BOX"/>
    <s v="BOX CHASSIEU N°0-14"/>
    <s v="69680"/>
    <x v="0"/>
    <x v="2"/>
  </r>
  <r>
    <s v="DSD121618"/>
    <d v="2023-10-19T00:00:00"/>
    <s v="330243038:0830381440"/>
    <s v="CDC128291 D0072 S"/>
    <s v="510146912"/>
    <s v="HSTD"/>
    <s v="TNT"/>
    <s v="607254054"/>
    <s v="DELA"/>
    <s v="298 Chemin de Borden"/>
    <s v="40090"/>
    <x v="0"/>
    <x v="2"/>
  </r>
  <r>
    <s v="DSD121620"/>
    <d v="2023-10-19T00:00:00"/>
    <s v="330243031:0830381438"/>
    <s v="3054267"/>
    <s v="510146885"/>
    <s v="HNXD"/>
    <s v="TNT"/>
    <s v="607254139"/>
    <s v="HERVE THERMIQUE"/>
    <s v="9 Rue du Pre Meunier"/>
    <s v="33612"/>
    <x v="0"/>
    <x v="2"/>
  </r>
  <r>
    <s v="DSD121622"/>
    <d v="2023-10-19T00:00:00"/>
    <s v="330243135:0830381425"/>
    <s v="00100449-SAV RAD5"/>
    <s v="510146744"/>
    <s v="HSTD"/>
    <s v="TNT"/>
    <s v="607254142"/>
    <s v="H2C SLV"/>
    <s v="225BIS AVENUE PIERRE"/>
    <s v="06700"/>
    <x v="0"/>
    <x v="2"/>
  </r>
  <r>
    <s v="DSD121624"/>
    <d v="2023-10-19T00:00:00"/>
    <s v="330243129:0830381484"/>
    <s v="963403458"/>
    <s v="510146762"/>
    <s v="HNXD"/>
    <s v="TNT"/>
    <s v="607254085"/>
    <s v="OTIS"/>
    <s v="31 AVENUE DES MONTOI"/>
    <s v="45500"/>
    <x v="0"/>
    <x v="2"/>
  </r>
  <r>
    <s v="DSD121626"/>
    <d v="2023-10-19T00:00:00"/>
    <s v="330242384:0830380272"/>
    <s v="ALLO C2F"/>
    <s v="510146629"/>
    <s v="HNXD"/>
    <s v="TNT"/>
    <s v="607254099"/>
    <s v="BO2"/>
    <s v="16 RUE VICTOR GRIGNA"/>
    <s v="42000"/>
    <x v="0"/>
    <x v="2"/>
  </r>
  <r>
    <s v="DSD121628"/>
    <d v="2023-10-19T00:00:00"/>
    <s v="330243083:0830381394"/>
    <s v="FA0735468 LB0003"/>
    <s v="510146664"/>
    <s v="HNXD"/>
    <s v="TNT"/>
    <s v="607254108"/>
    <s v="CEGECLIM"/>
    <s v="ALLEE DES PRES"/>
    <s v="64000"/>
    <x v="0"/>
    <x v="2"/>
  </r>
  <r>
    <s v="DSD121630"/>
    <d v="2023-10-19T00:00:00"/>
    <s v="330243077:0830381453"/>
    <s v="895974"/>
    <s v="510146684"/>
    <s v="HNXD"/>
    <s v="TNT"/>
    <s v="607254111"/>
    <s v="BOUSCASSE"/>
    <s v="8 Avenue de la Borie"/>
    <s v="24206"/>
    <x v="0"/>
    <x v="2"/>
  </r>
  <r>
    <s v="DSD121632"/>
    <d v="2023-10-19T00:00:00"/>
    <s v="330243108:0830381537"/>
    <s v="DARJ ORLEANS"/>
    <s v="510146700"/>
    <s v="HNXD"/>
    <s v="TNT"/>
    <s v="607254125"/>
    <s v="LOCAKASE"/>
    <s v="102 AVENUE DES 3 TIL"/>
    <s v="77000"/>
    <x v="0"/>
    <x v="0"/>
  </r>
  <r>
    <s v="DSD121634"/>
    <d v="2023-10-19T00:00:00"/>
    <s v="330243004:0830381339"/>
    <s v="AVLHO-CF23091899"/>
    <s v="510146824"/>
    <s v="HSTD"/>
    <s v="TNT"/>
    <s v="607254156"/>
    <s v="ANVOLIA"/>
    <s v="37 CHEMIN DE ROUGEMO"/>
    <s v="39100"/>
    <x v="0"/>
    <x v="0"/>
  </r>
  <r>
    <s v="DSD121636"/>
    <d v="2023-10-19T00:00:00"/>
    <s v="330243109:0830381410"/>
    <s v="WC VIGNAL"/>
    <s v="510146796"/>
    <s v="HNXD"/>
    <s v="TNT"/>
    <s v="607254160"/>
    <s v="VIGNAL ENERGIE"/>
    <s v="ZA LA FAUCHETIERE 2"/>
    <s v="26250"/>
    <x v="0"/>
    <x v="2"/>
  </r>
  <r>
    <s v="DSD121638"/>
    <d v="2023-10-19T00:00:00"/>
    <s v="330243133:0830381423"/>
    <s v="CDF025807 STOCK F"/>
    <s v="510146758"/>
    <s v="HSTD"/>
    <s v="TNT"/>
    <s v="607254173"/>
    <s v="FMS"/>
    <s v="478 Rue Pays de GOSS"/>
    <s v="40230"/>
    <x v="0"/>
    <x v="2"/>
  </r>
  <r>
    <s v="DSD121640"/>
    <d v="2023-10-19T00:00:00"/>
    <s v="330243023:0830381356"/>
    <s v="C2310108 HYD 44BC"/>
    <s v="510146867"/>
    <s v="HSTD"/>
    <s v="TNT"/>
    <s v="607254187"/>
    <s v="PARTEDIS"/>
    <s v="83 AVENUE DE LA REPU"/>
    <s v="56700"/>
    <x v="0"/>
    <x v="0"/>
  </r>
  <r>
    <s v="DSD121642"/>
    <d v="2023-10-19T00:00:00"/>
    <s v="330243054:0830381376"/>
    <s v="00100493-SAV LEFE"/>
    <s v="510146897"/>
    <s v="HSTD"/>
    <s v="TNT"/>
    <s v="607254403"/>
    <s v="AES CLIMATISATION"/>
    <s v="37 BD PAUL DOUMER"/>
    <s v="06110"/>
    <x v="0"/>
    <x v="2"/>
  </r>
  <r>
    <s v="DSD121644"/>
    <d v="2023-10-19T00:00:00"/>
    <s v="330243066:0830381383"/>
    <s v="161738"/>
    <s v="510146510"/>
    <s v="HSTD"/>
    <s v="TNT"/>
    <s v="607254195"/>
    <s v="HASSELIN ARNAUD"/>
    <s v="219 CHEMIN DES MURES"/>
    <s v="34270"/>
    <x v="0"/>
    <x v="2"/>
  </r>
  <r>
    <s v="DSD121646"/>
    <d v="2023-10-19T00:00:00"/>
    <s v="330243063:0830381451"/>
    <s v="BC988389"/>
    <s v="510146804"/>
    <s v="HSTD"/>
    <s v="TNT"/>
    <s v="607254200"/>
    <s v="DALKIA"/>
    <s v="VILLEVEYRAC EHPAD LE"/>
    <s v="34560"/>
    <x v="0"/>
    <x v="2"/>
  </r>
  <r>
    <s v="DSD121648"/>
    <d v="2023-10-19T00:00:00"/>
    <s v="330238781:0830381553"/>
    <s v="21194JD22010 APHP"/>
    <s v="510146261"/>
    <s v="HSTD"/>
    <s v="TNT"/>
    <s v="607254332"/>
    <s v="SNEA"/>
    <s v="16 RUE DU BOIS CERDO"/>
    <s v="94460"/>
    <x v="0"/>
    <x v="0"/>
  </r>
  <r>
    <s v="DSD121650"/>
    <d v="2023-10-19T00:00:00"/>
    <s v="330243059:0830381379"/>
    <s v="CA2310112"/>
    <s v="510146848"/>
    <s v="HSTD"/>
    <s v="TNT"/>
    <s v="607254227"/>
    <s v="ANQUETIL"/>
    <s v="9 CHEMIN DE SAINT TH"/>
    <s v="51370"/>
    <x v="0"/>
    <x v="2"/>
  </r>
  <r>
    <s v="DSD121652"/>
    <d v="2023-10-19T00:00:00"/>
    <s v="330237147:0830381528"/>
    <s v="WC-CAISSE D EPARG"/>
    <s v="510146324"/>
    <s v="HSTD"/>
    <s v="TNT"/>
    <s v="607254235"/>
    <s v="STE AGNIEL"/>
    <s v="91 AVENUE DES PINS D"/>
    <s v="30100"/>
    <x v="0"/>
    <x v="0"/>
  </r>
  <r>
    <s v="DSD121654"/>
    <d v="2023-10-19T00:00:00"/>
    <s v="330243139:0830381487"/>
    <s v="SOL2310FBC009017-"/>
    <s v="510146722"/>
    <s v="HSTD"/>
    <s v="TNT"/>
    <s v="607254244"/>
    <s v="AGS ENR"/>
    <s v="7 IMPASSE PAUL RIQUE"/>
    <s v="82000"/>
    <x v="0"/>
    <x v="2"/>
  </r>
  <r>
    <s v="DSD121656"/>
    <d v="2023-10-19T00:00:00"/>
    <s v="330243094:0830381464"/>
    <s v="23098207-COUERBE"/>
    <s v="510146630"/>
    <s v="HSTD"/>
    <s v="TNT"/>
    <s v="607254258"/>
    <s v="CLIM ASSISTANCE SERV"/>
    <s v="575 RUE DE LA FARNIE"/>
    <s v="69400"/>
    <x v="0"/>
    <x v="2"/>
  </r>
  <r>
    <s v="DSD121658"/>
    <d v="2023-10-19T00:00:00"/>
    <s v="330242989:0830381330"/>
    <s v="COMBAUD"/>
    <s v="510146833"/>
    <s v="HNXD"/>
    <s v="TNT"/>
    <s v="607254275"/>
    <s v="CAU"/>
    <s v="16 RUE DE PASQUIS"/>
    <s v="03100"/>
    <x v="0"/>
    <x v="2"/>
  </r>
  <r>
    <s v="DSD121660"/>
    <d v="2023-10-19T00:00:00"/>
    <s v="330243110:0830381476"/>
    <s v="WC CCL MTL"/>
    <s v="510146795"/>
    <s v="HNXD"/>
    <s v="TNT"/>
    <s v="607254289"/>
    <s v="C CLIM"/>
    <s v="RUE DE DION BOUTON"/>
    <s v="26200"/>
    <x v="0"/>
    <x v="2"/>
  </r>
  <r>
    <s v="DSD121662"/>
    <d v="2023-10-19T00:00:00"/>
    <s v="330242996:0830381334"/>
    <s v="WC LAGARDERE"/>
    <s v="510146863"/>
    <s v="HNXD"/>
    <s v="TNT"/>
    <s v="607254292"/>
    <s v="EURL CARESMEL"/>
    <s v="1 RUE HENRI FABRE"/>
    <s v="47400"/>
    <x v="0"/>
    <x v="2"/>
  </r>
  <r>
    <s v="DSD121664"/>
    <d v="2023-10-19T00:00:00"/>
    <s v="330243121:0830381417"/>
    <s v="WC-ETD STOCK"/>
    <s v="510146778"/>
    <s v="HNXD"/>
    <s v="TNT"/>
    <s v="607254301"/>
    <s v="ETD HEILLECOURT"/>
    <s v="35 ALLEE DES GRANDS"/>
    <s v="54180"/>
    <x v="0"/>
    <x v="2"/>
  </r>
  <r>
    <s v="DSD121666"/>
    <d v="2023-10-19T00:00:00"/>
    <s v="330243051:0830381373"/>
    <s v="WC-MR RENE"/>
    <s v="510146900"/>
    <s v="HNXD"/>
    <s v="TNT"/>
    <s v="607254315"/>
    <s v="BPC"/>
    <s v="ZA DE LA BRIQUETERIE"/>
    <s v="76160"/>
    <x v="0"/>
    <x v="2"/>
  </r>
  <r>
    <s v="DSD121668"/>
    <d v="2023-10-19T00:00:00"/>
    <s v="330243088:0830381459"/>
    <s v="23098186 - mairie"/>
    <s v="510146642"/>
    <s v="HNXD"/>
    <s v="TNT"/>
    <s v="607254329"/>
    <s v="LOCAKASE"/>
    <s v="7 RUE GUSTAVE DELORY"/>
    <s v="42000"/>
    <x v="0"/>
    <x v="2"/>
  </r>
  <r>
    <s v="DSD121670"/>
    <d v="2023-10-19T00:00:00"/>
    <s v="330243142:0830381489"/>
    <s v="01/CF23090437"/>
    <s v="510146711"/>
    <s v="HSTD"/>
    <s v="TNT"/>
    <s v="607254346"/>
    <s v="BAJON ANDRES"/>
    <s v="3 - 5 RUE DE LA CART"/>
    <s v="65000"/>
    <x v="0"/>
    <x v="2"/>
  </r>
  <r>
    <s v="DSD121672"/>
    <d v="2023-10-19T00:00:00"/>
    <s v="330243095:0830381398"/>
    <s v="CDC128047 CB0038"/>
    <s v="510146622"/>
    <s v="HNXD"/>
    <s v="TNT"/>
    <s v="607254350"/>
    <s v="CHAUFF CLIM SERVICE"/>
    <s v="Les Clauds"/>
    <s v="24380"/>
    <x v="0"/>
    <x v="2"/>
  </r>
  <r>
    <s v="DSD121674"/>
    <d v="2023-10-19T00:00:00"/>
    <s v="330242999:0830381335"/>
    <s v="WC-TICKET 11178"/>
    <s v="510146860"/>
    <s v="HNXD"/>
    <s v="TNT"/>
    <s v="607254363"/>
    <s v="HAC HITACHI"/>
    <s v="1188 AVENUE DE L AMA"/>
    <s v="84000"/>
    <x v="0"/>
    <x v="2"/>
  </r>
  <r>
    <s v="DSD121676"/>
    <d v="2023-10-19T00:00:00"/>
    <s v="330243072:0830381389"/>
    <s v="PR230517"/>
    <s v="510146457"/>
    <s v="HNXD"/>
    <s v="TNT"/>
    <s v="607254377"/>
    <s v="CERFIC FROID"/>
    <s v="83 IMPASSE DES BARRI"/>
    <s v="69400"/>
    <x v="0"/>
    <x v="2"/>
  </r>
  <r>
    <s v="DSD121678"/>
    <d v="2023-10-19T00:00:00"/>
    <s v="330243100:0830381403"/>
    <s v="PL053907 M0019 SA"/>
    <s v="510146232"/>
    <s v="HNXD"/>
    <s v="TNT"/>
    <s v="607254385"/>
    <s v="CEGECLIM"/>
    <s v="ALLEE DES PRES"/>
    <s v="64000"/>
    <x v="0"/>
    <x v="2"/>
  </r>
  <r>
    <s v="DSD121680"/>
    <d v="2023-10-19T00:00:00"/>
    <s v="330243113:0830381412"/>
    <s v="WC DAUPHINE GAZ"/>
    <s v="510146797"/>
    <s v="HNXD"/>
    <s v="TNT"/>
    <s v="607254394"/>
    <s v="DAUPHINE GAZ"/>
    <s v="42 AVENUE ABEL ROSSI"/>
    <s v="38430"/>
    <x v="0"/>
    <x v="2"/>
  </r>
  <r>
    <s v="DSD121682"/>
    <d v="2023-10-19T00:00:00"/>
    <s v="330243078:0830381392"/>
    <s v="892480"/>
    <s v="510146682"/>
    <s v="HNXD"/>
    <s v="TNT"/>
    <s v="607254417"/>
    <s v="FCCE BOUSCASSE"/>
    <s v="8 AVENUE DE LA BORIE"/>
    <s v="24206"/>
    <x v="0"/>
    <x v="0"/>
  </r>
  <r>
    <s v="DSD121684"/>
    <d v="2023-10-19T00:00:00"/>
    <s v="330243123:0830381482"/>
    <s v="161770"/>
    <s v="510146773"/>
    <s v="HSTD"/>
    <s v="TNT"/>
    <s v="607254425"/>
    <s v="SA ETTORI TADDEI MOS"/>
    <s v="RN 193 - FURIANI"/>
    <s v="20600"/>
    <x v="0"/>
    <x v="0"/>
  </r>
  <r>
    <s v="DSD121298"/>
    <d v="2023-10-19T00:00:00"/>
    <s v="330242314:0830379834"/>
    <s v="ABB GIUSTO"/>
    <s v="560021903"/>
    <s v="HNXD"/>
    <s v="UPS"/>
    <s v="1Z1V47910443656755"/>
    <s v="GREENCLIMA DI MONDOL"/>
    <s v="VIA DELLA REPUBBLICA"/>
    <s v="52022"/>
    <x v="3"/>
    <x v="0"/>
  </r>
  <r>
    <s v="DSD121298"/>
    <d v="2023-10-19T00:00:00"/>
    <s v="330242314:0830379834"/>
    <s v="ABB GIUSTO"/>
    <s v="560021903"/>
    <s v="HNXD"/>
    <s v="UPS"/>
    <s v="1Z1V47910443656755"/>
    <s v="GREENCLIMA DI MONDOL"/>
    <s v="VIA DELLA REPUBBLICA"/>
    <s v="52022"/>
    <x v="21"/>
    <x v="0"/>
  </r>
  <r>
    <m/>
    <m/>
    <m/>
    <m/>
    <m/>
    <m/>
    <s v="adr"/>
    <m/>
    <m/>
    <m/>
    <m/>
    <x v="22"/>
    <x v="3"/>
  </r>
  <r>
    <m/>
    <m/>
    <m/>
    <m/>
    <m/>
    <m/>
    <m/>
    <m/>
    <m/>
    <m/>
    <m/>
    <x v="2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4">
  <r>
    <x v="0"/>
  </r>
  <r>
    <x v="1"/>
  </r>
  <r>
    <x v="2"/>
  </r>
  <r>
    <x v="1"/>
  </r>
  <r>
    <x v="1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C406D-BEA2-4442-AA32-95A125038523}" name="Grafico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T4:X6" firstHeaderRow="1" firstDataRow="2" firstDataCol="1"/>
  <pivotFields count="1">
    <pivotField axis="axisCol" dataField="1" showAll="0">
      <items count="5">
        <item x="2"/>
        <item x="1"/>
        <item x="0"/>
        <item h="1" x="3"/>
        <item t="default"/>
      </items>
    </pivotField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de Status" fld="0" subtotal="count" baseField="0" baseItem="0"/>
  </dataFields>
  <formats count="5">
    <format dxfId="54">
      <pivotArea type="all" dataOnly="0" outline="0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</formats>
  <chartFormats count="8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DF688-46D1-47E7-BF9B-D4D2223C777C}" name="Tabl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C3:G27" firstHeaderRow="1" firstDataRow="2" firstDataCol="1"/>
  <pivotFields count="13">
    <pivotField showAll="0"/>
    <pivotField dataField="1"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10"/>
        <item x="16"/>
        <item x="1"/>
        <item x="0"/>
        <item x="5"/>
        <item x="6"/>
        <item x="13"/>
        <item x="4"/>
        <item x="3"/>
        <item x="2"/>
        <item x="17"/>
        <item x="7"/>
        <item x="8"/>
        <item x="9"/>
        <item x="11"/>
        <item x="12"/>
        <item x="14"/>
        <item x="15"/>
        <item x="22"/>
        <item x="18"/>
        <item x="19"/>
        <item x="20"/>
        <item x="21"/>
        <item t="default"/>
      </items>
    </pivotField>
    <pivotField axis="axisCol" showAll="0">
      <items count="5">
        <item x="2"/>
        <item x="0"/>
        <item x="1"/>
        <item h="1" x="3"/>
        <item t="default"/>
      </items>
    </pivotField>
  </pivotFields>
  <rowFields count="1">
    <field x="1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uenta de shiping date" fld="1" subtotal="count" baseField="0" baseItem="0"/>
  </dataFields>
  <formats count="16">
    <format dxfId="70">
      <pivotArea type="all" dataOnly="0" outline="0" fieldPosition="0"/>
    </format>
    <format dxfId="69">
      <pivotArea field="11" type="button" dataOnly="0" labelOnly="1" outline="0" axis="axisRow" fieldPosition="0"/>
    </format>
    <format dxfId="68">
      <pivotArea dataOnly="0" labelOnly="1" fieldPosition="0">
        <references count="1">
          <reference field="12" count="0"/>
        </references>
      </pivotArea>
    </format>
    <format dxfId="67">
      <pivotArea dataOnly="0" labelOnly="1" grandCol="1" outline="0" fieldPosition="0"/>
    </format>
    <format dxfId="66">
      <pivotArea type="origin" dataOnly="0" labelOnly="1" outline="0" fieldPosition="0"/>
    </format>
    <format dxfId="65">
      <pivotArea field="12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11" type="button" dataOnly="0" labelOnly="1" outline="0" axis="axisRow" fieldPosition="0"/>
    </format>
    <format dxfId="62">
      <pivotArea dataOnly="0" labelOnly="1" fieldPosition="0">
        <references count="1">
          <reference field="12" count="0"/>
        </references>
      </pivotArea>
    </format>
    <format dxfId="61">
      <pivotArea dataOnly="0" labelOnly="1" grandCol="1" outline="0" fieldPosition="0"/>
    </format>
    <format dxfId="60">
      <pivotArea type="origin" dataOnly="0" labelOnly="1" outline="0" fieldPosition="0"/>
    </format>
    <format dxfId="59">
      <pivotArea field="12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1" type="button" dataOnly="0" labelOnly="1" outline="0" axis="axisRow" fieldPosition="0"/>
    </format>
    <format dxfId="56">
      <pivotArea dataOnly="0" labelOnly="1" fieldPosition="0">
        <references count="1">
          <reference field="12" count="0"/>
        </references>
      </pivotArea>
    </format>
    <format dxfId="5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97F5-7204-434B-87EE-E303693BF915}">
  <sheetPr codeName="Hoja1" filterMode="1"/>
  <dimension ref="A1:Q994"/>
  <sheetViews>
    <sheetView showGridLines="0" tabSelected="1" topLeftCell="B1" zoomScaleNormal="100" workbookViewId="0">
      <pane ySplit="1" topLeftCell="A909" activePane="bottomLeft" state="frozen"/>
      <selection activeCell="E1" sqref="E1"/>
      <selection pane="bottomLeft" activeCell="H949" sqref="H949"/>
    </sheetView>
  </sheetViews>
  <sheetFormatPr baseColWidth="10" defaultColWidth="11.5" defaultRowHeight="14" x14ac:dyDescent="0.2"/>
  <cols>
    <col min="1" max="1" width="11.6640625" style="1" bestFit="1" customWidth="1"/>
    <col min="2" max="2" width="12.6640625" style="2" bestFit="1" customWidth="1"/>
    <col min="3" max="3" width="21.6640625" style="1" bestFit="1" customWidth="1"/>
    <col min="4" max="4" width="19.5" style="1" bestFit="1" customWidth="1"/>
    <col min="5" max="5" width="18.1640625" style="3" bestFit="1" customWidth="1"/>
    <col min="6" max="6" width="12.5" style="1" bestFit="1" customWidth="1"/>
    <col min="7" max="7" width="11.83203125" style="14" bestFit="1" customWidth="1"/>
    <col min="8" max="8" width="19" style="15" bestFit="1" customWidth="1"/>
    <col min="9" max="9" width="35.5" style="1" bestFit="1" customWidth="1"/>
    <col min="10" max="10" width="35.83203125" style="1" bestFit="1" customWidth="1"/>
    <col min="11" max="11" width="11.1640625" style="1" bestFit="1" customWidth="1"/>
    <col min="12" max="12" width="6.83203125" style="1" bestFit="1" customWidth="1"/>
    <col min="13" max="13" width="10.83203125" style="15" bestFit="1" customWidth="1"/>
    <col min="14" max="14" width="15.83203125" style="4" bestFit="1" customWidth="1"/>
    <col min="15" max="15" width="28.5" style="1" customWidth="1"/>
    <col min="16" max="16" width="9.1640625" style="2" bestFit="1" customWidth="1"/>
    <col min="17" max="17" width="9.5" style="1" bestFit="1" customWidth="1"/>
    <col min="18" max="16384" width="11.5" style="1"/>
  </cols>
  <sheetData>
    <row r="1" spans="1:17" x14ac:dyDescent="0.2">
      <c r="A1" s="16" t="s">
        <v>65</v>
      </c>
      <c r="B1" s="17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8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8" t="s">
        <v>13</v>
      </c>
      <c r="N1" s="26" t="s">
        <v>0</v>
      </c>
      <c r="O1" s="16" t="s">
        <v>64</v>
      </c>
      <c r="P1" s="27" t="s">
        <v>14</v>
      </c>
      <c r="Q1" s="7" t="s">
        <v>15</v>
      </c>
    </row>
    <row r="2" spans="1:17" customFormat="1" ht="16" hidden="1" x14ac:dyDescent="0.2">
      <c r="A2" s="19" t="s">
        <v>453</v>
      </c>
      <c r="B2" s="20">
        <v>45198</v>
      </c>
      <c r="C2" s="19" t="str">
        <f>T("330222625:0830337468")</f>
        <v>330222625:0830337468</v>
      </c>
      <c r="D2" s="21"/>
      <c r="E2" s="19" t="str">
        <f>T("7660221819 manual")</f>
        <v>7660221819 manual</v>
      </c>
      <c r="F2" s="19" t="s">
        <v>17</v>
      </c>
      <c r="G2" s="19" t="s">
        <v>2409</v>
      </c>
      <c r="H2" s="19" t="str">
        <f>T("607243961")</f>
        <v>607243961</v>
      </c>
      <c r="I2" s="19" t="s">
        <v>454</v>
      </c>
      <c r="J2" s="19" t="s">
        <v>455</v>
      </c>
      <c r="K2" s="19" t="str">
        <f>T("21000")</f>
        <v>21000</v>
      </c>
      <c r="L2" s="19" t="s">
        <v>19</v>
      </c>
      <c r="M2" s="21" t="s">
        <v>1</v>
      </c>
      <c r="N2" s="24"/>
      <c r="O2" s="25"/>
      <c r="P2" s="2"/>
      <c r="Q2" s="1"/>
    </row>
    <row r="3" spans="1:17" customFormat="1" ht="16" hidden="1" x14ac:dyDescent="0.2">
      <c r="A3" s="19" t="s">
        <v>69</v>
      </c>
      <c r="B3" s="20">
        <v>45205</v>
      </c>
      <c r="C3" s="19" t="str">
        <f>T("expansion valve KPI")</f>
        <v>expansion valve KPI</v>
      </c>
      <c r="D3" s="19" t="str">
        <f>T("NGUYEN")</f>
        <v>NGUYEN</v>
      </c>
      <c r="E3" s="19" t="str">
        <f>T("Joan Lopez WARRAN")</f>
        <v>Joan Lopez WARRAN</v>
      </c>
      <c r="F3" s="19" t="s">
        <v>16</v>
      </c>
      <c r="G3" s="19" t="s">
        <v>2409</v>
      </c>
      <c r="H3" s="19" t="str">
        <f>T("DSD119050")</f>
        <v>DSD119050</v>
      </c>
      <c r="I3" s="19" t="s">
        <v>70</v>
      </c>
      <c r="J3" s="19" t="s">
        <v>71</v>
      </c>
      <c r="K3" s="19" t="str">
        <f>T("08028")</f>
        <v>08028</v>
      </c>
      <c r="L3" s="19" t="s">
        <v>32</v>
      </c>
      <c r="M3" s="21" t="s">
        <v>2407</v>
      </c>
      <c r="N3" s="24">
        <v>45208</v>
      </c>
      <c r="O3" s="29" t="s">
        <v>2408</v>
      </c>
    </row>
    <row r="4" spans="1:17" customFormat="1" ht="16" hidden="1" x14ac:dyDescent="0.2">
      <c r="A4" s="19" t="s">
        <v>72</v>
      </c>
      <c r="B4" s="20">
        <v>45205</v>
      </c>
      <c r="C4" s="19" t="str">
        <f>T("330237153:0830369182")</f>
        <v>330237153:0830369182</v>
      </c>
      <c r="D4" s="19" t="str">
        <f>T("WC SAV BARBET")</f>
        <v>WC SAV BARBET</v>
      </c>
      <c r="E4" s="19" t="str">
        <f>T("510146345")</f>
        <v>510146345</v>
      </c>
      <c r="F4" s="19" t="s">
        <v>17</v>
      </c>
      <c r="G4" s="19" t="s">
        <v>2409</v>
      </c>
      <c r="H4" s="19" t="str">
        <f>T("607245914")</f>
        <v>607245914</v>
      </c>
      <c r="I4" s="19" t="s">
        <v>58</v>
      </c>
      <c r="J4" s="19" t="s">
        <v>73</v>
      </c>
      <c r="K4" s="19" t="str">
        <f>T("59180")</f>
        <v>59180</v>
      </c>
      <c r="L4" s="19" t="s">
        <v>19</v>
      </c>
      <c r="M4" s="21" t="s">
        <v>0</v>
      </c>
      <c r="N4" s="24">
        <v>45208</v>
      </c>
      <c r="O4" s="29"/>
    </row>
    <row r="5" spans="1:17" customFormat="1" ht="16" x14ac:dyDescent="0.2">
      <c r="A5" s="19" t="s">
        <v>74</v>
      </c>
      <c r="B5" s="20">
        <v>45205</v>
      </c>
      <c r="C5" s="19" t="str">
        <f>T("330237150:0830369181")</f>
        <v>330237150:0830369181</v>
      </c>
      <c r="D5" s="19" t="str">
        <f>T("WC246320 G/NT/LAV")</f>
        <v>WC246320 G/NT/LAV</v>
      </c>
      <c r="E5" s="19" t="str">
        <f>T("510146341")</f>
        <v>510146341</v>
      </c>
      <c r="F5" s="19" t="s">
        <v>17</v>
      </c>
      <c r="G5" s="19" t="s">
        <v>14</v>
      </c>
      <c r="H5" s="19" t="str">
        <f>T("607245928")</f>
        <v>607245928</v>
      </c>
      <c r="I5" s="19" t="s">
        <v>23</v>
      </c>
      <c r="J5" s="19" t="s">
        <v>28</v>
      </c>
      <c r="K5" s="19" t="str">
        <f>T("69680")</f>
        <v>69680</v>
      </c>
      <c r="L5" s="19" t="s">
        <v>19</v>
      </c>
      <c r="M5" s="21" t="s">
        <v>2407</v>
      </c>
      <c r="N5" s="24">
        <v>45208</v>
      </c>
      <c r="O5" s="29" t="s">
        <v>2408</v>
      </c>
    </row>
    <row r="6" spans="1:17" ht="16" x14ac:dyDescent="0.2">
      <c r="A6" s="19" t="s">
        <v>75</v>
      </c>
      <c r="B6" s="20">
        <v>45205</v>
      </c>
      <c r="C6" s="19" t="str">
        <f>T("330237148:0830369180")</f>
        <v>330237148:0830369180</v>
      </c>
      <c r="D6" s="19" t="str">
        <f>T("WC246421 EHS 56-")</f>
        <v>WC246421 EHS 56-</v>
      </c>
      <c r="E6" s="19" t="str">
        <f>T("510146331")</f>
        <v>510146331</v>
      </c>
      <c r="F6" s="19" t="s">
        <v>17</v>
      </c>
      <c r="G6" s="19" t="s">
        <v>14</v>
      </c>
      <c r="H6" s="19" t="str">
        <f>T("607245931")</f>
        <v>607245931</v>
      </c>
      <c r="I6" s="19" t="s">
        <v>76</v>
      </c>
      <c r="J6" s="19" t="s">
        <v>77</v>
      </c>
      <c r="K6" s="19" t="str">
        <f>T("56850")</f>
        <v>56850</v>
      </c>
      <c r="L6" s="19" t="s">
        <v>19</v>
      </c>
      <c r="M6" s="21" t="s">
        <v>2407</v>
      </c>
      <c r="N6" s="24">
        <v>45209</v>
      </c>
      <c r="O6" s="29"/>
      <c r="P6"/>
      <c r="Q6"/>
    </row>
    <row r="7" spans="1:17" ht="16" x14ac:dyDescent="0.2">
      <c r="A7" s="19" t="s">
        <v>78</v>
      </c>
      <c r="B7" s="20">
        <v>45205</v>
      </c>
      <c r="C7" s="19" t="str">
        <f>T("330237146:0830369179")</f>
        <v>330237146:0830369179</v>
      </c>
      <c r="D7" s="19" t="str">
        <f>T("WC246468 EHS BRET")</f>
        <v>WC246468 EHS BRET</v>
      </c>
      <c r="E7" s="19" t="str">
        <f>T("510146305")</f>
        <v>510146305</v>
      </c>
      <c r="F7" s="19" t="s">
        <v>17</v>
      </c>
      <c r="G7" s="19" t="s">
        <v>14</v>
      </c>
      <c r="H7" s="19" t="str">
        <f>T("607245945")</f>
        <v>607245945</v>
      </c>
      <c r="I7" s="19" t="s">
        <v>76</v>
      </c>
      <c r="J7" s="19" t="s">
        <v>79</v>
      </c>
      <c r="K7" s="19" t="str">
        <f>T("49000")</f>
        <v>49000</v>
      </c>
      <c r="L7" s="19" t="s">
        <v>19</v>
      </c>
      <c r="M7" s="21" t="s">
        <v>1</v>
      </c>
      <c r="N7" s="24">
        <v>45208</v>
      </c>
      <c r="O7" s="29"/>
      <c r="P7"/>
      <c r="Q7"/>
    </row>
    <row r="8" spans="1:17" ht="16" x14ac:dyDescent="0.2">
      <c r="A8" s="19" t="s">
        <v>80</v>
      </c>
      <c r="B8" s="20">
        <v>45205</v>
      </c>
      <c r="C8" s="19" t="str">
        <f>T("330144086:0830358452")</f>
        <v>330144086:0830358452</v>
      </c>
      <c r="D8" s="19" t="str">
        <f>T("WC246320 G/NT/LAV")</f>
        <v>WC246320 G/NT/LAV</v>
      </c>
      <c r="E8" s="19" t="str">
        <f>T("MANUAL")</f>
        <v>MANUAL</v>
      </c>
      <c r="F8" s="19" t="s">
        <v>16</v>
      </c>
      <c r="G8" s="19" t="s">
        <v>14</v>
      </c>
      <c r="H8" s="19" t="str">
        <f>T("607245959")</f>
        <v>607245959</v>
      </c>
      <c r="I8" s="19" t="s">
        <v>26</v>
      </c>
      <c r="J8" s="19" t="s">
        <v>27</v>
      </c>
      <c r="K8" s="19" t="str">
        <f>T("64000")</f>
        <v>64000</v>
      </c>
      <c r="L8" s="19" t="s">
        <v>19</v>
      </c>
      <c r="M8" s="21" t="s">
        <v>2407</v>
      </c>
      <c r="N8" s="24">
        <v>45209</v>
      </c>
      <c r="O8" s="29" t="s">
        <v>2411</v>
      </c>
      <c r="P8"/>
      <c r="Q8"/>
    </row>
    <row r="9" spans="1:17" ht="16" x14ac:dyDescent="0.2">
      <c r="A9" s="19" t="s">
        <v>86</v>
      </c>
      <c r="B9" s="20">
        <v>45205</v>
      </c>
      <c r="C9" s="19" t="str">
        <f>T("330230662 RE")</f>
        <v>330230662 RE</v>
      </c>
      <c r="D9" s="19" t="str">
        <f>T("WC246326 NGUYEN")</f>
        <v>WC246326 NGUYEN</v>
      </c>
      <c r="E9" s="19" t="str">
        <f>T("7660223560")</f>
        <v>7660223560</v>
      </c>
      <c r="F9" s="19" t="s">
        <v>16</v>
      </c>
      <c r="G9" s="19" t="s">
        <v>14</v>
      </c>
      <c r="H9" s="19" t="str">
        <f>T("607245980")</f>
        <v>607245980</v>
      </c>
      <c r="I9" s="19" t="s">
        <v>87</v>
      </c>
      <c r="J9" s="19" t="s">
        <v>88</v>
      </c>
      <c r="K9" s="19" t="str">
        <f>T("51100")</f>
        <v>51100</v>
      </c>
      <c r="L9" s="19" t="s">
        <v>19</v>
      </c>
      <c r="M9" s="21" t="s">
        <v>2407</v>
      </c>
      <c r="N9" s="24">
        <v>45209</v>
      </c>
      <c r="O9" s="29" t="s">
        <v>2408</v>
      </c>
      <c r="P9"/>
      <c r="Q9"/>
    </row>
    <row r="10" spans="1:17" ht="16" hidden="1" x14ac:dyDescent="0.2">
      <c r="A10" s="19" t="s">
        <v>89</v>
      </c>
      <c r="B10" s="20">
        <v>45205</v>
      </c>
      <c r="C10" s="19" t="str">
        <f>T("330168791 RE")</f>
        <v>330168791 RE</v>
      </c>
      <c r="D10" s="19" t="str">
        <f>T("NGUYEN")</f>
        <v>NGUYEN</v>
      </c>
      <c r="E10" s="19" t="str">
        <f>T("7660215562")</f>
        <v>7660215562</v>
      </c>
      <c r="F10" s="19" t="s">
        <v>16</v>
      </c>
      <c r="G10" s="19" t="s">
        <v>14</v>
      </c>
      <c r="H10" s="19" t="str">
        <f>T("607245993")</f>
        <v>607245993</v>
      </c>
      <c r="I10" s="19" t="s">
        <v>54</v>
      </c>
      <c r="J10" s="19" t="s">
        <v>90</v>
      </c>
      <c r="K10" s="19" t="str">
        <f>T("38070")</f>
        <v>38070</v>
      </c>
      <c r="L10" s="19" t="s">
        <v>19</v>
      </c>
      <c r="M10" s="21" t="s">
        <v>0</v>
      </c>
      <c r="N10" s="24">
        <v>45208</v>
      </c>
      <c r="O10" s="29"/>
      <c r="P10"/>
      <c r="Q10"/>
    </row>
    <row r="11" spans="1:17" ht="16" hidden="1" x14ac:dyDescent="0.2">
      <c r="A11" s="19" t="s">
        <v>91</v>
      </c>
      <c r="B11" s="20">
        <v>45205</v>
      </c>
      <c r="C11" s="19" t="str">
        <f>T("330194367:0830369209")</f>
        <v>330194367:0830369209</v>
      </c>
      <c r="D11" s="19" t="str">
        <f>T("23000324")</f>
        <v>23000324</v>
      </c>
      <c r="E11" s="19" t="str">
        <f>T("7670014134")</f>
        <v>7670014134</v>
      </c>
      <c r="F11" s="19" t="s">
        <v>17</v>
      </c>
      <c r="G11" s="19" t="s">
        <v>15</v>
      </c>
      <c r="H11" s="28" t="s">
        <v>97</v>
      </c>
      <c r="I11" s="19" t="s">
        <v>92</v>
      </c>
      <c r="J11" s="19" t="s">
        <v>63</v>
      </c>
      <c r="K11" s="19" t="str">
        <f>T("3316 KC")</f>
        <v>3316 KC</v>
      </c>
      <c r="L11" s="19" t="s">
        <v>31</v>
      </c>
      <c r="M11" s="21" t="s">
        <v>0</v>
      </c>
      <c r="N11" s="24">
        <v>45208</v>
      </c>
      <c r="O11" s="29"/>
      <c r="P11"/>
      <c r="Q11"/>
    </row>
    <row r="12" spans="1:17" ht="16" hidden="1" x14ac:dyDescent="0.2">
      <c r="A12" s="19" t="s">
        <v>93</v>
      </c>
      <c r="B12" s="20">
        <v>45205</v>
      </c>
      <c r="C12" s="19" t="str">
        <f>T("330237119:0830369176")</f>
        <v>330237119:0830369176</v>
      </c>
      <c r="D12" s="21"/>
      <c r="E12" s="19" t="str">
        <f>T("560021733 MANUAL")</f>
        <v>560021733 MANUAL</v>
      </c>
      <c r="F12" s="19" t="s">
        <v>17</v>
      </c>
      <c r="G12" s="19" t="s">
        <v>15</v>
      </c>
      <c r="H12" s="19" t="s">
        <v>94</v>
      </c>
      <c r="I12" s="19" t="s">
        <v>95</v>
      </c>
      <c r="J12" s="19" t="s">
        <v>96</v>
      </c>
      <c r="K12" s="19" t="str">
        <f>T("18100")</f>
        <v>18100</v>
      </c>
      <c r="L12" s="19" t="s">
        <v>18</v>
      </c>
      <c r="M12" s="21" t="s">
        <v>0</v>
      </c>
      <c r="N12" s="24">
        <v>45208</v>
      </c>
      <c r="O12" s="29" t="s">
        <v>66</v>
      </c>
      <c r="P12"/>
      <c r="Q12"/>
    </row>
    <row r="13" spans="1:17" ht="16" hidden="1" x14ac:dyDescent="0.2">
      <c r="A13" s="19" t="s">
        <v>81</v>
      </c>
      <c r="B13" s="20">
        <v>45205</v>
      </c>
      <c r="C13" s="19" t="str">
        <f>T("330226275 RE")</f>
        <v>330226275 RE</v>
      </c>
      <c r="D13" s="19" t="str">
        <f>T("WC246004 ECO UP")</f>
        <v>WC246004 ECO UP</v>
      </c>
      <c r="E13" s="19" t="str">
        <f>T("7660223111")</f>
        <v>7660223111</v>
      </c>
      <c r="F13" s="19" t="s">
        <v>17</v>
      </c>
      <c r="G13" s="19" t="s">
        <v>15</v>
      </c>
      <c r="H13" s="19" t="str">
        <f>T("607245962")</f>
        <v>607245962</v>
      </c>
      <c r="I13" s="19" t="s">
        <v>53</v>
      </c>
      <c r="J13" s="19" t="s">
        <v>82</v>
      </c>
      <c r="K13" s="19" t="str">
        <f>T("34874")</f>
        <v>34874</v>
      </c>
      <c r="L13" s="19" t="s">
        <v>19</v>
      </c>
      <c r="M13" s="21" t="s">
        <v>0</v>
      </c>
      <c r="N13" s="24">
        <v>45208</v>
      </c>
      <c r="O13" s="29"/>
      <c r="P13"/>
      <c r="Q13"/>
    </row>
    <row r="14" spans="1:17" ht="16" hidden="1" x14ac:dyDescent="0.2">
      <c r="A14" s="19" t="s">
        <v>83</v>
      </c>
      <c r="B14" s="20">
        <v>45205</v>
      </c>
      <c r="C14" s="19" t="str">
        <f>T("330229602 RE")</f>
        <v>330229602 RE</v>
      </c>
      <c r="D14" s="19" t="str">
        <f>T("CDC127011 AB0065")</f>
        <v>CDC127011 AB0065</v>
      </c>
      <c r="E14" s="19" t="str">
        <f>T("7660223442")</f>
        <v>7660223442</v>
      </c>
      <c r="F14" s="19" t="s">
        <v>17</v>
      </c>
      <c r="G14" s="19" t="s">
        <v>14</v>
      </c>
      <c r="H14" s="19" t="str">
        <f>T("607245976")</f>
        <v>607245976</v>
      </c>
      <c r="I14" s="19" t="s">
        <v>84</v>
      </c>
      <c r="J14" s="19" t="s">
        <v>85</v>
      </c>
      <c r="K14" s="19" t="str">
        <f>T("47110")</f>
        <v>47110</v>
      </c>
      <c r="L14" s="19" t="s">
        <v>19</v>
      </c>
      <c r="M14" s="21" t="s">
        <v>0</v>
      </c>
      <c r="N14" s="24">
        <v>45209</v>
      </c>
      <c r="O14" s="29"/>
      <c r="P14"/>
      <c r="Q14"/>
    </row>
    <row r="15" spans="1:17" ht="16" hidden="1" x14ac:dyDescent="0.2">
      <c r="A15" s="19" t="s">
        <v>98</v>
      </c>
      <c r="B15" s="20">
        <v>45208</v>
      </c>
      <c r="C15" s="19" t="str">
        <f>T("330237395:0830369703")</f>
        <v>330237395:0830369703</v>
      </c>
      <c r="D15" s="19" t="str">
        <f>T("WC246472 G/LANGAG")</f>
        <v>WC246472 G/LANGAG</v>
      </c>
      <c r="E15" s="19" t="str">
        <f>T("510146344")</f>
        <v>510146344</v>
      </c>
      <c r="F15" s="19" t="s">
        <v>17</v>
      </c>
      <c r="G15" s="19" t="s">
        <v>14</v>
      </c>
      <c r="H15" s="21">
        <v>607246000</v>
      </c>
      <c r="I15" s="19" t="s">
        <v>23</v>
      </c>
      <c r="J15" s="19" t="s">
        <v>99</v>
      </c>
      <c r="K15" s="19" t="str">
        <f>T("34070")</f>
        <v>34070</v>
      </c>
      <c r="L15" s="19" t="s">
        <v>19</v>
      </c>
      <c r="M15" s="21" t="s">
        <v>0</v>
      </c>
      <c r="N15" s="24">
        <v>45210</v>
      </c>
      <c r="O15" s="6"/>
      <c r="P15"/>
      <c r="Q15"/>
    </row>
    <row r="16" spans="1:17" ht="16" hidden="1" x14ac:dyDescent="0.2">
      <c r="A16" s="19" t="s">
        <v>100</v>
      </c>
      <c r="B16" s="20">
        <v>45208</v>
      </c>
      <c r="C16" s="19" t="str">
        <f>T("330237396:0830369704")</f>
        <v>330237396:0830369704</v>
      </c>
      <c r="D16" s="19" t="str">
        <f>T("WC KLAINE")</f>
        <v>WC KLAINE</v>
      </c>
      <c r="E16" s="19" t="str">
        <f>T("510146346")</f>
        <v>510146346</v>
      </c>
      <c r="F16" s="19" t="s">
        <v>17</v>
      </c>
      <c r="G16" s="19" t="s">
        <v>14</v>
      </c>
      <c r="H16" s="21">
        <v>607246013</v>
      </c>
      <c r="I16" s="19" t="s">
        <v>101</v>
      </c>
      <c r="J16" s="19" t="s">
        <v>102</v>
      </c>
      <c r="K16" s="19" t="str">
        <f>T("91480")</f>
        <v>91480</v>
      </c>
      <c r="L16" s="19" t="s">
        <v>19</v>
      </c>
      <c r="M16" s="21" t="s">
        <v>0</v>
      </c>
      <c r="N16" s="24">
        <v>45209</v>
      </c>
      <c r="O16" s="30"/>
      <c r="P16" s="1"/>
    </row>
    <row r="17" spans="1:16" ht="16" hidden="1" x14ac:dyDescent="0.2">
      <c r="A17" s="19" t="s">
        <v>103</v>
      </c>
      <c r="B17" s="20">
        <v>45208</v>
      </c>
      <c r="C17" s="19" t="str">
        <f>T("330237397:0830369705")</f>
        <v>330237397:0830369705</v>
      </c>
      <c r="D17" s="19" t="str">
        <f>T("WC RAC-50NP SALMO")</f>
        <v>WC RAC-50NP SALMO</v>
      </c>
      <c r="E17" s="19" t="str">
        <f>T("510146356")</f>
        <v>510146356</v>
      </c>
      <c r="F17" s="19" t="s">
        <v>17</v>
      </c>
      <c r="G17" s="19" t="s">
        <v>14</v>
      </c>
      <c r="H17" s="21">
        <v>607246027</v>
      </c>
      <c r="I17" s="19" t="s">
        <v>104</v>
      </c>
      <c r="J17" s="19" t="s">
        <v>105</v>
      </c>
      <c r="K17" s="19" t="str">
        <f>T("28110")</f>
        <v>28110</v>
      </c>
      <c r="L17" s="19" t="s">
        <v>19</v>
      </c>
      <c r="M17" s="21" t="s">
        <v>0</v>
      </c>
      <c r="N17" s="24">
        <v>45210</v>
      </c>
      <c r="O17" s="30"/>
      <c r="P17" s="1"/>
    </row>
    <row r="18" spans="1:16" ht="16" hidden="1" x14ac:dyDescent="0.2">
      <c r="A18" s="19" t="s">
        <v>106</v>
      </c>
      <c r="B18" s="20">
        <v>45208</v>
      </c>
      <c r="C18" s="19" t="str">
        <f>T("330221602:0830370340")</f>
        <v>330221602:0830370340</v>
      </c>
      <c r="D18" s="19" t="str">
        <f>T("CA2i230911002")</f>
        <v>CA2i230911002</v>
      </c>
      <c r="E18" s="19" t="str">
        <f>T("7660222549")</f>
        <v>7660222549</v>
      </c>
      <c r="F18" s="19" t="s">
        <v>16</v>
      </c>
      <c r="G18" s="19" t="s">
        <v>14</v>
      </c>
      <c r="H18" s="21">
        <v>607246035</v>
      </c>
      <c r="I18" s="19" t="s">
        <v>107</v>
      </c>
      <c r="J18" s="19" t="s">
        <v>108</v>
      </c>
      <c r="K18" s="19" t="str">
        <f>T("30111")</f>
        <v>30111</v>
      </c>
      <c r="L18" s="19" t="s">
        <v>19</v>
      </c>
      <c r="M18" s="21" t="s">
        <v>0</v>
      </c>
      <c r="N18" s="24">
        <v>45209</v>
      </c>
      <c r="O18" s="30"/>
      <c r="P18" s="1"/>
    </row>
    <row r="19" spans="1:16" ht="16" hidden="1" x14ac:dyDescent="0.2">
      <c r="A19" s="19" t="s">
        <v>109</v>
      </c>
      <c r="B19" s="20">
        <v>45208</v>
      </c>
      <c r="C19" s="19" t="str">
        <f>T("330237919:0830370358")</f>
        <v>330237919:0830370358</v>
      </c>
      <c r="D19" s="19" t="str">
        <f>T("WC 9691")</f>
        <v>WC 9691</v>
      </c>
      <c r="E19" s="19" t="str">
        <f>T("560021877")</f>
        <v>560021877</v>
      </c>
      <c r="F19" s="19" t="s">
        <v>17</v>
      </c>
      <c r="G19" s="19" t="s">
        <v>15</v>
      </c>
      <c r="H19" s="19" t="str">
        <f>T("1Z1V47910444833847")</f>
        <v>1Z1V47910444833847</v>
      </c>
      <c r="I19" s="19" t="s">
        <v>110</v>
      </c>
      <c r="J19" s="19" t="s">
        <v>110</v>
      </c>
      <c r="K19" s="19" t="str">
        <f>T("26030")</f>
        <v>26030</v>
      </c>
      <c r="L19" s="19" t="s">
        <v>18</v>
      </c>
      <c r="M19" s="21" t="s">
        <v>0</v>
      </c>
      <c r="N19" s="24">
        <v>45209</v>
      </c>
      <c r="O19" s="30"/>
      <c r="P19" s="1"/>
    </row>
    <row r="20" spans="1:16" ht="16" hidden="1" x14ac:dyDescent="0.2">
      <c r="A20" s="19" t="s">
        <v>111</v>
      </c>
      <c r="B20" s="20">
        <v>45208</v>
      </c>
      <c r="C20" s="19" t="str">
        <f>T("330237913:0830370354")</f>
        <v>330237913:0830370354</v>
      </c>
      <c r="D20" s="19" t="str">
        <f>T("WC 9690")</f>
        <v>WC 9690</v>
      </c>
      <c r="E20" s="19" t="str">
        <f>T("560021879")</f>
        <v>560021879</v>
      </c>
      <c r="F20" s="19" t="s">
        <v>17</v>
      </c>
      <c r="G20" s="19" t="s">
        <v>15</v>
      </c>
      <c r="H20" s="19" t="str">
        <f>T("1Z1V47910443922458")</f>
        <v>1Z1V47910443922458</v>
      </c>
      <c r="I20" s="19" t="s">
        <v>112</v>
      </c>
      <c r="J20" s="19" t="s">
        <v>113</v>
      </c>
      <c r="K20" s="19" t="str">
        <f>T("80014")</f>
        <v>80014</v>
      </c>
      <c r="L20" s="19" t="s">
        <v>18</v>
      </c>
      <c r="M20" s="21" t="s">
        <v>0</v>
      </c>
      <c r="N20" s="24">
        <v>45210</v>
      </c>
      <c r="O20" s="25"/>
    </row>
    <row r="21" spans="1:16" ht="16" hidden="1" x14ac:dyDescent="0.2">
      <c r="A21" s="19" t="s">
        <v>114</v>
      </c>
      <c r="B21" s="20">
        <v>45208</v>
      </c>
      <c r="C21" s="19" t="str">
        <f>T("330237910:0830370351")</f>
        <v>330237910:0830370351</v>
      </c>
      <c r="D21" s="19" t="str">
        <f>T("WC 9689")</f>
        <v>WC 9689</v>
      </c>
      <c r="E21" s="19" t="str">
        <f>T("560021875")</f>
        <v>560021875</v>
      </c>
      <c r="F21" s="19" t="s">
        <v>17</v>
      </c>
      <c r="G21" s="19" t="s">
        <v>15</v>
      </c>
      <c r="H21" s="19" t="str">
        <f>T("1Z1V47910443092060")</f>
        <v>1Z1V47910443092060</v>
      </c>
      <c r="I21" s="19" t="s">
        <v>115</v>
      </c>
      <c r="J21" s="19" t="s">
        <v>115</v>
      </c>
      <c r="K21" s="19" t="str">
        <f>T("34127")</f>
        <v>34127</v>
      </c>
      <c r="L21" s="19" t="s">
        <v>18</v>
      </c>
      <c r="M21" s="21" t="s">
        <v>0</v>
      </c>
      <c r="N21" s="24">
        <v>45209</v>
      </c>
      <c r="O21" s="25"/>
    </row>
    <row r="22" spans="1:16" ht="16" hidden="1" x14ac:dyDescent="0.2">
      <c r="A22" s="19" t="s">
        <v>116</v>
      </c>
      <c r="B22" s="20">
        <v>45208</v>
      </c>
      <c r="C22" s="19" t="str">
        <f>T("330237911:0830370352")</f>
        <v>330237911:0830370352</v>
      </c>
      <c r="D22" s="19" t="str">
        <f>T("WC 9705")</f>
        <v>WC 9705</v>
      </c>
      <c r="E22" s="19" t="str">
        <f>T("560021876")</f>
        <v>560021876</v>
      </c>
      <c r="F22" s="19" t="s">
        <v>17</v>
      </c>
      <c r="G22" s="19" t="s">
        <v>15</v>
      </c>
      <c r="H22" s="19" t="str">
        <f>T("1Z1V47910444442671")</f>
        <v>1Z1V47910444442671</v>
      </c>
      <c r="I22" s="19" t="s">
        <v>117</v>
      </c>
      <c r="J22" s="19" t="s">
        <v>117</v>
      </c>
      <c r="K22" s="19" t="str">
        <f>T("31010")</f>
        <v>31010</v>
      </c>
      <c r="L22" s="19" t="s">
        <v>18</v>
      </c>
      <c r="M22" s="21" t="s">
        <v>0</v>
      </c>
      <c r="N22" s="24">
        <v>45209</v>
      </c>
      <c r="O22" s="25"/>
    </row>
    <row r="23" spans="1:16" ht="16" hidden="1" x14ac:dyDescent="0.2">
      <c r="A23" s="19" t="s">
        <v>118</v>
      </c>
      <c r="B23" s="20">
        <v>45208</v>
      </c>
      <c r="C23" s="19" t="str">
        <f>T("330237917:0830370356")</f>
        <v>330237917:0830370356</v>
      </c>
      <c r="D23" s="19" t="str">
        <f>T("WC 9681")</f>
        <v>WC 9681</v>
      </c>
      <c r="E23" s="19" t="str">
        <f>T("560021888")</f>
        <v>560021888</v>
      </c>
      <c r="F23" s="19" t="s">
        <v>17</v>
      </c>
      <c r="G23" s="19" t="s">
        <v>15</v>
      </c>
      <c r="H23" s="19" t="str">
        <f>T("1Z1V47910444074284")</f>
        <v>1Z1V47910444074284</v>
      </c>
      <c r="I23" s="19" t="s">
        <v>119</v>
      </c>
      <c r="J23" s="19" t="s">
        <v>120</v>
      </c>
      <c r="K23" s="19" t="str">
        <f>T("58100")</f>
        <v>58100</v>
      </c>
      <c r="L23" s="19" t="s">
        <v>18</v>
      </c>
      <c r="M23" s="21" t="s">
        <v>0</v>
      </c>
      <c r="N23" s="24">
        <v>45210</v>
      </c>
      <c r="O23" s="25"/>
    </row>
    <row r="24" spans="1:16" ht="16" hidden="1" x14ac:dyDescent="0.2">
      <c r="A24" s="19" t="s">
        <v>121</v>
      </c>
      <c r="B24" s="20">
        <v>45208</v>
      </c>
      <c r="C24" s="19" t="str">
        <f>T("330237921:0830370360")</f>
        <v>330237921:0830370360</v>
      </c>
      <c r="D24" s="19" t="str">
        <f>T("WC 9703")</f>
        <v>WC 9703</v>
      </c>
      <c r="E24" s="19" t="str">
        <f>T("560021883")</f>
        <v>560021883</v>
      </c>
      <c r="F24" s="19" t="s">
        <v>17</v>
      </c>
      <c r="G24" s="19" t="s">
        <v>15</v>
      </c>
      <c r="H24" s="19" t="str">
        <f>T("1Z1V47910444086897")</f>
        <v>1Z1V47910444086897</v>
      </c>
      <c r="I24" s="19" t="s">
        <v>110</v>
      </c>
      <c r="J24" s="19" t="s">
        <v>110</v>
      </c>
      <c r="K24" s="19" t="str">
        <f>T("26030")</f>
        <v>26030</v>
      </c>
      <c r="L24" s="19" t="s">
        <v>18</v>
      </c>
      <c r="M24" s="21" t="s">
        <v>0</v>
      </c>
      <c r="N24" s="24">
        <v>45209</v>
      </c>
      <c r="O24" s="25"/>
    </row>
    <row r="25" spans="1:16" ht="16" hidden="1" x14ac:dyDescent="0.2">
      <c r="A25" s="19" t="s">
        <v>122</v>
      </c>
      <c r="B25" s="20">
        <v>45208</v>
      </c>
      <c r="C25" s="19" t="str">
        <f>T("330237916:0830370355")</f>
        <v>330237916:0830370355</v>
      </c>
      <c r="D25" s="19" t="str">
        <f>T("WC 9666")</f>
        <v>WC 9666</v>
      </c>
      <c r="E25" s="19" t="str">
        <f>T("560021886")</f>
        <v>560021886</v>
      </c>
      <c r="F25" s="19" t="s">
        <v>17</v>
      </c>
      <c r="G25" s="19" t="s">
        <v>15</v>
      </c>
      <c r="H25" s="19" t="str">
        <f>T("1Z1V47910443580505")</f>
        <v>1Z1V47910443580505</v>
      </c>
      <c r="I25" s="19" t="s">
        <v>123</v>
      </c>
      <c r="J25" s="19" t="s">
        <v>123</v>
      </c>
      <c r="K25" s="19" t="str">
        <f>T("95047")</f>
        <v>95047</v>
      </c>
      <c r="L25" s="19" t="s">
        <v>18</v>
      </c>
      <c r="M25" s="21" t="s">
        <v>0</v>
      </c>
      <c r="N25" s="24">
        <v>45216</v>
      </c>
      <c r="O25" s="25"/>
    </row>
    <row r="26" spans="1:16" ht="16" hidden="1" x14ac:dyDescent="0.2">
      <c r="A26" s="19" t="s">
        <v>124</v>
      </c>
      <c r="B26" s="20">
        <v>45208</v>
      </c>
      <c r="C26" s="19" t="str">
        <f>T("330237920:0830370359")</f>
        <v>330237920:0830370359</v>
      </c>
      <c r="D26" s="19" t="str">
        <f>T("WC 9692")</f>
        <v>WC 9692</v>
      </c>
      <c r="E26" s="19" t="str">
        <f>T("560021880")</f>
        <v>560021880</v>
      </c>
      <c r="F26" s="19" t="s">
        <v>17</v>
      </c>
      <c r="G26" s="19" t="s">
        <v>15</v>
      </c>
      <c r="H26" s="19" t="str">
        <f>T("1Z1V47910444655110")</f>
        <v>1Z1V47910444655110</v>
      </c>
      <c r="I26" s="19" t="s">
        <v>110</v>
      </c>
      <c r="J26" s="19" t="s">
        <v>110</v>
      </c>
      <c r="K26" s="19" t="str">
        <f>T("26030")</f>
        <v>26030</v>
      </c>
      <c r="L26" s="19" t="s">
        <v>18</v>
      </c>
      <c r="M26" s="21" t="s">
        <v>0</v>
      </c>
      <c r="N26" s="24">
        <v>45209</v>
      </c>
      <c r="O26" s="25"/>
    </row>
    <row r="27" spans="1:16" ht="16" hidden="1" x14ac:dyDescent="0.2">
      <c r="A27" s="19" t="s">
        <v>125</v>
      </c>
      <c r="B27" s="20">
        <v>45208</v>
      </c>
      <c r="C27" s="19" t="str">
        <f>T("330237912:0830370353")</f>
        <v>330237912:0830370353</v>
      </c>
      <c r="D27" s="19" t="str">
        <f>T("WC 9551")</f>
        <v>WC 9551</v>
      </c>
      <c r="E27" s="19" t="str">
        <f>T("560021878")</f>
        <v>560021878</v>
      </c>
      <c r="F27" s="19" t="s">
        <v>17</v>
      </c>
      <c r="G27" s="19" t="s">
        <v>15</v>
      </c>
      <c r="H27" s="19" t="str">
        <f>T("1Z1V47910443410724")</f>
        <v>1Z1V47910443410724</v>
      </c>
      <c r="I27" s="19" t="s">
        <v>112</v>
      </c>
      <c r="J27" s="19" t="s">
        <v>113</v>
      </c>
      <c r="K27" s="19" t="str">
        <f>T("80014")</f>
        <v>80014</v>
      </c>
      <c r="L27" s="19" t="s">
        <v>18</v>
      </c>
      <c r="M27" s="21" t="s">
        <v>0</v>
      </c>
      <c r="N27" s="24">
        <v>45210</v>
      </c>
      <c r="O27" s="25"/>
    </row>
    <row r="28" spans="1:16" ht="16" hidden="1" x14ac:dyDescent="0.2">
      <c r="A28" s="19" t="s">
        <v>126</v>
      </c>
      <c r="B28" s="20">
        <v>45208</v>
      </c>
      <c r="C28" s="19" t="str">
        <f>T("330237922:0830370361")</f>
        <v>330237922:0830370361</v>
      </c>
      <c r="D28" s="19" t="str">
        <f>T("WC 9704")</f>
        <v>WC 9704</v>
      </c>
      <c r="E28" s="19" t="str">
        <f>T("560021885")</f>
        <v>560021885</v>
      </c>
      <c r="F28" s="19" t="s">
        <v>16</v>
      </c>
      <c r="G28" s="19" t="s">
        <v>14</v>
      </c>
      <c r="H28" s="21">
        <v>607246044</v>
      </c>
      <c r="I28" s="19" t="s">
        <v>110</v>
      </c>
      <c r="J28" s="19" t="s">
        <v>110</v>
      </c>
      <c r="K28" s="19" t="str">
        <f>T("26030")</f>
        <v>26030</v>
      </c>
      <c r="L28" s="19" t="s">
        <v>18</v>
      </c>
      <c r="M28" s="21" t="s">
        <v>0</v>
      </c>
      <c r="N28" s="24">
        <v>45210</v>
      </c>
      <c r="O28" s="25"/>
    </row>
    <row r="29" spans="1:16" ht="16" hidden="1" x14ac:dyDescent="0.2">
      <c r="A29" s="19" t="s">
        <v>127</v>
      </c>
      <c r="B29" s="20">
        <v>45208</v>
      </c>
      <c r="C29" s="19" t="str">
        <f>T("330237918:0830370357")</f>
        <v>330237918:0830370357</v>
      </c>
      <c r="D29" s="19" t="str">
        <f>T("WC 9657")</f>
        <v>WC 9657</v>
      </c>
      <c r="E29" s="19" t="str">
        <f>T("560021894")</f>
        <v>560021894</v>
      </c>
      <c r="F29" s="19" t="s">
        <v>17</v>
      </c>
      <c r="G29" s="19" t="s">
        <v>15</v>
      </c>
      <c r="H29" s="19" t="str">
        <f>T("1Z1V47910444947331")</f>
        <v>1Z1V47910444947331</v>
      </c>
      <c r="I29" s="19" t="s">
        <v>128</v>
      </c>
      <c r="J29" s="19" t="s">
        <v>129</v>
      </c>
      <c r="K29" s="19" t="str">
        <f>T("90011")</f>
        <v>90011</v>
      </c>
      <c r="L29" s="19" t="s">
        <v>18</v>
      </c>
      <c r="M29" s="21" t="s">
        <v>0</v>
      </c>
      <c r="N29" s="24">
        <v>45210</v>
      </c>
      <c r="O29" s="25"/>
    </row>
    <row r="30" spans="1:16" ht="16" hidden="1" x14ac:dyDescent="0.2">
      <c r="A30" s="19" t="s">
        <v>130</v>
      </c>
      <c r="B30" s="20">
        <v>45208</v>
      </c>
      <c r="C30" s="19" t="str">
        <f>T("330237925:0830370364")</f>
        <v>330237925:0830370364</v>
      </c>
      <c r="D30" s="19" t="str">
        <f>T("WC 9683")</f>
        <v>WC 9683</v>
      </c>
      <c r="E30" s="19" t="str">
        <f>T("560021895")</f>
        <v>560021895</v>
      </c>
      <c r="F30" s="19" t="s">
        <v>16</v>
      </c>
      <c r="G30" s="19" t="s">
        <v>14</v>
      </c>
      <c r="H30" s="21">
        <v>607246058</v>
      </c>
      <c r="I30" s="19" t="s">
        <v>131</v>
      </c>
      <c r="J30" s="19" t="s">
        <v>131</v>
      </c>
      <c r="K30" s="19" t="str">
        <f>T("47843")</f>
        <v>47843</v>
      </c>
      <c r="L30" s="19" t="s">
        <v>18</v>
      </c>
      <c r="M30" s="21" t="s">
        <v>0</v>
      </c>
      <c r="N30" s="24">
        <v>45211</v>
      </c>
      <c r="O30" s="25"/>
    </row>
    <row r="31" spans="1:16" ht="16" hidden="1" x14ac:dyDescent="0.2">
      <c r="A31" s="19" t="s">
        <v>132</v>
      </c>
      <c r="B31" s="20">
        <v>45208</v>
      </c>
      <c r="C31" s="19" t="str">
        <f>T("330237923:0830370362")</f>
        <v>330237923:0830370362</v>
      </c>
      <c r="D31" s="19" t="str">
        <f>T("WC 9577")</f>
        <v>WC 9577</v>
      </c>
      <c r="E31" s="19" t="str">
        <f>T("560021887")</f>
        <v>560021887</v>
      </c>
      <c r="F31" s="19" t="s">
        <v>17</v>
      </c>
      <c r="G31" s="19" t="s">
        <v>15</v>
      </c>
      <c r="H31" s="19" t="str">
        <f>T("1Z1V47910445364941")</f>
        <v>1Z1V47910445364941</v>
      </c>
      <c r="I31" s="19" t="s">
        <v>133</v>
      </c>
      <c r="J31" s="19" t="s">
        <v>133</v>
      </c>
      <c r="K31" s="19" t="str">
        <f>T("16139")</f>
        <v>16139</v>
      </c>
      <c r="L31" s="19" t="s">
        <v>18</v>
      </c>
      <c r="M31" s="21" t="s">
        <v>0</v>
      </c>
      <c r="N31" s="24">
        <v>45209</v>
      </c>
      <c r="O31" s="25"/>
    </row>
    <row r="32" spans="1:16" ht="16" hidden="1" x14ac:dyDescent="0.2">
      <c r="A32" s="19" t="s">
        <v>134</v>
      </c>
      <c r="B32" s="20">
        <v>45208</v>
      </c>
      <c r="C32" s="19" t="str">
        <f>T("330212852:0830317781")</f>
        <v>330212852:0830317781</v>
      </c>
      <c r="D32" s="21"/>
      <c r="E32" s="19" t="str">
        <f>T("7710003234 manual")</f>
        <v>7710003234 manual</v>
      </c>
      <c r="F32" s="19" t="s">
        <v>17</v>
      </c>
      <c r="G32" s="19" t="s">
        <v>14</v>
      </c>
      <c r="H32" s="19">
        <v>607246089</v>
      </c>
      <c r="I32" s="19" t="s">
        <v>135</v>
      </c>
      <c r="J32" s="19" t="s">
        <v>136</v>
      </c>
      <c r="K32" s="19" t="str">
        <f>T("H91 FW1H")</f>
        <v>H91 FW1H</v>
      </c>
      <c r="L32" s="19" t="s">
        <v>25</v>
      </c>
      <c r="M32" s="21" t="s">
        <v>0</v>
      </c>
      <c r="N32" s="24">
        <v>45209</v>
      </c>
      <c r="O32" s="25"/>
    </row>
    <row r="33" spans="1:15" ht="16" hidden="1" x14ac:dyDescent="0.2">
      <c r="A33" s="19" t="s">
        <v>137</v>
      </c>
      <c r="B33" s="20">
        <v>45208</v>
      </c>
      <c r="C33" s="19" t="str">
        <f>T("330237924:0830370363")</f>
        <v>330237924:0830370363</v>
      </c>
      <c r="D33" s="19" t="str">
        <f>T("WC 9682")</f>
        <v>WC 9682</v>
      </c>
      <c r="E33" s="19" t="str">
        <f>T("560021890")</f>
        <v>560021890</v>
      </c>
      <c r="F33" s="19" t="s">
        <v>17</v>
      </c>
      <c r="G33" s="19" t="s">
        <v>15</v>
      </c>
      <c r="H33" s="19" t="str">
        <f>T("1Z1V47910443763559")</f>
        <v>1Z1V47910443763559</v>
      </c>
      <c r="I33" s="19" t="s">
        <v>131</v>
      </c>
      <c r="J33" s="19" t="s">
        <v>131</v>
      </c>
      <c r="K33" s="19" t="str">
        <f>T("47843")</f>
        <v>47843</v>
      </c>
      <c r="L33" s="19" t="s">
        <v>18</v>
      </c>
      <c r="M33" s="21" t="s">
        <v>0</v>
      </c>
      <c r="N33" s="24">
        <v>45209</v>
      </c>
      <c r="O33" s="25"/>
    </row>
    <row r="34" spans="1:15" ht="16" hidden="1" x14ac:dyDescent="0.2">
      <c r="A34" s="19" t="s">
        <v>138</v>
      </c>
      <c r="B34" s="20">
        <v>45209</v>
      </c>
      <c r="C34" s="19" t="str">
        <f>T("330215982:0830370369")</f>
        <v>330215982:0830370369</v>
      </c>
      <c r="D34" s="19" t="str">
        <f>T("PO064315")</f>
        <v>PO064315</v>
      </c>
      <c r="E34" s="19" t="str">
        <f>T("7680019654")</f>
        <v>7680019654</v>
      </c>
      <c r="F34" s="19" t="s">
        <v>17</v>
      </c>
      <c r="G34" s="19" t="s">
        <v>39</v>
      </c>
      <c r="H34" s="19" t="str">
        <f>T("7137953071")</f>
        <v>7137953071</v>
      </c>
      <c r="I34" s="19" t="s">
        <v>139</v>
      </c>
      <c r="J34" s="19" t="s">
        <v>140</v>
      </c>
      <c r="K34" s="19" t="str">
        <f>T("BL6 4SB")</f>
        <v>BL6 4SB</v>
      </c>
      <c r="L34" s="19" t="s">
        <v>40</v>
      </c>
      <c r="M34" s="21" t="s">
        <v>0</v>
      </c>
      <c r="N34" s="24">
        <v>45210</v>
      </c>
      <c r="O34" s="25"/>
    </row>
    <row r="35" spans="1:15" ht="16" hidden="1" x14ac:dyDescent="0.2">
      <c r="A35" s="19" t="s">
        <v>141</v>
      </c>
      <c r="B35" s="20">
        <v>45209</v>
      </c>
      <c r="C35" s="19" t="str">
        <f>T("330236965:0830369065")</f>
        <v>330236965:0830369065</v>
      </c>
      <c r="D35" s="21"/>
      <c r="E35" s="19" t="str">
        <f>T("SW20231005")</f>
        <v>SW20231005</v>
      </c>
      <c r="F35" s="19" t="s">
        <v>16</v>
      </c>
      <c r="G35" s="19" t="s">
        <v>14</v>
      </c>
      <c r="H35" s="19" t="str">
        <f>T("607246092")</f>
        <v>607246092</v>
      </c>
      <c r="I35" s="19" t="s">
        <v>142</v>
      </c>
      <c r="J35" s="19" t="s">
        <v>143</v>
      </c>
      <c r="K35" s="19" t="str">
        <f>T("69800")</f>
        <v>69800</v>
      </c>
      <c r="L35" s="19" t="s">
        <v>19</v>
      </c>
      <c r="M35" s="21" t="s">
        <v>0</v>
      </c>
      <c r="N35" s="24">
        <v>45210</v>
      </c>
      <c r="O35" s="25"/>
    </row>
    <row r="36" spans="1:15" ht="16" hidden="1" x14ac:dyDescent="0.2">
      <c r="A36" s="19" t="s">
        <v>144</v>
      </c>
      <c r="B36" s="20">
        <v>45209</v>
      </c>
      <c r="C36" s="19" t="str">
        <f>T("330231784:0830370756")</f>
        <v>330231784:0830370756</v>
      </c>
      <c r="D36" s="19" t="str">
        <f>T("ESPM232694")</f>
        <v>ESPM232694</v>
      </c>
      <c r="E36" s="19" t="str">
        <f>T("7700034347")</f>
        <v>7700034347</v>
      </c>
      <c r="F36" s="19" t="s">
        <v>17</v>
      </c>
      <c r="G36" s="19" t="s">
        <v>2409</v>
      </c>
      <c r="H36" s="19" t="str">
        <f>T("DSD119206")</f>
        <v>DSD119206</v>
      </c>
      <c r="I36" s="19" t="s">
        <v>145</v>
      </c>
      <c r="J36" s="19" t="s">
        <v>146</v>
      </c>
      <c r="K36" s="19" t="str">
        <f>T("36318")</f>
        <v>36318</v>
      </c>
      <c r="L36" s="19" t="s">
        <v>32</v>
      </c>
      <c r="M36" s="21" t="s">
        <v>0</v>
      </c>
      <c r="N36" s="24">
        <v>45210</v>
      </c>
      <c r="O36" s="25"/>
    </row>
    <row r="37" spans="1:15" ht="16" hidden="1" x14ac:dyDescent="0.2">
      <c r="A37" s="19" t="s">
        <v>147</v>
      </c>
      <c r="B37" s="20">
        <v>45209</v>
      </c>
      <c r="C37" s="19" t="str">
        <f>T("330222647:0830346584")</f>
        <v>330222647:0830346584</v>
      </c>
      <c r="D37" s="21"/>
      <c r="E37" s="19" t="str">
        <f>T("7690046769 manual")</f>
        <v>7690046769 manual</v>
      </c>
      <c r="F37" s="19" t="s">
        <v>16</v>
      </c>
      <c r="G37" s="19" t="s">
        <v>14</v>
      </c>
      <c r="H37" s="19" t="str">
        <f>T("607246101")</f>
        <v>607246101</v>
      </c>
      <c r="I37" s="19" t="s">
        <v>45</v>
      </c>
      <c r="J37" s="19" t="s">
        <v>148</v>
      </c>
      <c r="K37" s="19" t="str">
        <f>T("144 52")</f>
        <v>144 52</v>
      </c>
      <c r="L37" s="19" t="s">
        <v>36</v>
      </c>
      <c r="M37" s="21" t="s">
        <v>0</v>
      </c>
      <c r="N37" s="24">
        <v>45215</v>
      </c>
      <c r="O37" s="25"/>
    </row>
    <row r="38" spans="1:15" ht="16" hidden="1" x14ac:dyDescent="0.2">
      <c r="A38" s="19" t="s">
        <v>149</v>
      </c>
      <c r="B38" s="20">
        <v>45209</v>
      </c>
      <c r="C38" s="19" t="str">
        <f>T("330220468:0830370366")</f>
        <v>330220468:0830370366</v>
      </c>
      <c r="D38" s="21"/>
      <c r="E38" s="19" t="str">
        <f>T("7660222391 MANUAL")</f>
        <v>7660222391 MANUAL</v>
      </c>
      <c r="F38" s="19" t="s">
        <v>17</v>
      </c>
      <c r="G38" s="19" t="s">
        <v>14</v>
      </c>
      <c r="H38" s="19" t="str">
        <f>T("607246115")</f>
        <v>607246115</v>
      </c>
      <c r="I38" s="19" t="s">
        <v>150</v>
      </c>
      <c r="J38" s="19" t="s">
        <v>151</v>
      </c>
      <c r="K38" s="19" t="str">
        <f>T("72100")</f>
        <v>72100</v>
      </c>
      <c r="L38" s="19" t="s">
        <v>19</v>
      </c>
      <c r="M38" s="21" t="s">
        <v>0</v>
      </c>
      <c r="N38" s="24">
        <v>45210</v>
      </c>
      <c r="O38" s="25"/>
    </row>
    <row r="39" spans="1:15" ht="16" hidden="1" x14ac:dyDescent="0.2">
      <c r="A39" s="19" t="s">
        <v>152</v>
      </c>
      <c r="B39" s="20">
        <v>45209</v>
      </c>
      <c r="C39" s="19" t="str">
        <f>T("330026818:0830042943")</f>
        <v>330026818:0830042943</v>
      </c>
      <c r="D39" s="21"/>
      <c r="E39" s="19" t="str">
        <f>T("7660180378 re")</f>
        <v>7660180378 re</v>
      </c>
      <c r="F39" s="19" t="s">
        <v>16</v>
      </c>
      <c r="G39" s="19" t="s">
        <v>14</v>
      </c>
      <c r="H39" s="23">
        <v>607246129</v>
      </c>
      <c r="I39" s="19" t="s">
        <v>153</v>
      </c>
      <c r="J39" s="19" t="s">
        <v>154</v>
      </c>
      <c r="K39" s="19" t="str">
        <f>T("20600")</f>
        <v>20600</v>
      </c>
      <c r="L39" s="19" t="s">
        <v>19</v>
      </c>
      <c r="M39" s="21" t="s">
        <v>0</v>
      </c>
      <c r="N39" s="24">
        <v>45211</v>
      </c>
      <c r="O39" s="25"/>
    </row>
    <row r="40" spans="1:15" ht="16" hidden="1" x14ac:dyDescent="0.2">
      <c r="A40" s="19" t="s">
        <v>155</v>
      </c>
      <c r="B40" s="20">
        <v>45209</v>
      </c>
      <c r="C40" s="19" t="str">
        <f>T("330230786:0830371027")</f>
        <v>330230786:0830371027</v>
      </c>
      <c r="D40" s="19" t="str">
        <f>T("23-120")</f>
        <v>23-120</v>
      </c>
      <c r="E40" s="19" t="str">
        <f>T("7690046997")</f>
        <v>7690046997</v>
      </c>
      <c r="F40" s="19" t="s">
        <v>17</v>
      </c>
      <c r="G40" s="19" t="s">
        <v>15</v>
      </c>
      <c r="H40" s="19" t="str">
        <f>T("1Z1V47910445243161")</f>
        <v>1Z1V47910445243161</v>
      </c>
      <c r="I40" s="19" t="s">
        <v>156</v>
      </c>
      <c r="J40" s="19" t="s">
        <v>157</v>
      </c>
      <c r="K40" s="19" t="str">
        <f>T("20021")</f>
        <v>20021</v>
      </c>
      <c r="L40" s="19" t="s">
        <v>18</v>
      </c>
      <c r="M40" s="21" t="s">
        <v>0</v>
      </c>
      <c r="N40" s="24">
        <v>45210</v>
      </c>
      <c r="O40" s="25"/>
    </row>
    <row r="41" spans="1:15" ht="16" hidden="1" x14ac:dyDescent="0.2">
      <c r="A41" s="19" t="s">
        <v>158</v>
      </c>
      <c r="B41" s="20">
        <v>45209</v>
      </c>
      <c r="C41" s="19" t="str">
        <f>T("330237593:0830371246")</f>
        <v>330237593:0830371246</v>
      </c>
      <c r="D41" s="19" t="str">
        <f>T("WC 9697")</f>
        <v>WC 9697</v>
      </c>
      <c r="E41" s="19" t="str">
        <f>T("560021892")</f>
        <v>560021892</v>
      </c>
      <c r="F41" s="19" t="s">
        <v>17</v>
      </c>
      <c r="G41" s="19" t="s">
        <v>15</v>
      </c>
      <c r="H41" s="19" t="str">
        <f>T("1Z1V47910445903779")</f>
        <v>1Z1V47910445903779</v>
      </c>
      <c r="I41" s="19" t="s">
        <v>159</v>
      </c>
      <c r="J41" s="19" t="s">
        <v>159</v>
      </c>
      <c r="K41" s="19" t="str">
        <f>T("91026")</f>
        <v>91026</v>
      </c>
      <c r="L41" s="19" t="s">
        <v>18</v>
      </c>
      <c r="M41" s="21" t="s">
        <v>0</v>
      </c>
      <c r="N41" s="24">
        <v>45210</v>
      </c>
      <c r="O41" s="25"/>
    </row>
    <row r="42" spans="1:15" ht="16" hidden="1" x14ac:dyDescent="0.2">
      <c r="A42" s="19" t="s">
        <v>160</v>
      </c>
      <c r="B42" s="20">
        <v>45210</v>
      </c>
      <c r="C42" s="19" t="str">
        <f>T("330238786:0830372881")</f>
        <v>330238786:0830372881</v>
      </c>
      <c r="D42" s="19" t="str">
        <f>T("00100133-SAV RAM9")</f>
        <v>00100133-SAV RAM9</v>
      </c>
      <c r="E42" s="19" t="str">
        <f>T("510146042")</f>
        <v>510146042</v>
      </c>
      <c r="F42" s="19" t="s">
        <v>17</v>
      </c>
      <c r="G42" s="19" t="s">
        <v>14</v>
      </c>
      <c r="H42" s="19" t="str">
        <f>T("607247169")</f>
        <v>607247169</v>
      </c>
      <c r="I42" s="19" t="s">
        <v>161</v>
      </c>
      <c r="J42" s="19" t="s">
        <v>162</v>
      </c>
      <c r="K42" s="19" t="str">
        <f>T("84810")</f>
        <v>84810</v>
      </c>
      <c r="L42" s="19" t="s">
        <v>19</v>
      </c>
      <c r="M42" s="21" t="s">
        <v>0</v>
      </c>
      <c r="N42" s="24">
        <v>45211</v>
      </c>
      <c r="O42" s="25"/>
    </row>
    <row r="43" spans="1:15" ht="16" hidden="1" x14ac:dyDescent="0.2">
      <c r="A43" s="19" t="s">
        <v>163</v>
      </c>
      <c r="B43" s="20">
        <v>45210</v>
      </c>
      <c r="C43" s="19" t="str">
        <f>T("330238617:0830372771")</f>
        <v>330238617:0830372771</v>
      </c>
      <c r="D43" s="19" t="str">
        <f>T("mme montembault")</f>
        <v>mme montembault</v>
      </c>
      <c r="E43" s="19" t="str">
        <f>T("510145974")</f>
        <v>510145974</v>
      </c>
      <c r="F43" s="19" t="s">
        <v>17</v>
      </c>
      <c r="G43" s="19" t="s">
        <v>14</v>
      </c>
      <c r="H43" s="19" t="str">
        <f>T("607247291")</f>
        <v>607247291</v>
      </c>
      <c r="I43" s="19" t="s">
        <v>164</v>
      </c>
      <c r="J43" s="19" t="s">
        <v>165</v>
      </c>
      <c r="K43" s="19" t="str">
        <f>T("72210")</f>
        <v>72210</v>
      </c>
      <c r="L43" s="19" t="s">
        <v>19</v>
      </c>
      <c r="M43" s="21" t="s">
        <v>0</v>
      </c>
      <c r="N43" s="24">
        <v>45211</v>
      </c>
      <c r="O43" s="25"/>
    </row>
    <row r="44" spans="1:15" ht="16" hidden="1" x14ac:dyDescent="0.2">
      <c r="A44" s="19" t="s">
        <v>166</v>
      </c>
      <c r="B44" s="20">
        <v>45210</v>
      </c>
      <c r="C44" s="19" t="str">
        <f>T("330238703:0830372823")</f>
        <v>330238703:0830372823</v>
      </c>
      <c r="D44" s="19" t="str">
        <f>T("CDC127540 E0094 S")</f>
        <v>CDC127540 E0094 S</v>
      </c>
      <c r="E44" s="19" t="str">
        <f>T("510146236")</f>
        <v>510146236</v>
      </c>
      <c r="F44" s="19" t="s">
        <v>17</v>
      </c>
      <c r="G44" s="19" t="s">
        <v>14</v>
      </c>
      <c r="H44" s="19" t="str">
        <f>T("607247274")</f>
        <v>607247274</v>
      </c>
      <c r="I44" s="19" t="s">
        <v>167</v>
      </c>
      <c r="J44" s="19" t="s">
        <v>168</v>
      </c>
      <c r="K44" s="19" t="str">
        <f>T("86000")</f>
        <v>86000</v>
      </c>
      <c r="L44" s="19" t="s">
        <v>19</v>
      </c>
      <c r="M44" s="21" t="s">
        <v>0</v>
      </c>
      <c r="N44" s="24">
        <v>45212</v>
      </c>
      <c r="O44" s="25"/>
    </row>
    <row r="45" spans="1:15" ht="16" hidden="1" x14ac:dyDescent="0.2">
      <c r="A45" s="19" t="s">
        <v>169</v>
      </c>
      <c r="B45" s="20">
        <v>45210</v>
      </c>
      <c r="C45" s="19" t="str">
        <f>T("330238566:0830372700")</f>
        <v>330238566:0830372700</v>
      </c>
      <c r="D45" s="19" t="str">
        <f>T("WC-POULIQUEN")</f>
        <v>WC-POULIQUEN</v>
      </c>
      <c r="E45" s="19" t="str">
        <f>T("510146437")</f>
        <v>510146437</v>
      </c>
      <c r="F45" s="19" t="s">
        <v>17</v>
      </c>
      <c r="G45" s="19" t="s">
        <v>14</v>
      </c>
      <c r="H45" s="19" t="str">
        <f>T("607246407")</f>
        <v>607246407</v>
      </c>
      <c r="I45" s="19" t="s">
        <v>47</v>
      </c>
      <c r="J45" s="19" t="s">
        <v>170</v>
      </c>
      <c r="K45" s="19" t="str">
        <f>T("13854")</f>
        <v>13854</v>
      </c>
      <c r="L45" s="19" t="s">
        <v>19</v>
      </c>
      <c r="M45" s="21" t="s">
        <v>0</v>
      </c>
      <c r="N45" s="24">
        <v>45211</v>
      </c>
      <c r="O45" s="25"/>
    </row>
    <row r="46" spans="1:15" ht="16" hidden="1" x14ac:dyDescent="0.2">
      <c r="A46" s="19" t="s">
        <v>171</v>
      </c>
      <c r="B46" s="20">
        <v>45210</v>
      </c>
      <c r="C46" s="19" t="str">
        <f>T("330238713:0830372829")</f>
        <v>330238713:0830372829</v>
      </c>
      <c r="D46" s="19" t="str">
        <f>T("WC LAUGEL")</f>
        <v>WC LAUGEL</v>
      </c>
      <c r="E46" s="19" t="str">
        <f>T("510146475")</f>
        <v>510146475</v>
      </c>
      <c r="F46" s="19" t="s">
        <v>17</v>
      </c>
      <c r="G46" s="19" t="s">
        <v>14</v>
      </c>
      <c r="H46" s="19" t="str">
        <f>T("607246163")</f>
        <v>607246163</v>
      </c>
      <c r="I46" s="19" t="s">
        <v>172</v>
      </c>
      <c r="J46" s="19" t="s">
        <v>173</v>
      </c>
      <c r="K46" s="19" t="str">
        <f>T("68280")</f>
        <v>68280</v>
      </c>
      <c r="L46" s="19" t="s">
        <v>19</v>
      </c>
      <c r="M46" s="21" t="s">
        <v>0</v>
      </c>
      <c r="N46" s="24">
        <v>45211</v>
      </c>
      <c r="O46" s="25"/>
    </row>
    <row r="47" spans="1:15" ht="16" hidden="1" x14ac:dyDescent="0.2">
      <c r="A47" s="19" t="s">
        <v>174</v>
      </c>
      <c r="B47" s="20">
        <v>45210</v>
      </c>
      <c r="C47" s="19" t="str">
        <f>T("330238555:0830372692")</f>
        <v>330238555:0830372692</v>
      </c>
      <c r="D47" s="19" t="str">
        <f>T("WC AMGARD")</f>
        <v>WC AMGARD</v>
      </c>
      <c r="E47" s="19" t="str">
        <f>T("510146423")</f>
        <v>510146423</v>
      </c>
      <c r="F47" s="19" t="s">
        <v>16</v>
      </c>
      <c r="G47" s="19" t="s">
        <v>14</v>
      </c>
      <c r="H47" s="19">
        <v>607247331</v>
      </c>
      <c r="I47" s="19" t="s">
        <v>175</v>
      </c>
      <c r="J47" s="19" t="s">
        <v>176</v>
      </c>
      <c r="K47" s="19" t="str">
        <f>T("68330")</f>
        <v>68330</v>
      </c>
      <c r="L47" s="19" t="s">
        <v>19</v>
      </c>
      <c r="M47" s="21" t="s">
        <v>0</v>
      </c>
      <c r="N47" s="24">
        <v>45212</v>
      </c>
      <c r="O47" s="25"/>
    </row>
    <row r="48" spans="1:15" ht="16" hidden="1" x14ac:dyDescent="0.2">
      <c r="A48" s="19" t="s">
        <v>177</v>
      </c>
      <c r="B48" s="20">
        <v>45210</v>
      </c>
      <c r="C48" s="19" t="str">
        <f>T("330238730:0830372839")</f>
        <v>330238730:0830372839</v>
      </c>
      <c r="D48" s="19" t="str">
        <f>T("00100133-SAV RAM9")</f>
        <v>00100133-SAV RAM9</v>
      </c>
      <c r="E48" s="19" t="str">
        <f>T("510146153")</f>
        <v>510146153</v>
      </c>
      <c r="F48" s="19" t="s">
        <v>17</v>
      </c>
      <c r="G48" s="19" t="s">
        <v>14</v>
      </c>
      <c r="H48" s="19" t="str">
        <f>T("607247172")</f>
        <v>607247172</v>
      </c>
      <c r="I48" s="19" t="s">
        <v>161</v>
      </c>
      <c r="J48" s="19" t="s">
        <v>162</v>
      </c>
      <c r="K48" s="19" t="str">
        <f>T("84810")</f>
        <v>84810</v>
      </c>
      <c r="L48" s="19" t="s">
        <v>19</v>
      </c>
      <c r="M48" s="21" t="s">
        <v>0</v>
      </c>
      <c r="N48" s="24">
        <v>45211</v>
      </c>
      <c r="O48" s="25"/>
    </row>
    <row r="49" spans="1:15" ht="16" hidden="1" x14ac:dyDescent="0.2">
      <c r="A49" s="19" t="s">
        <v>178</v>
      </c>
      <c r="B49" s="20">
        <v>45210</v>
      </c>
      <c r="C49" s="19" t="str">
        <f>T("330238717:0830372832")</f>
        <v>330238717:0830372832</v>
      </c>
      <c r="D49" s="19" t="str">
        <f>T("WC PAC SOLIDAIRE")</f>
        <v>WC PAC SOLIDAIRE</v>
      </c>
      <c r="E49" s="19" t="str">
        <f>T("510146485")</f>
        <v>510146485</v>
      </c>
      <c r="F49" s="19" t="s">
        <v>16</v>
      </c>
      <c r="G49" s="19" t="s">
        <v>14</v>
      </c>
      <c r="H49" s="19" t="str">
        <f>T("607246185")</f>
        <v>607246185</v>
      </c>
      <c r="I49" s="19" t="s">
        <v>22</v>
      </c>
      <c r="J49" s="19" t="s">
        <v>24</v>
      </c>
      <c r="K49" s="19" t="str">
        <f>T("26200")</f>
        <v>26200</v>
      </c>
      <c r="L49" s="19" t="s">
        <v>19</v>
      </c>
      <c r="M49" s="21" t="s">
        <v>0</v>
      </c>
      <c r="N49" s="24">
        <v>45211</v>
      </c>
      <c r="O49" s="25"/>
    </row>
    <row r="50" spans="1:15" ht="16" hidden="1" x14ac:dyDescent="0.2">
      <c r="A50" s="19" t="s">
        <v>179</v>
      </c>
      <c r="B50" s="20">
        <v>45210</v>
      </c>
      <c r="C50" s="19" t="str">
        <f>T("330238560:0830372695")</f>
        <v>330238560:0830372695</v>
      </c>
      <c r="D50" s="19" t="str">
        <f>T("WC-PERFECTUBES")</f>
        <v>WC-PERFECTUBES</v>
      </c>
      <c r="E50" s="19" t="str">
        <f>T("510146429")</f>
        <v>510146429</v>
      </c>
      <c r="F50" s="19" t="s">
        <v>17</v>
      </c>
      <c r="G50" s="19" t="s">
        <v>14</v>
      </c>
      <c r="H50" s="19" t="str">
        <f>T("607246194")</f>
        <v>607246194</v>
      </c>
      <c r="I50" s="19" t="s">
        <v>47</v>
      </c>
      <c r="J50" s="19" t="s">
        <v>180</v>
      </c>
      <c r="K50" s="19" t="str">
        <f>T("06370")</f>
        <v>06370</v>
      </c>
      <c r="L50" s="19" t="s">
        <v>19</v>
      </c>
      <c r="M50" s="21" t="s">
        <v>0</v>
      </c>
      <c r="N50" s="24">
        <v>45211</v>
      </c>
      <c r="O50" s="25"/>
    </row>
    <row r="51" spans="1:15" ht="16" hidden="1" x14ac:dyDescent="0.2">
      <c r="A51" s="19" t="s">
        <v>181</v>
      </c>
      <c r="B51" s="20">
        <v>45210</v>
      </c>
      <c r="C51" s="19" t="str">
        <f>T("330238561:0830372696")</f>
        <v>330238561:0830372696</v>
      </c>
      <c r="D51" s="19" t="str">
        <f>T("WC-EHR")</f>
        <v>WC-EHR</v>
      </c>
      <c r="E51" s="19" t="str">
        <f>T("510146430")</f>
        <v>510146430</v>
      </c>
      <c r="F51" s="19" t="s">
        <v>17</v>
      </c>
      <c r="G51" s="19" t="s">
        <v>14</v>
      </c>
      <c r="H51" s="19" t="str">
        <f>T("607246203")</f>
        <v>607246203</v>
      </c>
      <c r="I51" s="19" t="s">
        <v>47</v>
      </c>
      <c r="J51" s="19" t="s">
        <v>180</v>
      </c>
      <c r="K51" s="19" t="str">
        <f>T("06370")</f>
        <v>06370</v>
      </c>
      <c r="L51" s="19" t="s">
        <v>19</v>
      </c>
      <c r="M51" s="21" t="s">
        <v>0</v>
      </c>
      <c r="N51" s="24">
        <v>45211</v>
      </c>
      <c r="O51" s="25"/>
    </row>
    <row r="52" spans="1:15" ht="16" hidden="1" x14ac:dyDescent="0.2">
      <c r="A52" s="19" t="s">
        <v>182</v>
      </c>
      <c r="B52" s="20">
        <v>45210</v>
      </c>
      <c r="C52" s="19" t="str">
        <f>T("330238565:0830372699")</f>
        <v>330238565:0830372699</v>
      </c>
      <c r="D52" s="19" t="str">
        <f>T("WC-TRECCO")</f>
        <v>WC-TRECCO</v>
      </c>
      <c r="E52" s="19" t="str">
        <f>T("510146435")</f>
        <v>510146435</v>
      </c>
      <c r="F52" s="19" t="s">
        <v>16</v>
      </c>
      <c r="G52" s="19" t="s">
        <v>14</v>
      </c>
      <c r="H52" s="19" t="str">
        <f>T("607246217")</f>
        <v>607246217</v>
      </c>
      <c r="I52" s="19" t="s">
        <v>47</v>
      </c>
      <c r="J52" s="19" t="s">
        <v>180</v>
      </c>
      <c r="K52" s="19" t="str">
        <f>T("06370")</f>
        <v>06370</v>
      </c>
      <c r="L52" s="19" t="s">
        <v>19</v>
      </c>
      <c r="M52" s="21" t="s">
        <v>0</v>
      </c>
      <c r="N52" s="24">
        <v>45211</v>
      </c>
      <c r="O52" s="25"/>
    </row>
    <row r="53" spans="1:15" ht="16" hidden="1" x14ac:dyDescent="0.2">
      <c r="A53" s="19" t="s">
        <v>183</v>
      </c>
      <c r="B53" s="20">
        <v>45210</v>
      </c>
      <c r="C53" s="19" t="str">
        <f>T("330238768:0830372870")</f>
        <v>330238768:0830372870</v>
      </c>
      <c r="D53" s="19" t="str">
        <f>T("WC-MR COUSIN")</f>
        <v>WC-MR COUSIN</v>
      </c>
      <c r="E53" s="19" t="str">
        <f>T("510146407")</f>
        <v>510146407</v>
      </c>
      <c r="F53" s="19" t="s">
        <v>17</v>
      </c>
      <c r="G53" s="19" t="s">
        <v>14</v>
      </c>
      <c r="H53" s="19" t="str">
        <f>T("607246225")</f>
        <v>607246225</v>
      </c>
      <c r="I53" s="19" t="s">
        <v>184</v>
      </c>
      <c r="J53" s="19" t="s">
        <v>185</v>
      </c>
      <c r="K53" s="19" t="str">
        <f>T("45140")</f>
        <v>45140</v>
      </c>
      <c r="L53" s="19" t="s">
        <v>19</v>
      </c>
      <c r="M53" s="21" t="s">
        <v>0</v>
      </c>
      <c r="N53" s="24">
        <v>45211</v>
      </c>
      <c r="O53" s="25"/>
    </row>
    <row r="54" spans="1:15" ht="16" hidden="1" x14ac:dyDescent="0.2">
      <c r="A54" s="19" t="s">
        <v>186</v>
      </c>
      <c r="B54" s="20">
        <v>45210</v>
      </c>
      <c r="C54" s="19" t="str">
        <f>T("330238705:0830372824")</f>
        <v>330238705:0830372824</v>
      </c>
      <c r="D54" s="19" t="str">
        <f>T("WC-MR LEBRET")</f>
        <v>WC-MR LEBRET</v>
      </c>
      <c r="E54" s="19" t="str">
        <f>T("510146459")</f>
        <v>510146459</v>
      </c>
      <c r="F54" s="19" t="s">
        <v>17</v>
      </c>
      <c r="G54" s="19" t="s">
        <v>14</v>
      </c>
      <c r="H54" s="19" t="str">
        <f>T("607246234")</f>
        <v>607246234</v>
      </c>
      <c r="I54" s="19" t="s">
        <v>47</v>
      </c>
      <c r="J54" s="19" t="s">
        <v>187</v>
      </c>
      <c r="K54" s="19" t="str">
        <f>T("18500")</f>
        <v>18500</v>
      </c>
      <c r="L54" s="19" t="s">
        <v>19</v>
      </c>
      <c r="M54" s="21" t="s">
        <v>0</v>
      </c>
      <c r="N54" s="24">
        <v>45212</v>
      </c>
      <c r="O54" s="25"/>
    </row>
    <row r="55" spans="1:15" ht="16" hidden="1" x14ac:dyDescent="0.2">
      <c r="A55" s="19" t="s">
        <v>188</v>
      </c>
      <c r="B55" s="20">
        <v>45210</v>
      </c>
      <c r="C55" s="19" t="str">
        <f>T("330238709:0830372827")</f>
        <v>330238709:0830372827</v>
      </c>
      <c r="D55" s="19" t="str">
        <f>T("WC LE ROI SOLAIRE")</f>
        <v>WC LE ROI SOLAIRE</v>
      </c>
      <c r="E55" s="19" t="str">
        <f>T("510146478")</f>
        <v>510146478</v>
      </c>
      <c r="F55" s="19" t="s">
        <v>17</v>
      </c>
      <c r="G55" s="19" t="s">
        <v>14</v>
      </c>
      <c r="H55" s="19" t="str">
        <f>T("607246248")</f>
        <v>607246248</v>
      </c>
      <c r="I55" s="19" t="s">
        <v>22</v>
      </c>
      <c r="J55" s="19" t="s">
        <v>24</v>
      </c>
      <c r="K55" s="19" t="str">
        <f>T("26200")</f>
        <v>26200</v>
      </c>
      <c r="L55" s="19" t="s">
        <v>19</v>
      </c>
      <c r="M55" s="21" t="s">
        <v>0</v>
      </c>
      <c r="N55" s="24">
        <v>45211</v>
      </c>
      <c r="O55" s="25"/>
    </row>
    <row r="56" spans="1:15" ht="16" hidden="1" x14ac:dyDescent="0.2">
      <c r="A56" s="19" t="s">
        <v>189</v>
      </c>
      <c r="B56" s="20">
        <v>45210</v>
      </c>
      <c r="C56" s="19" t="str">
        <f>T("330238631:0830372783")</f>
        <v>330238631:0830372783</v>
      </c>
      <c r="D56" s="19" t="str">
        <f>T("WC")</f>
        <v>WC</v>
      </c>
      <c r="E56" s="19" t="str">
        <f>T("510146421")</f>
        <v>510146421</v>
      </c>
      <c r="F56" s="19" t="s">
        <v>17</v>
      </c>
      <c r="G56" s="19" t="s">
        <v>14</v>
      </c>
      <c r="H56" s="19" t="str">
        <f>T("607246251")</f>
        <v>607246251</v>
      </c>
      <c r="I56" s="19" t="s">
        <v>190</v>
      </c>
      <c r="J56" s="19" t="s">
        <v>191</v>
      </c>
      <c r="K56" s="19" t="str">
        <f>T("63540")</f>
        <v>63540</v>
      </c>
      <c r="L56" s="19" t="s">
        <v>19</v>
      </c>
      <c r="M56" s="21" t="s">
        <v>0</v>
      </c>
      <c r="N56" s="24">
        <v>45212</v>
      </c>
      <c r="O56" s="25"/>
    </row>
    <row r="57" spans="1:15" ht="16" hidden="1" x14ac:dyDescent="0.2">
      <c r="A57" s="19" t="s">
        <v>192</v>
      </c>
      <c r="B57" s="20">
        <v>45210</v>
      </c>
      <c r="C57" s="19" t="str">
        <f>T("330238632:0830372784")</f>
        <v>330238632:0830372784</v>
      </c>
      <c r="D57" s="19" t="str">
        <f>T("WC-RIDET")</f>
        <v>WC-RIDET</v>
      </c>
      <c r="E57" s="19" t="str">
        <f>T("510146422")</f>
        <v>510146422</v>
      </c>
      <c r="F57" s="19" t="s">
        <v>17</v>
      </c>
      <c r="G57" s="19" t="s">
        <v>14</v>
      </c>
      <c r="H57" s="19" t="str">
        <f>T("607246265")</f>
        <v>607246265</v>
      </c>
      <c r="I57" s="19" t="s">
        <v>193</v>
      </c>
      <c r="J57" s="19" t="s">
        <v>194</v>
      </c>
      <c r="K57" s="19" t="str">
        <f>T("18800")</f>
        <v>18800</v>
      </c>
      <c r="L57" s="19" t="s">
        <v>19</v>
      </c>
      <c r="M57" s="21" t="s">
        <v>0</v>
      </c>
      <c r="N57" s="24">
        <v>45215</v>
      </c>
      <c r="O57" s="25"/>
    </row>
    <row r="58" spans="1:15" ht="16" hidden="1" x14ac:dyDescent="0.2">
      <c r="A58" s="19" t="s">
        <v>195</v>
      </c>
      <c r="B58" s="20">
        <v>45210</v>
      </c>
      <c r="C58" s="19" t="str">
        <f>T("330238594:0830372718")</f>
        <v>330238594:0830372718</v>
      </c>
      <c r="D58" s="19" t="str">
        <f>T("CDC127229 S0098 S")</f>
        <v>CDC127229 S0098 S</v>
      </c>
      <c r="E58" s="19" t="str">
        <f>T("510145940")</f>
        <v>510145940</v>
      </c>
      <c r="F58" s="19" t="s">
        <v>16</v>
      </c>
      <c r="G58" s="19" t="s">
        <v>14</v>
      </c>
      <c r="H58" s="19" t="str">
        <f>T("607247115")</f>
        <v>607247115</v>
      </c>
      <c r="I58" s="19" t="s">
        <v>196</v>
      </c>
      <c r="J58" s="19" t="s">
        <v>197</v>
      </c>
      <c r="K58" s="19" t="str">
        <f>T("40100")</f>
        <v>40100</v>
      </c>
      <c r="L58" s="19" t="s">
        <v>19</v>
      </c>
      <c r="M58" s="21" t="s">
        <v>0</v>
      </c>
      <c r="N58" s="24">
        <v>45217</v>
      </c>
      <c r="O58" s="25" t="s">
        <v>66</v>
      </c>
    </row>
    <row r="59" spans="1:15" ht="16" hidden="1" x14ac:dyDescent="0.2">
      <c r="A59" s="19" t="s">
        <v>198</v>
      </c>
      <c r="B59" s="20">
        <v>45210</v>
      </c>
      <c r="C59" s="19" t="str">
        <f>T("330238607:0830372764")</f>
        <v>330238607:0830372764</v>
      </c>
      <c r="D59" s="19" t="str">
        <f>T("SAVC Julien QUEUD")</f>
        <v>SAVC Julien QUEUD</v>
      </c>
      <c r="E59" s="19" t="str">
        <f>T("510146051")</f>
        <v>510146051</v>
      </c>
      <c r="F59" s="19" t="s">
        <v>17</v>
      </c>
      <c r="G59" s="19" t="s">
        <v>14</v>
      </c>
      <c r="H59" s="19" t="str">
        <f>T("607247243")</f>
        <v>607247243</v>
      </c>
      <c r="I59" s="19" t="s">
        <v>199</v>
      </c>
      <c r="J59" s="19" t="s">
        <v>200</v>
      </c>
      <c r="K59" s="19" t="str">
        <f>T("14123")</f>
        <v>14123</v>
      </c>
      <c r="L59" s="19" t="s">
        <v>19</v>
      </c>
      <c r="M59" s="21" t="s">
        <v>0</v>
      </c>
      <c r="N59" s="24">
        <v>45211</v>
      </c>
      <c r="O59" s="25"/>
    </row>
    <row r="60" spans="1:15" ht="16" hidden="1" x14ac:dyDescent="0.2">
      <c r="A60" s="19" t="s">
        <v>201</v>
      </c>
      <c r="B60" s="20">
        <v>45210</v>
      </c>
      <c r="C60" s="19" t="str">
        <f>T("330238582:0830372708")</f>
        <v>330238582:0830372708</v>
      </c>
      <c r="D60" s="19" t="str">
        <f>T("00100200-SAV VABR")</f>
        <v>00100200-SAV VABR</v>
      </c>
      <c r="E60" s="19" t="str">
        <f>T("510146001")</f>
        <v>510146001</v>
      </c>
      <c r="F60" s="19" t="s">
        <v>16</v>
      </c>
      <c r="G60" s="19" t="s">
        <v>14</v>
      </c>
      <c r="H60" s="19" t="str">
        <f>T("607246282")</f>
        <v>607246282</v>
      </c>
      <c r="I60" s="19" t="s">
        <v>202</v>
      </c>
      <c r="J60" s="19" t="s">
        <v>203</v>
      </c>
      <c r="K60" s="19" t="str">
        <f>T("26790")</f>
        <v>26790</v>
      </c>
      <c r="L60" s="19" t="s">
        <v>19</v>
      </c>
      <c r="M60" s="21" t="s">
        <v>0</v>
      </c>
      <c r="N60" s="24">
        <v>45211</v>
      </c>
      <c r="O60" s="25"/>
    </row>
    <row r="61" spans="1:15" ht="16" hidden="1" x14ac:dyDescent="0.2">
      <c r="A61" s="19" t="s">
        <v>204</v>
      </c>
      <c r="B61" s="20">
        <v>45210</v>
      </c>
      <c r="C61" s="19" t="str">
        <f>T("330238623:0830372776")</f>
        <v>330238623:0830372776</v>
      </c>
      <c r="D61" s="19" t="str">
        <f>T("00100196-SAV 2120")</f>
        <v>00100196-SAV 2120</v>
      </c>
      <c r="E61" s="19" t="str">
        <f>T("510145994")</f>
        <v>510145994</v>
      </c>
      <c r="F61" s="19" t="s">
        <v>17</v>
      </c>
      <c r="G61" s="19" t="s">
        <v>14</v>
      </c>
      <c r="H61" s="19" t="str">
        <f>T("607247305")</f>
        <v>607247305</v>
      </c>
      <c r="I61" s="19" t="s">
        <v>205</v>
      </c>
      <c r="J61" s="19" t="s">
        <v>206</v>
      </c>
      <c r="K61" s="19" t="str">
        <f>T("83160")</f>
        <v>83160</v>
      </c>
      <c r="L61" s="19" t="s">
        <v>19</v>
      </c>
      <c r="M61" s="21" t="s">
        <v>0</v>
      </c>
      <c r="N61" s="24">
        <v>45212</v>
      </c>
      <c r="O61" s="25"/>
    </row>
    <row r="62" spans="1:15" ht="16" hidden="1" x14ac:dyDescent="0.2">
      <c r="A62" s="19" t="s">
        <v>207</v>
      </c>
      <c r="B62" s="20">
        <v>45210</v>
      </c>
      <c r="C62" s="19" t="str">
        <f>T("330238577:0830372704")</f>
        <v>330238577:0830372704</v>
      </c>
      <c r="D62" s="19" t="str">
        <f>T("WC ARC INTERNATI")</f>
        <v>WC ARC INTERNATI</v>
      </c>
      <c r="E62" s="19" t="str">
        <f>T("510146456")</f>
        <v>510146456</v>
      </c>
      <c r="F62" s="19" t="s">
        <v>17</v>
      </c>
      <c r="G62" s="19" t="s">
        <v>14</v>
      </c>
      <c r="H62" s="19" t="str">
        <f>T("607246305")</f>
        <v>607246305</v>
      </c>
      <c r="I62" s="19" t="s">
        <v>57</v>
      </c>
      <c r="J62" s="19" t="s">
        <v>208</v>
      </c>
      <c r="K62" s="19" t="str">
        <f>T("62910")</f>
        <v>62910</v>
      </c>
      <c r="L62" s="19" t="s">
        <v>19</v>
      </c>
      <c r="M62" s="21" t="s">
        <v>0</v>
      </c>
      <c r="N62" s="24">
        <v>45211</v>
      </c>
      <c r="O62" s="25"/>
    </row>
    <row r="63" spans="1:15" ht="16" hidden="1" x14ac:dyDescent="0.2">
      <c r="A63" s="19" t="s">
        <v>209</v>
      </c>
      <c r="B63" s="20">
        <v>45210</v>
      </c>
      <c r="C63" s="19" t="str">
        <f>T("330238794:0830372886")</f>
        <v>330238794:0830372886</v>
      </c>
      <c r="D63" s="19" t="str">
        <f>T("CF43086")</f>
        <v>CF43086</v>
      </c>
      <c r="E63" s="19" t="str">
        <f>T("510145928")</f>
        <v>510145928</v>
      </c>
      <c r="F63" s="19" t="s">
        <v>17</v>
      </c>
      <c r="G63" s="19" t="s">
        <v>14</v>
      </c>
      <c r="H63" s="19" t="str">
        <f>T("607247230")</f>
        <v>607247230</v>
      </c>
      <c r="I63" s="19" t="s">
        <v>210</v>
      </c>
      <c r="J63" s="19" t="s">
        <v>211</v>
      </c>
      <c r="K63" s="19" t="str">
        <f>T("72100")</f>
        <v>72100</v>
      </c>
      <c r="L63" s="19" t="s">
        <v>19</v>
      </c>
      <c r="M63" s="21" t="s">
        <v>0</v>
      </c>
      <c r="N63" s="24">
        <v>45211</v>
      </c>
      <c r="O63" s="25"/>
    </row>
    <row r="64" spans="1:15" ht="16" hidden="1" x14ac:dyDescent="0.2">
      <c r="A64" s="19" t="s">
        <v>212</v>
      </c>
      <c r="B64" s="20">
        <v>45210</v>
      </c>
      <c r="C64" s="19" t="str">
        <f>T("330238581:0830372707")</f>
        <v>330238581:0830372707</v>
      </c>
      <c r="D64" s="19" t="str">
        <f>T("00100199-SAV ROCC")</f>
        <v>00100199-SAV ROCC</v>
      </c>
      <c r="E64" s="19" t="str">
        <f>T("510146000")</f>
        <v>510146000</v>
      </c>
      <c r="F64" s="19" t="s">
        <v>17</v>
      </c>
      <c r="G64" s="19" t="s">
        <v>14</v>
      </c>
      <c r="H64" s="19" t="str">
        <f>T("607247288")</f>
        <v>607247288</v>
      </c>
      <c r="I64" s="19" t="s">
        <v>213</v>
      </c>
      <c r="J64" s="19" t="s">
        <v>214</v>
      </c>
      <c r="K64" s="19" t="str">
        <f>T("17139")</f>
        <v>17139</v>
      </c>
      <c r="L64" s="19" t="s">
        <v>19</v>
      </c>
      <c r="M64" s="21" t="s">
        <v>0</v>
      </c>
      <c r="N64" s="24">
        <v>45212</v>
      </c>
      <c r="O64" s="25"/>
    </row>
    <row r="65" spans="1:15" ht="16" hidden="1" x14ac:dyDescent="0.2">
      <c r="A65" s="19" t="s">
        <v>215</v>
      </c>
      <c r="B65" s="20">
        <v>45210</v>
      </c>
      <c r="C65" s="19" t="str">
        <f>T("330238715:0830372830")</f>
        <v>330238715:0830372830</v>
      </c>
      <c r="D65" s="19" t="str">
        <f>T("WC URGENT V2")</f>
        <v>WC URGENT V2</v>
      </c>
      <c r="E65" s="19" t="str">
        <f>T("510146483")</f>
        <v>510146483</v>
      </c>
      <c r="F65" s="19" t="s">
        <v>17</v>
      </c>
      <c r="G65" s="19" t="s">
        <v>14</v>
      </c>
      <c r="H65" s="19" t="str">
        <f>T("607246319")</f>
        <v>607246319</v>
      </c>
      <c r="I65" s="19" t="s">
        <v>216</v>
      </c>
      <c r="J65" s="19" t="s">
        <v>217</v>
      </c>
      <c r="K65" s="19" t="str">
        <f>T("54260")</f>
        <v>54260</v>
      </c>
      <c r="L65" s="19" t="s">
        <v>19</v>
      </c>
      <c r="M65" s="21" t="s">
        <v>0</v>
      </c>
      <c r="N65" s="24">
        <v>45211</v>
      </c>
      <c r="O65" s="25"/>
    </row>
    <row r="66" spans="1:15" ht="16" hidden="1" x14ac:dyDescent="0.2">
      <c r="A66" s="19" t="s">
        <v>218</v>
      </c>
      <c r="B66" s="20">
        <v>45210</v>
      </c>
      <c r="C66" s="19" t="str">
        <f>T("330238748:0830372850")</f>
        <v>330238748:0830372850</v>
      </c>
      <c r="D66" s="19" t="str">
        <f>T("6712-NJ TECH - BE")</f>
        <v>6712-NJ TECH - BE</v>
      </c>
      <c r="E66" s="19" t="str">
        <f>T("510146206")</f>
        <v>510146206</v>
      </c>
      <c r="F66" s="19" t="s">
        <v>17</v>
      </c>
      <c r="G66" s="19" t="s">
        <v>14</v>
      </c>
      <c r="H66" s="19" t="str">
        <f>T("607247141")</f>
        <v>607247141</v>
      </c>
      <c r="I66" s="19" t="s">
        <v>219</v>
      </c>
      <c r="J66" s="19" t="s">
        <v>220</v>
      </c>
      <c r="K66" s="19" t="str">
        <f>T("71100")</f>
        <v>71100</v>
      </c>
      <c r="L66" s="19" t="s">
        <v>19</v>
      </c>
      <c r="M66" s="21" t="s">
        <v>0</v>
      </c>
      <c r="N66" s="24">
        <v>45211</v>
      </c>
      <c r="O66" s="25"/>
    </row>
    <row r="67" spans="1:15" ht="16" hidden="1" x14ac:dyDescent="0.2">
      <c r="A67" s="19" t="s">
        <v>221</v>
      </c>
      <c r="B67" s="20">
        <v>45210</v>
      </c>
      <c r="C67" s="19" t="str">
        <f>T("330238780:0830372878")</f>
        <v>330238780:0830372878</v>
      </c>
      <c r="D67" s="19" t="str">
        <f>T("CDC127214 C0090 S")</f>
        <v>CDC127214 C0090 S</v>
      </c>
      <c r="E67" s="19" t="str">
        <f>T("510145912")</f>
        <v>510145912</v>
      </c>
      <c r="F67" s="19" t="s">
        <v>17</v>
      </c>
      <c r="G67" s="19" t="s">
        <v>14</v>
      </c>
      <c r="H67" s="19" t="str">
        <f>T("607247226")</f>
        <v>607247226</v>
      </c>
      <c r="I67" s="19" t="s">
        <v>222</v>
      </c>
      <c r="J67" s="19" t="s">
        <v>223</v>
      </c>
      <c r="K67" s="19" t="str">
        <f>T("64270")</f>
        <v>64270</v>
      </c>
      <c r="L67" s="19" t="s">
        <v>19</v>
      </c>
      <c r="M67" s="21" t="s">
        <v>0</v>
      </c>
      <c r="N67" s="24">
        <v>45212</v>
      </c>
      <c r="O67" s="25"/>
    </row>
    <row r="68" spans="1:15" ht="16" hidden="1" x14ac:dyDescent="0.2">
      <c r="A68" s="19" t="s">
        <v>224</v>
      </c>
      <c r="B68" s="20">
        <v>45210</v>
      </c>
      <c r="C68" s="19" t="str">
        <f>T("330238739:0830372845")</f>
        <v>330238739:0830372845</v>
      </c>
      <c r="D68" s="19" t="str">
        <f>T("00100234-SAV RAS4")</f>
        <v>00100234-SAV RAS4</v>
      </c>
      <c r="E68" s="19" t="str">
        <f>T("510146186")</f>
        <v>510146186</v>
      </c>
      <c r="F68" s="19" t="s">
        <v>16</v>
      </c>
      <c r="G68" s="19" t="s">
        <v>14</v>
      </c>
      <c r="H68" s="19" t="str">
        <f>T("607246132")</f>
        <v>607246132</v>
      </c>
      <c r="I68" s="19" t="s">
        <v>225</v>
      </c>
      <c r="J68" s="19" t="s">
        <v>226</v>
      </c>
      <c r="K68" s="19" t="str">
        <f>T("06370")</f>
        <v>06370</v>
      </c>
      <c r="L68" s="19" t="s">
        <v>19</v>
      </c>
      <c r="M68" s="21" t="s">
        <v>0</v>
      </c>
      <c r="N68" s="24">
        <v>45211</v>
      </c>
      <c r="O68" s="25"/>
    </row>
    <row r="69" spans="1:15" ht="16" hidden="1" x14ac:dyDescent="0.2">
      <c r="A69" s="19" t="s">
        <v>227</v>
      </c>
      <c r="B69" s="20">
        <v>45210</v>
      </c>
      <c r="C69" s="19" t="str">
        <f>T("330238716:0830372831")</f>
        <v>330238716:0830372831</v>
      </c>
      <c r="D69" s="19" t="str">
        <f>T("WC Pellet")</f>
        <v>WC Pellet</v>
      </c>
      <c r="E69" s="19" t="str">
        <f>T("510146484")</f>
        <v>510146484</v>
      </c>
      <c r="F69" s="19" t="s">
        <v>17</v>
      </c>
      <c r="G69" s="19" t="s">
        <v>14</v>
      </c>
      <c r="H69" s="19" t="str">
        <f>T("607246146")</f>
        <v>607246146</v>
      </c>
      <c r="I69" s="19" t="s">
        <v>228</v>
      </c>
      <c r="J69" s="19" t="s">
        <v>229</v>
      </c>
      <c r="K69" s="19" t="str">
        <f>T("84250")</f>
        <v>84250</v>
      </c>
      <c r="L69" s="19" t="s">
        <v>19</v>
      </c>
      <c r="M69" s="21" t="s">
        <v>0</v>
      </c>
      <c r="N69" s="24">
        <v>45211</v>
      </c>
      <c r="O69" s="25"/>
    </row>
    <row r="70" spans="1:15" ht="16" hidden="1" x14ac:dyDescent="0.2">
      <c r="A70" s="19" t="s">
        <v>230</v>
      </c>
      <c r="B70" s="20">
        <v>45210</v>
      </c>
      <c r="C70" s="19" t="str">
        <f>T("330238774:0830372874")</f>
        <v>330238774:0830372874</v>
      </c>
      <c r="D70" s="19" t="str">
        <f>T("CDC127258-AB0204-")</f>
        <v>CDC127258-AB0204-</v>
      </c>
      <c r="E70" s="19" t="str">
        <f>T("510145956")</f>
        <v>510145956</v>
      </c>
      <c r="F70" s="19" t="s">
        <v>17</v>
      </c>
      <c r="G70" s="19" t="s">
        <v>14</v>
      </c>
      <c r="H70" s="19" t="str">
        <f>T("607247155")</f>
        <v>607247155</v>
      </c>
      <c r="I70" s="19" t="s">
        <v>231</v>
      </c>
      <c r="J70" s="19" t="s">
        <v>232</v>
      </c>
      <c r="K70" s="19" t="str">
        <f>T("33240")</f>
        <v>33240</v>
      </c>
      <c r="L70" s="19" t="s">
        <v>19</v>
      </c>
      <c r="M70" s="21" t="s">
        <v>0</v>
      </c>
      <c r="N70" s="24">
        <v>45211</v>
      </c>
      <c r="O70" s="25"/>
    </row>
    <row r="71" spans="1:15" ht="16" hidden="1" x14ac:dyDescent="0.2">
      <c r="A71" s="19" t="s">
        <v>233</v>
      </c>
      <c r="B71" s="20">
        <v>45210</v>
      </c>
      <c r="C71" s="19" t="str">
        <f>T("330238698:0830372819")</f>
        <v>330238698:0830372819</v>
      </c>
      <c r="D71" s="19" t="str">
        <f>T("00100261-11307 BG")</f>
        <v>00100261-11307 BG</v>
      </c>
      <c r="E71" s="19" t="str">
        <f>T("510146223")</f>
        <v>510146223</v>
      </c>
      <c r="F71" s="19" t="s">
        <v>16</v>
      </c>
      <c r="G71" s="19" t="s">
        <v>14</v>
      </c>
      <c r="H71" s="19" t="str">
        <f>T("607247040")</f>
        <v>607247040</v>
      </c>
      <c r="I71" s="19" t="s">
        <v>234</v>
      </c>
      <c r="J71" s="19" t="s">
        <v>185</v>
      </c>
      <c r="K71" s="19" t="str">
        <f>T("45140")</f>
        <v>45140</v>
      </c>
      <c r="L71" s="19" t="s">
        <v>19</v>
      </c>
      <c r="M71" s="21" t="s">
        <v>0</v>
      </c>
      <c r="N71" s="24">
        <v>45212</v>
      </c>
      <c r="O71" s="25"/>
    </row>
    <row r="72" spans="1:15" ht="16" hidden="1" x14ac:dyDescent="0.2">
      <c r="A72" s="19" t="s">
        <v>235</v>
      </c>
      <c r="B72" s="20">
        <v>45210</v>
      </c>
      <c r="C72" s="19" t="str">
        <f>T("330238602:0830372723")</f>
        <v>330238602:0830372723</v>
      </c>
      <c r="D72" s="19" t="str">
        <f>T("BC N°32321340")</f>
        <v>BC N°32321340</v>
      </c>
      <c r="E72" s="19" t="str">
        <f>T("510146034")</f>
        <v>510146034</v>
      </c>
      <c r="F72" s="19" t="s">
        <v>17</v>
      </c>
      <c r="G72" s="19" t="s">
        <v>14</v>
      </c>
      <c r="H72" s="19" t="str">
        <f>T("607247212")</f>
        <v>607247212</v>
      </c>
      <c r="I72" s="19" t="s">
        <v>236</v>
      </c>
      <c r="J72" s="19" t="s">
        <v>237</v>
      </c>
      <c r="K72" s="19" t="str">
        <f>T("71530")</f>
        <v>71530</v>
      </c>
      <c r="L72" s="19" t="s">
        <v>19</v>
      </c>
      <c r="M72" s="21" t="s">
        <v>0</v>
      </c>
      <c r="N72" s="24">
        <v>45211</v>
      </c>
      <c r="O72" s="25"/>
    </row>
    <row r="73" spans="1:15" ht="16" hidden="1" x14ac:dyDescent="0.2">
      <c r="A73" s="19" t="s">
        <v>238</v>
      </c>
      <c r="B73" s="20">
        <v>45210</v>
      </c>
      <c r="C73" s="19" t="str">
        <f>T("330238587:0830372712")</f>
        <v>330238587:0830372712</v>
      </c>
      <c r="D73" s="19" t="str">
        <f>T("carrefour issoire")</f>
        <v>carrefour issoire</v>
      </c>
      <c r="E73" s="19" t="str">
        <f>T("510146105")</f>
        <v>510146105</v>
      </c>
      <c r="F73" s="19" t="s">
        <v>17</v>
      </c>
      <c r="G73" s="19" t="s">
        <v>14</v>
      </c>
      <c r="H73" s="19" t="str">
        <f>T("607247209")</f>
        <v>607247209</v>
      </c>
      <c r="I73" s="19" t="s">
        <v>239</v>
      </c>
      <c r="J73" s="19" t="s">
        <v>240</v>
      </c>
      <c r="K73" s="19" t="str">
        <f>T("63800")</f>
        <v>63800</v>
      </c>
      <c r="L73" s="19" t="s">
        <v>19</v>
      </c>
      <c r="M73" s="21" t="s">
        <v>0</v>
      </c>
      <c r="N73" s="24">
        <v>45212</v>
      </c>
      <c r="O73" s="25"/>
    </row>
    <row r="74" spans="1:15" ht="16" hidden="1" x14ac:dyDescent="0.2">
      <c r="A74" s="19" t="s">
        <v>241</v>
      </c>
      <c r="B74" s="20">
        <v>45210</v>
      </c>
      <c r="C74" s="19" t="str">
        <f>T("330238625:0830372778")</f>
        <v>330238625:0830372778</v>
      </c>
      <c r="D74" s="19" t="str">
        <f>T("WC245374 RODRIGUE")</f>
        <v>WC245374 RODRIGUE</v>
      </c>
      <c r="E74" s="19" t="str">
        <f>T("510146389")</f>
        <v>510146389</v>
      </c>
      <c r="F74" s="19" t="s">
        <v>17</v>
      </c>
      <c r="G74" s="19" t="s">
        <v>14</v>
      </c>
      <c r="H74" s="19" t="str">
        <f>T("607246279")</f>
        <v>607246279</v>
      </c>
      <c r="I74" s="19" t="s">
        <v>242</v>
      </c>
      <c r="J74" s="19" t="s">
        <v>243</v>
      </c>
      <c r="K74" s="19" t="str">
        <f>T("11890")</f>
        <v>11890</v>
      </c>
      <c r="L74" s="19" t="s">
        <v>19</v>
      </c>
      <c r="M74" s="21" t="s">
        <v>0</v>
      </c>
      <c r="N74" s="24">
        <v>45212</v>
      </c>
      <c r="O74" s="25"/>
    </row>
    <row r="75" spans="1:15" ht="16" hidden="1" x14ac:dyDescent="0.2">
      <c r="A75" s="19" t="s">
        <v>244</v>
      </c>
      <c r="B75" s="20">
        <v>45210</v>
      </c>
      <c r="C75" s="19" t="str">
        <f>T("330238616:0830372770")</f>
        <v>330238616:0830372770</v>
      </c>
      <c r="D75" s="19" t="str">
        <f>T("00100181-SAV 2553")</f>
        <v>00100181-SAV 2553</v>
      </c>
      <c r="E75" s="19" t="str">
        <f>T("510145971")</f>
        <v>510145971</v>
      </c>
      <c r="F75" s="19" t="s">
        <v>17</v>
      </c>
      <c r="G75" s="19" t="s">
        <v>14</v>
      </c>
      <c r="H75" s="19" t="str">
        <f>T("607247190")</f>
        <v>607247190</v>
      </c>
      <c r="I75" s="19" t="s">
        <v>245</v>
      </c>
      <c r="J75" s="19" t="s">
        <v>246</v>
      </c>
      <c r="K75" s="19" t="str">
        <f>T("98000")</f>
        <v>98000</v>
      </c>
      <c r="L75" s="19" t="s">
        <v>19</v>
      </c>
      <c r="M75" s="21" t="s">
        <v>0</v>
      </c>
      <c r="N75" s="24">
        <v>45211</v>
      </c>
      <c r="O75" s="25"/>
    </row>
    <row r="76" spans="1:15" ht="16" hidden="1" x14ac:dyDescent="0.2">
      <c r="A76" s="19" t="s">
        <v>247</v>
      </c>
      <c r="B76" s="20">
        <v>45210</v>
      </c>
      <c r="C76" s="19" t="str">
        <f>T("330238736:0830372842")</f>
        <v>330238736:0830372842</v>
      </c>
      <c r="D76" s="19" t="str">
        <f>T("6726-TTBE")</f>
        <v>6726-TTBE</v>
      </c>
      <c r="E76" s="19" t="str">
        <f>T("510146176")</f>
        <v>510146176</v>
      </c>
      <c r="F76" s="19" t="s">
        <v>17</v>
      </c>
      <c r="G76" s="19" t="s">
        <v>14</v>
      </c>
      <c r="H76" s="19" t="str">
        <f>T("607247138")</f>
        <v>607247138</v>
      </c>
      <c r="I76" s="19" t="s">
        <v>248</v>
      </c>
      <c r="J76" s="19" t="s">
        <v>249</v>
      </c>
      <c r="K76" s="19" t="str">
        <f>T("58140")</f>
        <v>58140</v>
      </c>
      <c r="L76" s="19" t="s">
        <v>19</v>
      </c>
      <c r="M76" s="21" t="s">
        <v>0</v>
      </c>
      <c r="N76" s="24">
        <v>45212</v>
      </c>
      <c r="O76" s="25"/>
    </row>
    <row r="77" spans="1:15" ht="16" hidden="1" x14ac:dyDescent="0.2">
      <c r="A77" s="19" t="s">
        <v>250</v>
      </c>
      <c r="B77" s="20">
        <v>45210</v>
      </c>
      <c r="C77" s="19" t="str">
        <f>T("330238628:0830372781")</f>
        <v>330238628:0830372781</v>
      </c>
      <c r="D77" s="19" t="str">
        <f>T("WC PIERRE")</f>
        <v>WC PIERRE</v>
      </c>
      <c r="E77" s="19" t="str">
        <f>T("510146415")</f>
        <v>510146415</v>
      </c>
      <c r="F77" s="19" t="s">
        <v>16</v>
      </c>
      <c r="G77" s="19" t="s">
        <v>14</v>
      </c>
      <c r="H77" s="19" t="str">
        <f>T("607246296")</f>
        <v>607246296</v>
      </c>
      <c r="I77" s="19" t="s">
        <v>251</v>
      </c>
      <c r="J77" s="19" t="s">
        <v>252</v>
      </c>
      <c r="K77" s="19" t="str">
        <f>T("01390")</f>
        <v>01390</v>
      </c>
      <c r="L77" s="19" t="s">
        <v>19</v>
      </c>
      <c r="M77" s="21" t="s">
        <v>0</v>
      </c>
      <c r="N77" s="24">
        <v>45211</v>
      </c>
      <c r="O77" s="25"/>
    </row>
    <row r="78" spans="1:15" ht="16" hidden="1" x14ac:dyDescent="0.2">
      <c r="A78" s="19" t="s">
        <v>253</v>
      </c>
      <c r="B78" s="20">
        <v>45210</v>
      </c>
      <c r="C78" s="19" t="str">
        <f>T("330238777:0830372876")</f>
        <v>330238777:0830372876</v>
      </c>
      <c r="D78" s="19" t="str">
        <f>T("w008833")</f>
        <v>w008833</v>
      </c>
      <c r="E78" s="19" t="str">
        <f>T("510145950")</f>
        <v>510145950</v>
      </c>
      <c r="F78" s="19" t="s">
        <v>17</v>
      </c>
      <c r="G78" s="19" t="s">
        <v>14</v>
      </c>
      <c r="H78" s="19" t="str">
        <f>T("607247186")</f>
        <v>607247186</v>
      </c>
      <c r="I78" s="19" t="s">
        <v>254</v>
      </c>
      <c r="J78" s="19" t="s">
        <v>255</v>
      </c>
      <c r="K78" s="19" t="str">
        <f>T("74370")</f>
        <v>74370</v>
      </c>
      <c r="L78" s="19" t="s">
        <v>19</v>
      </c>
      <c r="M78" s="21" t="s">
        <v>0</v>
      </c>
      <c r="N78" s="24">
        <v>45212</v>
      </c>
      <c r="O78" s="25"/>
    </row>
    <row r="79" spans="1:15" ht="16" hidden="1" x14ac:dyDescent="0.2">
      <c r="A79" s="19" t="s">
        <v>256</v>
      </c>
      <c r="B79" s="20">
        <v>45210</v>
      </c>
      <c r="C79" s="19" t="str">
        <f>T("330238791:0830372884")</f>
        <v>330238791:0830372884</v>
      </c>
      <c r="D79" s="19" t="str">
        <f>T("00100177-11288")</f>
        <v>00100177-11288</v>
      </c>
      <c r="E79" s="19" t="str">
        <f>T("510145967")</f>
        <v>510145967</v>
      </c>
      <c r="F79" s="19" t="s">
        <v>17</v>
      </c>
      <c r="G79" s="19" t="s">
        <v>14</v>
      </c>
      <c r="H79" s="19" t="str">
        <f>T("607246322")</f>
        <v>607246322</v>
      </c>
      <c r="I79" s="19" t="s">
        <v>257</v>
      </c>
      <c r="J79" s="19" t="s">
        <v>258</v>
      </c>
      <c r="K79" s="19" t="str">
        <f>T("89600")</f>
        <v>89600</v>
      </c>
      <c r="L79" s="19" t="s">
        <v>19</v>
      </c>
      <c r="M79" s="21" t="s">
        <v>0</v>
      </c>
      <c r="N79" s="24">
        <v>45211</v>
      </c>
      <c r="O79" s="25"/>
    </row>
    <row r="80" spans="1:15" ht="16" hidden="1" x14ac:dyDescent="0.2">
      <c r="A80" s="19" t="s">
        <v>259</v>
      </c>
      <c r="B80" s="20">
        <v>45210</v>
      </c>
      <c r="C80" s="19" t="str">
        <f>T("330238772:0830372873")</f>
        <v>330238772:0830372873</v>
      </c>
      <c r="D80" s="19" t="str">
        <f>T("C2309221 HYD 59BC")</f>
        <v>C2309221 HYD 59BC</v>
      </c>
      <c r="E80" s="19" t="str">
        <f>T("510146008")</f>
        <v>510146008</v>
      </c>
      <c r="F80" s="19" t="s">
        <v>17</v>
      </c>
      <c r="G80" s="19" t="s">
        <v>14</v>
      </c>
      <c r="H80" s="19" t="str">
        <f>T("607247257")</f>
        <v>607247257</v>
      </c>
      <c r="I80" s="19" t="s">
        <v>260</v>
      </c>
      <c r="J80" s="19" t="s">
        <v>261</v>
      </c>
      <c r="K80" s="19" t="str">
        <f>T("59650")</f>
        <v>59650</v>
      </c>
      <c r="L80" s="19" t="s">
        <v>19</v>
      </c>
      <c r="M80" s="21" t="s">
        <v>0</v>
      </c>
      <c r="N80" s="24">
        <v>45211</v>
      </c>
      <c r="O80" s="25"/>
    </row>
    <row r="81" spans="1:15" ht="16" hidden="1" x14ac:dyDescent="0.2">
      <c r="A81" s="19" t="s">
        <v>262</v>
      </c>
      <c r="B81" s="20">
        <v>45210</v>
      </c>
      <c r="C81" s="19" t="str">
        <f>T("330238562:0830372697")</f>
        <v>330238562:0830372697</v>
      </c>
      <c r="D81" s="19" t="str">
        <f>T("WC-YESSS ELECTRIQ")</f>
        <v>WC-YESSS ELECTRIQ</v>
      </c>
      <c r="E81" s="19" t="str">
        <f>T("510146432")</f>
        <v>510146432</v>
      </c>
      <c r="F81" s="19" t="s">
        <v>16</v>
      </c>
      <c r="G81" s="19" t="s">
        <v>14</v>
      </c>
      <c r="H81" s="19" t="str">
        <f>T("607246336")</f>
        <v>607246336</v>
      </c>
      <c r="I81" s="19" t="s">
        <v>47</v>
      </c>
      <c r="J81" s="19" t="s">
        <v>180</v>
      </c>
      <c r="K81" s="19" t="str">
        <f>T("06370")</f>
        <v>06370</v>
      </c>
      <c r="L81" s="19" t="s">
        <v>19</v>
      </c>
      <c r="M81" s="21" t="s">
        <v>0</v>
      </c>
      <c r="N81" s="24">
        <v>45211</v>
      </c>
      <c r="O81" s="25"/>
    </row>
    <row r="82" spans="1:15" ht="16" hidden="1" x14ac:dyDescent="0.2">
      <c r="A82" s="19" t="s">
        <v>263</v>
      </c>
      <c r="B82" s="20">
        <v>45210</v>
      </c>
      <c r="C82" s="19" t="str">
        <f>T("330238558:0830372694")</f>
        <v>330238558:0830372694</v>
      </c>
      <c r="D82" s="19" t="str">
        <f>T("WC SAV BARBET")</f>
        <v>WC SAV BARBET</v>
      </c>
      <c r="E82" s="19" t="str">
        <f>T("510146427")</f>
        <v>510146427</v>
      </c>
      <c r="F82" s="19" t="s">
        <v>17</v>
      </c>
      <c r="G82" s="19" t="s">
        <v>14</v>
      </c>
      <c r="H82" s="19" t="str">
        <f>T("607246384")</f>
        <v>607246384</v>
      </c>
      <c r="I82" s="19" t="s">
        <v>264</v>
      </c>
      <c r="J82" s="19" t="s">
        <v>59</v>
      </c>
      <c r="K82" s="19" t="str">
        <f>T("59180")</f>
        <v>59180</v>
      </c>
      <c r="L82" s="19" t="s">
        <v>19</v>
      </c>
      <c r="M82" s="21" t="s">
        <v>0</v>
      </c>
      <c r="N82" s="24">
        <v>45211</v>
      </c>
      <c r="O82" s="25"/>
    </row>
    <row r="83" spans="1:15" ht="16" hidden="1" x14ac:dyDescent="0.2">
      <c r="A83" s="19" t="s">
        <v>265</v>
      </c>
      <c r="B83" s="20">
        <v>45210</v>
      </c>
      <c r="C83" s="19" t="str">
        <f>T("330238592:0830372717")</f>
        <v>330238592:0830372717</v>
      </c>
      <c r="D83" s="19" t="str">
        <f>T("CDE 6707-RCONFORT")</f>
        <v>CDE 6707-RCONFORT</v>
      </c>
      <c r="E83" s="19" t="str">
        <f>T("510145931")</f>
        <v>510145931</v>
      </c>
      <c r="F83" s="19" t="s">
        <v>17</v>
      </c>
      <c r="G83" s="19" t="s">
        <v>14</v>
      </c>
      <c r="H83" s="22" t="str">
        <f>T("607247362")</f>
        <v>607247362</v>
      </c>
      <c r="I83" s="19" t="s">
        <v>266</v>
      </c>
      <c r="J83" s="19" t="s">
        <v>267</v>
      </c>
      <c r="K83" s="19" t="str">
        <f>T("38420")</f>
        <v>38420</v>
      </c>
      <c r="L83" s="19" t="s">
        <v>19</v>
      </c>
      <c r="M83" s="21" t="s">
        <v>0</v>
      </c>
      <c r="N83" s="24">
        <v>45211</v>
      </c>
      <c r="O83" s="25"/>
    </row>
    <row r="84" spans="1:15" ht="16" hidden="1" x14ac:dyDescent="0.2">
      <c r="A84" s="19" t="s">
        <v>268</v>
      </c>
      <c r="B84" s="20">
        <v>45210</v>
      </c>
      <c r="C84" s="19" t="str">
        <f>T("330238767:0830372869")</f>
        <v>330238767:0830372869</v>
      </c>
      <c r="D84" s="19" t="str">
        <f>T("WC")</f>
        <v>WC</v>
      </c>
      <c r="E84" s="19" t="str">
        <f>T("510146408")</f>
        <v>510146408</v>
      </c>
      <c r="F84" s="19" t="s">
        <v>17</v>
      </c>
      <c r="G84" s="19" t="s">
        <v>14</v>
      </c>
      <c r="H84" s="19" t="str">
        <f>T("607246398")</f>
        <v>607246398</v>
      </c>
      <c r="I84" s="19" t="s">
        <v>269</v>
      </c>
      <c r="J84" s="19" t="s">
        <v>270</v>
      </c>
      <c r="K84" s="19" t="str">
        <f>T("44500")</f>
        <v>44500</v>
      </c>
      <c r="L84" s="19" t="s">
        <v>19</v>
      </c>
      <c r="M84" s="21" t="s">
        <v>0</v>
      </c>
      <c r="N84" s="24">
        <v>45211</v>
      </c>
      <c r="O84" s="25"/>
    </row>
    <row r="85" spans="1:15" ht="16" hidden="1" x14ac:dyDescent="0.2">
      <c r="A85" s="19" t="s">
        <v>271</v>
      </c>
      <c r="B85" s="20">
        <v>45210</v>
      </c>
      <c r="C85" s="19" t="str">
        <f>T("330238621:0830372775")</f>
        <v>330238621:0830372775</v>
      </c>
      <c r="D85" s="19" t="str">
        <f>T("00100195-11291 HT")</f>
        <v>00100195-11291 HT</v>
      </c>
      <c r="E85" s="19" t="str">
        <f>T("510145993")</f>
        <v>510145993</v>
      </c>
      <c r="F85" s="19" t="s">
        <v>17</v>
      </c>
      <c r="G85" s="19" t="s">
        <v>14</v>
      </c>
      <c r="H85" s="19" t="str">
        <f>T("607247328")</f>
        <v>607247328</v>
      </c>
      <c r="I85" s="19" t="s">
        <v>234</v>
      </c>
      <c r="J85" s="19" t="s">
        <v>185</v>
      </c>
      <c r="K85" s="19" t="str">
        <f>T("45140")</f>
        <v>45140</v>
      </c>
      <c r="L85" s="19" t="s">
        <v>19</v>
      </c>
      <c r="M85" s="21" t="s">
        <v>0</v>
      </c>
      <c r="N85" s="24">
        <v>45211</v>
      </c>
    </row>
    <row r="86" spans="1:15" ht="16" hidden="1" x14ac:dyDescent="0.2">
      <c r="A86" s="19" t="s">
        <v>272</v>
      </c>
      <c r="B86" s="20">
        <v>45210</v>
      </c>
      <c r="C86" s="19" t="str">
        <f>T("330238696:0830372817")</f>
        <v>330238696:0830372817</v>
      </c>
      <c r="D86" s="19" t="str">
        <f>T("D2m")</f>
        <v>D2m</v>
      </c>
      <c r="E86" s="19" t="str">
        <f>T("510146023")</f>
        <v>510146023</v>
      </c>
      <c r="F86" s="19" t="s">
        <v>16</v>
      </c>
      <c r="G86" s="19" t="s">
        <v>14</v>
      </c>
      <c r="H86" s="19" t="str">
        <f>T("607247053")</f>
        <v>607247053</v>
      </c>
      <c r="I86" s="19" t="s">
        <v>87</v>
      </c>
      <c r="J86" s="19" t="s">
        <v>273</v>
      </c>
      <c r="K86" s="19" t="str">
        <f>T("51100")</f>
        <v>51100</v>
      </c>
      <c r="L86" s="19" t="s">
        <v>19</v>
      </c>
      <c r="M86" s="21" t="s">
        <v>0</v>
      </c>
      <c r="N86" s="24">
        <v>45212</v>
      </c>
    </row>
    <row r="87" spans="1:15" ht="16" hidden="1" x14ac:dyDescent="0.2">
      <c r="A87" s="19" t="s">
        <v>274</v>
      </c>
      <c r="B87" s="20">
        <v>45210</v>
      </c>
      <c r="C87" s="19" t="str">
        <f>T("330238572:0830372702")</f>
        <v>330238572:0830372702</v>
      </c>
      <c r="D87" s="19" t="str">
        <f>T("WC-MOUSSA T#10996")</f>
        <v>WC-MOUSSA T#10996</v>
      </c>
      <c r="E87" s="19" t="str">
        <f>T("510146446")</f>
        <v>510146446</v>
      </c>
      <c r="F87" s="19" t="s">
        <v>17</v>
      </c>
      <c r="G87" s="19" t="s">
        <v>14</v>
      </c>
      <c r="H87" s="19" t="str">
        <f>T("607246375")</f>
        <v>607246375</v>
      </c>
      <c r="I87" s="19" t="s">
        <v>47</v>
      </c>
      <c r="J87" s="19" t="s">
        <v>275</v>
      </c>
      <c r="K87" s="19" t="str">
        <f>T("06700")</f>
        <v>06700</v>
      </c>
      <c r="L87" s="19" t="s">
        <v>19</v>
      </c>
      <c r="M87" s="21" t="s">
        <v>0</v>
      </c>
      <c r="N87" s="24">
        <v>45211</v>
      </c>
    </row>
    <row r="88" spans="1:15" ht="16" hidden="1" x14ac:dyDescent="0.2">
      <c r="A88" s="19" t="s">
        <v>276</v>
      </c>
      <c r="B88" s="20">
        <v>45210</v>
      </c>
      <c r="C88" s="19" t="str">
        <f>T("330238589:0830372714")</f>
        <v>330238589:0830372714</v>
      </c>
      <c r="D88" s="19" t="str">
        <f>T("SAUER")</f>
        <v>SAUER</v>
      </c>
      <c r="E88" s="19" t="str">
        <f>T("510146126")</f>
        <v>510146126</v>
      </c>
      <c r="F88" s="19" t="s">
        <v>17</v>
      </c>
      <c r="G88" s="19" t="s">
        <v>14</v>
      </c>
      <c r="H88" s="19" t="str">
        <f>T("607247036")</f>
        <v>607247036</v>
      </c>
      <c r="I88" s="19" t="s">
        <v>277</v>
      </c>
      <c r="J88" s="19" t="s">
        <v>278</v>
      </c>
      <c r="K88" s="19" t="str">
        <f>T("69400")</f>
        <v>69400</v>
      </c>
      <c r="L88" s="19" t="s">
        <v>19</v>
      </c>
      <c r="M88" s="21" t="s">
        <v>0</v>
      </c>
      <c r="N88" s="24">
        <v>45211</v>
      </c>
    </row>
    <row r="89" spans="1:15" ht="16" hidden="1" x14ac:dyDescent="0.2">
      <c r="A89" s="19" t="s">
        <v>279</v>
      </c>
      <c r="B89" s="20">
        <v>45210</v>
      </c>
      <c r="C89" s="19" t="str">
        <f>T("330238747:0830372849")</f>
        <v>330238747:0830372849</v>
      </c>
      <c r="D89" s="19" t="str">
        <f>T("courtin rougier")</f>
        <v>courtin rougier</v>
      </c>
      <c r="E89" s="19" t="str">
        <f>T("510146202")</f>
        <v>510146202</v>
      </c>
      <c r="F89" s="19" t="s">
        <v>17</v>
      </c>
      <c r="G89" s="19" t="s">
        <v>14</v>
      </c>
      <c r="H89" s="19" t="str">
        <f>T("607246415")</f>
        <v>607246415</v>
      </c>
      <c r="I89" s="19" t="s">
        <v>280</v>
      </c>
      <c r="J89" s="19" t="s">
        <v>281</v>
      </c>
      <c r="K89" s="19" t="str">
        <f>T("16410")</f>
        <v>16410</v>
      </c>
      <c r="L89" s="19" t="s">
        <v>19</v>
      </c>
      <c r="M89" s="21" t="s">
        <v>0</v>
      </c>
      <c r="N89" s="24">
        <v>45212</v>
      </c>
    </row>
    <row r="90" spans="1:15" ht="16" hidden="1" x14ac:dyDescent="0.2">
      <c r="A90" s="19" t="s">
        <v>282</v>
      </c>
      <c r="B90" s="20">
        <v>45210</v>
      </c>
      <c r="C90" s="19" t="str">
        <f>T("330238586:0830372711")</f>
        <v>330238586:0830372711</v>
      </c>
      <c r="D90" s="19" t="str">
        <f>T("00100208-SAV RAC5")</f>
        <v>00100208-SAV RAC5</v>
      </c>
      <c r="E90" s="19" t="str">
        <f>T("510146109")</f>
        <v>510146109</v>
      </c>
      <c r="F90" s="19" t="s">
        <v>17</v>
      </c>
      <c r="G90" s="19" t="s">
        <v>14</v>
      </c>
      <c r="H90" s="19" t="str">
        <f>T("607246424")</f>
        <v>607246424</v>
      </c>
      <c r="I90" s="19" t="s">
        <v>283</v>
      </c>
      <c r="J90" s="19" t="s">
        <v>284</v>
      </c>
      <c r="K90" s="19" t="str">
        <f>T("06700")</f>
        <v>06700</v>
      </c>
      <c r="L90" s="19" t="s">
        <v>19</v>
      </c>
      <c r="M90" s="21" t="s">
        <v>0</v>
      </c>
      <c r="N90" s="24">
        <v>45211</v>
      </c>
      <c r="O90" s="25"/>
    </row>
    <row r="91" spans="1:15" ht="16" hidden="1" x14ac:dyDescent="0.2">
      <c r="A91" s="19" t="s">
        <v>285</v>
      </c>
      <c r="B91" s="20">
        <v>45210</v>
      </c>
      <c r="C91" s="19" t="str">
        <f>T("330238766:0830372868")</f>
        <v>330238766:0830372868</v>
      </c>
      <c r="D91" s="19" t="str">
        <f>T("WC SAV VASSALLE")</f>
        <v>WC SAV VASSALLE</v>
      </c>
      <c r="E91" s="19" t="str">
        <f>T("510146409")</f>
        <v>510146409</v>
      </c>
      <c r="F91" s="19" t="s">
        <v>17</v>
      </c>
      <c r="G91" s="19" t="s">
        <v>14</v>
      </c>
      <c r="H91" s="19" t="str">
        <f>T("607246438")</f>
        <v>607246438</v>
      </c>
      <c r="I91" s="19" t="s">
        <v>264</v>
      </c>
      <c r="J91" s="19" t="s">
        <v>59</v>
      </c>
      <c r="K91" s="19" t="str">
        <f>T("59180")</f>
        <v>59180</v>
      </c>
      <c r="L91" s="19" t="s">
        <v>19</v>
      </c>
      <c r="M91" s="21" t="s">
        <v>0</v>
      </c>
      <c r="N91" s="24">
        <v>45211</v>
      </c>
      <c r="O91" s="25"/>
    </row>
    <row r="92" spans="1:15" ht="16" hidden="1" x14ac:dyDescent="0.2">
      <c r="A92" s="19" t="s">
        <v>286</v>
      </c>
      <c r="B92" s="20">
        <v>45210</v>
      </c>
      <c r="C92" s="19" t="str">
        <f>T("330238765:0830372867")</f>
        <v>330238765:0830372867</v>
      </c>
      <c r="D92" s="19" t="str">
        <f>T("wc")</f>
        <v>wc</v>
      </c>
      <c r="E92" s="19" t="str">
        <f>T("510146410")</f>
        <v>510146410</v>
      </c>
      <c r="F92" s="19" t="s">
        <v>17</v>
      </c>
      <c r="G92" s="19" t="s">
        <v>14</v>
      </c>
      <c r="H92" s="19" t="str">
        <f>T("607246490")</f>
        <v>607246490</v>
      </c>
      <c r="I92" s="19" t="s">
        <v>287</v>
      </c>
      <c r="J92" s="19" t="s">
        <v>288</v>
      </c>
      <c r="K92" s="19" t="str">
        <f>T("45680")</f>
        <v>45680</v>
      </c>
      <c r="L92" s="19" t="s">
        <v>19</v>
      </c>
      <c r="M92" s="21" t="s">
        <v>0</v>
      </c>
      <c r="N92" s="24">
        <v>45211</v>
      </c>
      <c r="O92" s="25"/>
    </row>
    <row r="93" spans="1:15" ht="16" hidden="1" x14ac:dyDescent="0.2">
      <c r="A93" s="19" t="s">
        <v>289</v>
      </c>
      <c r="B93" s="20">
        <v>45210</v>
      </c>
      <c r="C93" s="19" t="str">
        <f>T("330238605:0830372762")</f>
        <v>330238605:0830372762</v>
      </c>
      <c r="D93" s="19" t="str">
        <f>T("BOUCHARD 280323")</f>
        <v>BOUCHARD 280323</v>
      </c>
      <c r="E93" s="19" t="str">
        <f>T("510146036")</f>
        <v>510146036</v>
      </c>
      <c r="F93" s="19" t="s">
        <v>17</v>
      </c>
      <c r="G93" s="19" t="s">
        <v>14</v>
      </c>
      <c r="H93" s="19" t="str">
        <f>T("607246455")</f>
        <v>607246455</v>
      </c>
      <c r="I93" s="19" t="s">
        <v>290</v>
      </c>
      <c r="J93" s="19" t="s">
        <v>291</v>
      </c>
      <c r="K93" s="19" t="str">
        <f>T("77550")</f>
        <v>77550</v>
      </c>
      <c r="L93" s="19" t="s">
        <v>19</v>
      </c>
      <c r="M93" s="21" t="s">
        <v>0</v>
      </c>
      <c r="N93" s="24">
        <v>45211</v>
      </c>
      <c r="O93" s="25"/>
    </row>
    <row r="94" spans="1:15" ht="16" hidden="1" x14ac:dyDescent="0.2">
      <c r="A94" s="19" t="s">
        <v>292</v>
      </c>
      <c r="B94" s="20">
        <v>45210</v>
      </c>
      <c r="C94" s="19" t="str">
        <f>T("330238750:0830372852")</f>
        <v>330238750:0830372852</v>
      </c>
      <c r="D94" s="19" t="str">
        <f>T("CDC127679 E0088 S")</f>
        <v>CDC127679 E0088 S</v>
      </c>
      <c r="E94" s="19" t="str">
        <f>T("510146217")</f>
        <v>510146217</v>
      </c>
      <c r="F94" s="19" t="s">
        <v>17</v>
      </c>
      <c r="G94" s="19" t="s">
        <v>14</v>
      </c>
      <c r="H94" s="19" t="str">
        <f>T("607246469")</f>
        <v>607246469</v>
      </c>
      <c r="I94" s="19" t="s">
        <v>293</v>
      </c>
      <c r="J94" s="19" t="s">
        <v>294</v>
      </c>
      <c r="K94" s="19" t="str">
        <f>T("40230")</f>
        <v>40230</v>
      </c>
      <c r="L94" s="19" t="s">
        <v>19</v>
      </c>
      <c r="M94" s="21" t="s">
        <v>0</v>
      </c>
      <c r="N94" s="24">
        <v>45212</v>
      </c>
      <c r="O94" s="25"/>
    </row>
    <row r="95" spans="1:15" ht="16" hidden="1" x14ac:dyDescent="0.2">
      <c r="A95" s="19" t="s">
        <v>295</v>
      </c>
      <c r="B95" s="20">
        <v>45210</v>
      </c>
      <c r="C95" s="19" t="str">
        <f>T("330238624:0830372777")</f>
        <v>330238624:0830372777</v>
      </c>
      <c r="D95" s="19" t="str">
        <f>T("00100197-SAV RAC3")</f>
        <v>00100197-SAV RAC3</v>
      </c>
      <c r="E95" s="19" t="str">
        <f>T("510145995")</f>
        <v>510145995</v>
      </c>
      <c r="F95" s="19" t="s">
        <v>17</v>
      </c>
      <c r="G95" s="19" t="s">
        <v>14</v>
      </c>
      <c r="H95" s="19" t="str">
        <f>T("607246472")</f>
        <v>607246472</v>
      </c>
      <c r="I95" s="19" t="s">
        <v>296</v>
      </c>
      <c r="J95" s="19" t="s">
        <v>297</v>
      </c>
      <c r="K95" s="19" t="str">
        <f>T("13015")</f>
        <v>13015</v>
      </c>
      <c r="L95" s="19" t="s">
        <v>19</v>
      </c>
      <c r="M95" s="21" t="s">
        <v>0</v>
      </c>
      <c r="N95" s="24">
        <v>45211</v>
      </c>
      <c r="O95" s="25"/>
    </row>
    <row r="96" spans="1:15" ht="16" hidden="1" x14ac:dyDescent="0.2">
      <c r="A96" s="19" t="s">
        <v>298</v>
      </c>
      <c r="B96" s="20">
        <v>45210</v>
      </c>
      <c r="C96" s="19" t="str">
        <f>T("330238627:0830372780")</f>
        <v>330238627:0830372780</v>
      </c>
      <c r="D96" s="19" t="str">
        <f>T("WC EX IFSI")</f>
        <v>WC EX IFSI</v>
      </c>
      <c r="E96" s="19" t="str">
        <f>T("510146414")</f>
        <v>510146414</v>
      </c>
      <c r="F96" s="19" t="s">
        <v>17</v>
      </c>
      <c r="G96" s="19" t="s">
        <v>14</v>
      </c>
      <c r="H96" s="19" t="str">
        <f>T("607246509")</f>
        <v>607246509</v>
      </c>
      <c r="I96" s="19" t="s">
        <v>299</v>
      </c>
      <c r="J96" s="19" t="s">
        <v>300</v>
      </c>
      <c r="K96" s="19" t="str">
        <f>T("55140")</f>
        <v>55140</v>
      </c>
      <c r="L96" s="19" t="s">
        <v>19</v>
      </c>
      <c r="M96" s="21" t="s">
        <v>0</v>
      </c>
      <c r="N96" s="24">
        <v>45211</v>
      </c>
      <c r="O96" s="25"/>
    </row>
    <row r="97" spans="1:15" ht="16" hidden="1" x14ac:dyDescent="0.2">
      <c r="A97" s="19" t="s">
        <v>301</v>
      </c>
      <c r="B97" s="20">
        <v>45210</v>
      </c>
      <c r="C97" s="19" t="str">
        <f>T("330238749:0830372851")</f>
        <v>330238749:0830372851</v>
      </c>
      <c r="D97" s="19" t="str">
        <f>T("bailleau")</f>
        <v>bailleau</v>
      </c>
      <c r="E97" s="19" t="str">
        <f>T("510146215")</f>
        <v>510146215</v>
      </c>
      <c r="F97" s="19" t="s">
        <v>17</v>
      </c>
      <c r="G97" s="19" t="s">
        <v>14</v>
      </c>
      <c r="H97" s="19" t="str">
        <f>T("607247124")</f>
        <v>607247124</v>
      </c>
      <c r="I97" s="19" t="s">
        <v>302</v>
      </c>
      <c r="J97" s="19" t="s">
        <v>303</v>
      </c>
      <c r="K97" s="19" t="str">
        <f>T("27710")</f>
        <v>27710</v>
      </c>
      <c r="L97" s="19" t="s">
        <v>19</v>
      </c>
      <c r="M97" s="21" t="s">
        <v>0</v>
      </c>
      <c r="N97" s="24">
        <v>45212</v>
      </c>
      <c r="O97" s="25"/>
    </row>
    <row r="98" spans="1:15" ht="16" hidden="1" x14ac:dyDescent="0.2">
      <c r="A98" s="19" t="s">
        <v>304</v>
      </c>
      <c r="B98" s="20">
        <v>45210</v>
      </c>
      <c r="C98" s="19" t="str">
        <f>T("330238723:0830372834")</f>
        <v>330238723:0830372834</v>
      </c>
      <c r="D98" s="19" t="str">
        <f>T("Vipalux")</f>
        <v>Vipalux</v>
      </c>
      <c r="E98" s="19" t="str">
        <f>T("510146482")</f>
        <v>510146482</v>
      </c>
      <c r="F98" s="19" t="s">
        <v>16</v>
      </c>
      <c r="G98" s="19" t="s">
        <v>14</v>
      </c>
      <c r="H98" s="19" t="str">
        <f>T("607246512")</f>
        <v>607246512</v>
      </c>
      <c r="I98" s="19" t="s">
        <v>87</v>
      </c>
      <c r="J98" s="19" t="s">
        <v>273</v>
      </c>
      <c r="K98" s="19" t="str">
        <f>T("51100")</f>
        <v>51100</v>
      </c>
      <c r="L98" s="19" t="s">
        <v>19</v>
      </c>
      <c r="M98" s="21" t="s">
        <v>0</v>
      </c>
      <c r="N98" s="24">
        <v>45212</v>
      </c>
      <c r="O98" s="25"/>
    </row>
    <row r="99" spans="1:15" ht="16" hidden="1" x14ac:dyDescent="0.2">
      <c r="A99" s="19" t="s">
        <v>305</v>
      </c>
      <c r="B99" s="20">
        <v>45210</v>
      </c>
      <c r="C99" s="19" t="str">
        <f>T("330238793:0830372885")</f>
        <v>330238793:0830372885</v>
      </c>
      <c r="D99" s="19" t="str">
        <f>T("LE CAME")</f>
        <v>LE CAME</v>
      </c>
      <c r="E99" s="19" t="str">
        <f>T("510145929")</f>
        <v>510145929</v>
      </c>
      <c r="F99" s="19" t="s">
        <v>17</v>
      </c>
      <c r="G99" s="19" t="s">
        <v>14</v>
      </c>
      <c r="H99" s="19" t="str">
        <f>T("607247067")</f>
        <v>607247067</v>
      </c>
      <c r="I99" s="19" t="s">
        <v>306</v>
      </c>
      <c r="J99" s="19" t="s">
        <v>307</v>
      </c>
      <c r="K99" s="19" t="str">
        <f>T("89340")</f>
        <v>89340</v>
      </c>
      <c r="L99" s="19" t="s">
        <v>19</v>
      </c>
      <c r="M99" s="21" t="s">
        <v>0</v>
      </c>
      <c r="N99" s="24">
        <v>45211</v>
      </c>
      <c r="O99" s="25"/>
    </row>
    <row r="100" spans="1:15" ht="16" hidden="1" x14ac:dyDescent="0.2">
      <c r="A100" s="19" t="s">
        <v>308</v>
      </c>
      <c r="B100" s="20">
        <v>45210</v>
      </c>
      <c r="C100" s="19" t="str">
        <f>T("330238744:0830372848")</f>
        <v>330238744:0830372848</v>
      </c>
      <c r="D100" s="19" t="str">
        <f>T("00100246-SAV RAI2")</f>
        <v>00100246-SAV RAI2</v>
      </c>
      <c r="E100" s="19" t="str">
        <f>T("510146197")</f>
        <v>510146197</v>
      </c>
      <c r="F100" s="19" t="s">
        <v>17</v>
      </c>
      <c r="G100" s="19" t="s">
        <v>14</v>
      </c>
      <c r="H100" s="19" t="str">
        <f>T("607246526")</f>
        <v>607246526</v>
      </c>
      <c r="I100" s="19" t="s">
        <v>309</v>
      </c>
      <c r="J100" s="19" t="s">
        <v>310</v>
      </c>
      <c r="K100" s="19" t="str">
        <f>T("13420")</f>
        <v>13420</v>
      </c>
      <c r="L100" s="19" t="s">
        <v>19</v>
      </c>
      <c r="M100" s="21" t="s">
        <v>0</v>
      </c>
      <c r="N100" s="24">
        <v>45211</v>
      </c>
      <c r="O100" s="25"/>
    </row>
    <row r="101" spans="1:15" ht="16" hidden="1" x14ac:dyDescent="0.2">
      <c r="A101" s="19" t="s">
        <v>311</v>
      </c>
      <c r="B101" s="20">
        <v>45210</v>
      </c>
      <c r="C101" s="19" t="str">
        <f>T("330238788:0830372882")</f>
        <v>330238788:0830372882</v>
      </c>
      <c r="D101" s="19" t="str">
        <f>T("TOTOT 08")</f>
        <v>TOTOT 08</v>
      </c>
      <c r="E101" s="19" t="str">
        <f>T("510146007")</f>
        <v>510146007</v>
      </c>
      <c r="F101" s="19" t="s">
        <v>17</v>
      </c>
      <c r="G101" s="19" t="s">
        <v>14</v>
      </c>
      <c r="H101" s="19" t="str">
        <f>T("607246530")</f>
        <v>607246530</v>
      </c>
      <c r="I101" s="19" t="s">
        <v>312</v>
      </c>
      <c r="J101" s="19" t="s">
        <v>313</v>
      </c>
      <c r="K101" s="19" t="str">
        <f>T("08370")</f>
        <v>08370</v>
      </c>
      <c r="L101" s="19" t="s">
        <v>19</v>
      </c>
      <c r="M101" s="21" t="s">
        <v>0</v>
      </c>
      <c r="N101" s="24">
        <v>45211</v>
      </c>
      <c r="O101" s="25"/>
    </row>
    <row r="102" spans="1:15" ht="16" hidden="1" x14ac:dyDescent="0.2">
      <c r="A102" s="19" t="s">
        <v>314</v>
      </c>
      <c r="B102" s="20">
        <v>45210</v>
      </c>
      <c r="C102" s="19" t="str">
        <f>T("330238612:0830372767")</f>
        <v>330238612:0830372767</v>
      </c>
      <c r="D102" s="19" t="str">
        <f>T("CDC127416 C0008 S")</f>
        <v>CDC127416 C0008 S</v>
      </c>
      <c r="E102" s="19" t="str">
        <f>T("510146073")</f>
        <v>510146073</v>
      </c>
      <c r="F102" s="19" t="s">
        <v>17</v>
      </c>
      <c r="G102" s="19" t="s">
        <v>14</v>
      </c>
      <c r="H102" s="19" t="str">
        <f>T("607246543")</f>
        <v>607246543</v>
      </c>
      <c r="I102" s="19" t="s">
        <v>315</v>
      </c>
      <c r="J102" s="19" t="s">
        <v>316</v>
      </c>
      <c r="K102" s="19" t="str">
        <f>T("33700")</f>
        <v>33700</v>
      </c>
      <c r="L102" s="19" t="s">
        <v>19</v>
      </c>
      <c r="M102" s="21" t="s">
        <v>0</v>
      </c>
      <c r="N102" s="24">
        <v>45211</v>
      </c>
      <c r="O102" s="25"/>
    </row>
    <row r="103" spans="1:15" ht="16" hidden="1" x14ac:dyDescent="0.2">
      <c r="A103" s="19" t="s">
        <v>317</v>
      </c>
      <c r="B103" s="20">
        <v>45210</v>
      </c>
      <c r="C103" s="19" t="str">
        <f>T("330238708:0830372826")</f>
        <v>330238708:0830372826</v>
      </c>
      <c r="D103" s="19" t="str">
        <f>T("WC MR JEHN")</f>
        <v>WC MR JEHN</v>
      </c>
      <c r="E103" s="19" t="str">
        <f>T("510146473")</f>
        <v>510146473</v>
      </c>
      <c r="F103" s="19" t="s">
        <v>16</v>
      </c>
      <c r="G103" s="19" t="s">
        <v>14</v>
      </c>
      <c r="H103" s="19" t="str">
        <f>T("607246557")</f>
        <v>607246557</v>
      </c>
      <c r="I103" s="19" t="s">
        <v>318</v>
      </c>
      <c r="J103" s="19" t="s">
        <v>319</v>
      </c>
      <c r="K103" s="19" t="str">
        <f>T("78260")</f>
        <v>78260</v>
      </c>
      <c r="L103" s="19" t="s">
        <v>19</v>
      </c>
      <c r="M103" s="21" t="s">
        <v>0</v>
      </c>
      <c r="N103" s="24">
        <v>45212</v>
      </c>
      <c r="O103" s="25"/>
    </row>
    <row r="104" spans="1:15" ht="16" hidden="1" x14ac:dyDescent="0.2">
      <c r="A104" s="19" t="s">
        <v>320</v>
      </c>
      <c r="B104" s="20">
        <v>45210</v>
      </c>
      <c r="C104" s="19" t="str">
        <f>T("330238726:0830372836")</f>
        <v>330238726:0830372836</v>
      </c>
      <c r="D104" s="19" t="str">
        <f>T("trait.com")</f>
        <v>trait.com</v>
      </c>
      <c r="E104" s="19" t="str">
        <f>T("510146098")</f>
        <v>510146098</v>
      </c>
      <c r="F104" s="19" t="s">
        <v>17</v>
      </c>
      <c r="G104" s="19" t="s">
        <v>14</v>
      </c>
      <c r="H104" s="19" t="str">
        <f>T("607246565")</f>
        <v>607246565</v>
      </c>
      <c r="I104" s="19" t="s">
        <v>321</v>
      </c>
      <c r="J104" s="19" t="s">
        <v>322</v>
      </c>
      <c r="K104" s="19" t="str">
        <f>T("33380")</f>
        <v>33380</v>
      </c>
      <c r="L104" s="19" t="s">
        <v>19</v>
      </c>
      <c r="M104" s="21" t="s">
        <v>0</v>
      </c>
      <c r="N104" s="24">
        <v>45211</v>
      </c>
      <c r="O104" s="25"/>
    </row>
    <row r="105" spans="1:15" ht="16" hidden="1" x14ac:dyDescent="0.2">
      <c r="A105" s="19" t="s">
        <v>323</v>
      </c>
      <c r="B105" s="20">
        <v>45210</v>
      </c>
      <c r="C105" s="19" t="str">
        <f>T("330238583:0830372709")</f>
        <v>330238583:0830372709</v>
      </c>
      <c r="D105" s="19" t="str">
        <f>T("00100202-SAV BDC2")</f>
        <v>00100202-SAV BDC2</v>
      </c>
      <c r="E105" s="19" t="str">
        <f>T("510146002")</f>
        <v>510146002</v>
      </c>
      <c r="F105" s="19" t="s">
        <v>17</v>
      </c>
      <c r="G105" s="19" t="s">
        <v>14</v>
      </c>
      <c r="H105" s="19" t="str">
        <f>T("607246574")</f>
        <v>607246574</v>
      </c>
      <c r="I105" s="19" t="s">
        <v>324</v>
      </c>
      <c r="J105" s="19" t="s">
        <v>325</v>
      </c>
      <c r="K105" s="19" t="str">
        <f>T("83600")</f>
        <v>83600</v>
      </c>
      <c r="L105" s="19" t="s">
        <v>19</v>
      </c>
      <c r="M105" s="21" t="s">
        <v>0</v>
      </c>
      <c r="N105" s="24">
        <v>45211</v>
      </c>
      <c r="O105" s="25"/>
    </row>
    <row r="106" spans="1:15" ht="16" hidden="1" x14ac:dyDescent="0.2">
      <c r="A106" s="19" t="s">
        <v>326</v>
      </c>
      <c r="B106" s="20">
        <v>45210</v>
      </c>
      <c r="C106" s="19" t="str">
        <f>T("330238569:0830372701")</f>
        <v>330238569:0830372701</v>
      </c>
      <c r="D106" s="19" t="str">
        <f>T("WC Renault")</f>
        <v>WC Renault</v>
      </c>
      <c r="E106" s="19" t="str">
        <f>T("510146439")</f>
        <v>510146439</v>
      </c>
      <c r="F106" s="19" t="s">
        <v>16</v>
      </c>
      <c r="G106" s="19" t="s">
        <v>14</v>
      </c>
      <c r="H106" s="19" t="str">
        <f>T("607246588")</f>
        <v>607246588</v>
      </c>
      <c r="I106" s="19" t="s">
        <v>327</v>
      </c>
      <c r="J106" s="19" t="s">
        <v>328</v>
      </c>
      <c r="K106" s="19" t="str">
        <f>T("46000")</f>
        <v>46000</v>
      </c>
      <c r="L106" s="19" t="s">
        <v>19</v>
      </c>
      <c r="M106" s="21" t="s">
        <v>0</v>
      </c>
      <c r="N106" s="24">
        <v>45212</v>
      </c>
      <c r="O106" s="25"/>
    </row>
    <row r="107" spans="1:15" ht="16" hidden="1" x14ac:dyDescent="0.2">
      <c r="A107" s="19" t="s">
        <v>329</v>
      </c>
      <c r="B107" s="20">
        <v>45210</v>
      </c>
      <c r="C107" s="19" t="str">
        <f>T("330238595:0830372719")</f>
        <v>330238595:0830372719</v>
      </c>
      <c r="D107" s="19" t="str">
        <f>T("CDC127236 L0020 S")</f>
        <v>CDC127236 L0020 S</v>
      </c>
      <c r="E107" s="19" t="str">
        <f>T("510145945")</f>
        <v>510145945</v>
      </c>
      <c r="F107" s="19" t="s">
        <v>17</v>
      </c>
      <c r="G107" s="19" t="s">
        <v>14</v>
      </c>
      <c r="H107" s="19" t="str">
        <f>T("607246591")</f>
        <v>607246591</v>
      </c>
      <c r="I107" s="19" t="s">
        <v>330</v>
      </c>
      <c r="J107" s="19" t="s">
        <v>331</v>
      </c>
      <c r="K107" s="19" t="str">
        <f>T("64200")</f>
        <v>64200</v>
      </c>
      <c r="L107" s="19" t="s">
        <v>19</v>
      </c>
      <c r="M107" s="21" t="s">
        <v>0</v>
      </c>
      <c r="N107" s="24">
        <v>45212</v>
      </c>
      <c r="O107" s="25"/>
    </row>
    <row r="108" spans="1:15" ht="16" hidden="1" x14ac:dyDescent="0.2">
      <c r="A108" s="19" t="s">
        <v>332</v>
      </c>
      <c r="B108" s="20">
        <v>45210</v>
      </c>
      <c r="C108" s="19" t="str">
        <f>T("330238734:0830372840")</f>
        <v>330238734:0830372840</v>
      </c>
      <c r="D108" s="19" t="str">
        <f>T("00100168-SAV RAD5")</f>
        <v>00100168-SAV RAD5</v>
      </c>
      <c r="E108" s="19" t="str">
        <f>T("510146170")</f>
        <v>510146170</v>
      </c>
      <c r="F108" s="19" t="s">
        <v>16</v>
      </c>
      <c r="G108" s="19" t="s">
        <v>14</v>
      </c>
      <c r="H108" s="19" t="str">
        <f>T("607246605")</f>
        <v>607246605</v>
      </c>
      <c r="I108" s="19" t="s">
        <v>324</v>
      </c>
      <c r="J108" s="19" t="s">
        <v>325</v>
      </c>
      <c r="K108" s="19" t="str">
        <f>T("83600")</f>
        <v>83600</v>
      </c>
      <c r="L108" s="19" t="s">
        <v>19</v>
      </c>
      <c r="M108" s="21" t="s">
        <v>0</v>
      </c>
      <c r="N108" s="24">
        <v>45211</v>
      </c>
      <c r="O108" s="25"/>
    </row>
    <row r="109" spans="1:15" ht="16" hidden="1" x14ac:dyDescent="0.2">
      <c r="A109" s="19" t="s">
        <v>333</v>
      </c>
      <c r="B109" s="20">
        <v>45210</v>
      </c>
      <c r="C109" s="19" t="str">
        <f>T("330238613:0830372768")</f>
        <v>330238613:0830372768</v>
      </c>
      <c r="D109" s="19" t="str">
        <f>T("CDC127421 L0004 S")</f>
        <v>CDC127421 L0004 S</v>
      </c>
      <c r="E109" s="19" t="str">
        <f>T("510146078")</f>
        <v>510146078</v>
      </c>
      <c r="F109" s="19" t="s">
        <v>17</v>
      </c>
      <c r="G109" s="19" t="s">
        <v>14</v>
      </c>
      <c r="H109" s="19" t="str">
        <f>T("607246614")</f>
        <v>607246614</v>
      </c>
      <c r="I109" s="19" t="s">
        <v>334</v>
      </c>
      <c r="J109" s="19" t="s">
        <v>335</v>
      </c>
      <c r="K109" s="19" t="str">
        <f>T("64300")</f>
        <v>64300</v>
      </c>
      <c r="L109" s="19" t="s">
        <v>19</v>
      </c>
      <c r="M109" s="21" t="s">
        <v>0</v>
      </c>
      <c r="N109" s="24">
        <v>45212</v>
      </c>
      <c r="O109" s="25"/>
    </row>
    <row r="110" spans="1:15" ht="16" hidden="1" x14ac:dyDescent="0.2">
      <c r="A110" s="19" t="s">
        <v>336</v>
      </c>
      <c r="B110" s="20">
        <v>45210</v>
      </c>
      <c r="C110" s="19" t="str">
        <f>T("330238735:0830372841")</f>
        <v>330238735:0830372841</v>
      </c>
      <c r="D110" s="19" t="str">
        <f>T("00100170-8026")</f>
        <v>00100170-8026</v>
      </c>
      <c r="E110" s="19" t="str">
        <f>T("510146171")</f>
        <v>510146171</v>
      </c>
      <c r="F110" s="19" t="s">
        <v>17</v>
      </c>
      <c r="G110" s="19" t="s">
        <v>14</v>
      </c>
      <c r="H110" s="19" t="str">
        <f>T("607246628")</f>
        <v>607246628</v>
      </c>
      <c r="I110" s="19" t="s">
        <v>337</v>
      </c>
      <c r="J110" s="19" t="s">
        <v>338</v>
      </c>
      <c r="K110" s="19" t="str">
        <f>T("59141")</f>
        <v>59141</v>
      </c>
      <c r="L110" s="19" t="s">
        <v>19</v>
      </c>
      <c r="M110" s="21" t="s">
        <v>0</v>
      </c>
      <c r="N110" s="24">
        <v>45211</v>
      </c>
      <c r="O110" s="25"/>
    </row>
    <row r="111" spans="1:15" ht="16" hidden="1" x14ac:dyDescent="0.2">
      <c r="A111" s="19" t="s">
        <v>339</v>
      </c>
      <c r="B111" s="20">
        <v>45210</v>
      </c>
      <c r="C111" s="19" t="str">
        <f>T("330238557:0830372693")</f>
        <v>330238557:0830372693</v>
      </c>
      <c r="D111" s="19" t="str">
        <f>T("WC-BOYER LE CHEIX")</f>
        <v>WC-BOYER LE CHEIX</v>
      </c>
      <c r="E111" s="19" t="str">
        <f>T("510146425")</f>
        <v>510146425</v>
      </c>
      <c r="F111" s="19" t="s">
        <v>17</v>
      </c>
      <c r="G111" s="19" t="s">
        <v>14</v>
      </c>
      <c r="H111" s="19" t="str">
        <f>T("607246631")</f>
        <v>607246631</v>
      </c>
      <c r="I111" s="19" t="s">
        <v>340</v>
      </c>
      <c r="J111" s="19" t="s">
        <v>341</v>
      </c>
      <c r="K111" s="19" t="str">
        <f>T("63430")</f>
        <v>63430</v>
      </c>
      <c r="L111" s="19" t="s">
        <v>19</v>
      </c>
      <c r="M111" s="21" t="s">
        <v>0</v>
      </c>
      <c r="N111" s="24">
        <v>45212</v>
      </c>
      <c r="O111" s="25"/>
    </row>
    <row r="112" spans="1:15" ht="16" hidden="1" x14ac:dyDescent="0.2">
      <c r="A112" s="19" t="s">
        <v>342</v>
      </c>
      <c r="B112" s="20">
        <v>45210</v>
      </c>
      <c r="C112" s="19" t="str">
        <f>T("330238579:0830372706")</f>
        <v>330238579:0830372706</v>
      </c>
      <c r="D112" s="19" t="str">
        <f>T("C2309249 HYD 44BC")</f>
        <v>C2309249 HYD 44BC</v>
      </c>
      <c r="E112" s="19" t="str">
        <f>T("510146086")</f>
        <v>510146086</v>
      </c>
      <c r="F112" s="19" t="s">
        <v>16</v>
      </c>
      <c r="G112" s="19" t="s">
        <v>14</v>
      </c>
      <c r="H112" s="19" t="str">
        <f>T("607246645")</f>
        <v>607246645</v>
      </c>
      <c r="I112" s="19" t="s">
        <v>343</v>
      </c>
      <c r="J112" s="19" t="s">
        <v>344</v>
      </c>
      <c r="K112" s="19" t="str">
        <f>T("37550")</f>
        <v>37550</v>
      </c>
      <c r="L112" s="19" t="s">
        <v>19</v>
      </c>
      <c r="M112" s="21" t="s">
        <v>0</v>
      </c>
      <c r="N112" s="24">
        <v>45212</v>
      </c>
      <c r="O112" s="25"/>
    </row>
    <row r="113" spans="1:15" ht="16" hidden="1" x14ac:dyDescent="0.2">
      <c r="A113" s="19" t="s">
        <v>345</v>
      </c>
      <c r="B113" s="20">
        <v>45210</v>
      </c>
      <c r="C113" s="19" t="str">
        <f>T("330238585:0830372710")</f>
        <v>330238585:0830372710</v>
      </c>
      <c r="D113" s="19" t="str">
        <f>T("00100206-SAV RAI2")</f>
        <v>00100206-SAV RAI2</v>
      </c>
      <c r="E113" s="19" t="str">
        <f>T("510146107")</f>
        <v>510146107</v>
      </c>
      <c r="F113" s="19" t="s">
        <v>17</v>
      </c>
      <c r="G113" s="19" t="s">
        <v>14</v>
      </c>
      <c r="H113" s="19" t="str">
        <f>T("607246659")</f>
        <v>607246659</v>
      </c>
      <c r="I113" s="19" t="s">
        <v>283</v>
      </c>
      <c r="J113" s="19" t="s">
        <v>284</v>
      </c>
      <c r="K113" s="19" t="str">
        <f>T("06700")</f>
        <v>06700</v>
      </c>
      <c r="L113" s="19" t="s">
        <v>19</v>
      </c>
      <c r="M113" s="21" t="s">
        <v>0</v>
      </c>
      <c r="N113" s="24">
        <v>45211</v>
      </c>
      <c r="O113" s="25"/>
    </row>
    <row r="114" spans="1:15" ht="16" hidden="1" x14ac:dyDescent="0.2">
      <c r="A114" s="19" t="s">
        <v>346</v>
      </c>
      <c r="B114" s="20">
        <v>45210</v>
      </c>
      <c r="C114" s="19" t="str">
        <f>T("330238626:0830372779")</f>
        <v>330238626:0830372779</v>
      </c>
      <c r="D114" s="19" t="str">
        <f>T("WC IME VAL D AJO")</f>
        <v>WC IME VAL D AJO</v>
      </c>
      <c r="E114" s="19" t="str">
        <f>T("510146405")</f>
        <v>510146405</v>
      </c>
      <c r="F114" s="19" t="s">
        <v>16</v>
      </c>
      <c r="G114" s="19" t="s">
        <v>14</v>
      </c>
      <c r="H114" s="19" t="str">
        <f>T("607246662")</f>
        <v>607246662</v>
      </c>
      <c r="I114" s="19" t="s">
        <v>347</v>
      </c>
      <c r="J114" s="19" t="s">
        <v>348</v>
      </c>
      <c r="K114" s="19" t="str">
        <f>T("88000")</f>
        <v>88000</v>
      </c>
      <c r="L114" s="19" t="s">
        <v>19</v>
      </c>
      <c r="M114" s="21" t="s">
        <v>0</v>
      </c>
      <c r="N114" s="24">
        <v>45215</v>
      </c>
      <c r="O114" s="25"/>
    </row>
    <row r="115" spans="1:15" ht="16" hidden="1" x14ac:dyDescent="0.2">
      <c r="A115" s="19" t="s">
        <v>349</v>
      </c>
      <c r="B115" s="20">
        <v>45210</v>
      </c>
      <c r="C115" s="19" t="str">
        <f>T("330238776:0830372875")</f>
        <v>330238776:0830372875</v>
      </c>
      <c r="D115" s="19" t="str">
        <f>T("6707-CPCFROID- CL")</f>
        <v>6707-CPCFROID- CL</v>
      </c>
      <c r="E115" s="19" t="str">
        <f>T("510145951")</f>
        <v>510145951</v>
      </c>
      <c r="F115" s="19" t="s">
        <v>17</v>
      </c>
      <c r="G115" s="19" t="s">
        <v>14</v>
      </c>
      <c r="H115" s="19" t="str">
        <f>T("607246676")</f>
        <v>607246676</v>
      </c>
      <c r="I115" s="19" t="s">
        <v>350</v>
      </c>
      <c r="J115" s="19" t="s">
        <v>351</v>
      </c>
      <c r="K115" s="19" t="str">
        <f>T("71470")</f>
        <v>71470</v>
      </c>
      <c r="L115" s="19" t="s">
        <v>19</v>
      </c>
      <c r="M115" s="21" t="s">
        <v>0</v>
      </c>
      <c r="N115" s="24">
        <v>45211</v>
      </c>
      <c r="O115" s="25"/>
    </row>
    <row r="116" spans="1:15" ht="16" hidden="1" x14ac:dyDescent="0.2">
      <c r="A116" s="19" t="s">
        <v>352</v>
      </c>
      <c r="B116" s="20">
        <v>45210</v>
      </c>
      <c r="C116" s="19" t="str">
        <f>T("330238729:0830372838")</f>
        <v>330238729:0830372838</v>
      </c>
      <c r="D116" s="19" t="str">
        <f>T("00100118-SAV RAS3")</f>
        <v>00100118-SAV RAS3</v>
      </c>
      <c r="E116" s="19" t="str">
        <f>T("510146144")</f>
        <v>510146144</v>
      </c>
      <c r="F116" s="19" t="s">
        <v>16</v>
      </c>
      <c r="G116" s="19" t="s">
        <v>14</v>
      </c>
      <c r="H116" s="19" t="str">
        <f>T("607246693")</f>
        <v>607246693</v>
      </c>
      <c r="I116" s="19" t="s">
        <v>353</v>
      </c>
      <c r="J116" s="19" t="s">
        <v>354</v>
      </c>
      <c r="K116" s="19" t="str">
        <f>T("83160")</f>
        <v>83160</v>
      </c>
      <c r="L116" s="19" t="s">
        <v>19</v>
      </c>
      <c r="M116" s="21" t="s">
        <v>0</v>
      </c>
      <c r="N116" s="24">
        <v>45211</v>
      </c>
      <c r="O116" s="25"/>
    </row>
    <row r="117" spans="1:15" ht="16" hidden="1" x14ac:dyDescent="0.2">
      <c r="A117" s="19" t="s">
        <v>355</v>
      </c>
      <c r="B117" s="20">
        <v>45210</v>
      </c>
      <c r="C117" s="19" t="str">
        <f>T("330238619:0830372773")</f>
        <v>330238619:0830372773</v>
      </c>
      <c r="D117" s="19" t="str">
        <f>T("00100189-8030")</f>
        <v>00100189-8030</v>
      </c>
      <c r="E117" s="19" t="str">
        <f>T("510145987")</f>
        <v>510145987</v>
      </c>
      <c r="F117" s="19" t="s">
        <v>16</v>
      </c>
      <c r="G117" s="19" t="s">
        <v>14</v>
      </c>
      <c r="H117" s="19" t="str">
        <f>T("607246702")</f>
        <v>607246702</v>
      </c>
      <c r="I117" s="19" t="s">
        <v>356</v>
      </c>
      <c r="J117" s="19" t="s">
        <v>357</v>
      </c>
      <c r="K117" s="19" t="str">
        <f>T("02400")</f>
        <v>02400</v>
      </c>
      <c r="L117" s="19" t="s">
        <v>19</v>
      </c>
      <c r="M117" s="21" t="s">
        <v>0</v>
      </c>
      <c r="N117" s="24">
        <v>45212</v>
      </c>
      <c r="O117" s="25"/>
    </row>
    <row r="118" spans="1:15" ht="16" hidden="1" x14ac:dyDescent="0.2">
      <c r="A118" s="19" t="s">
        <v>358</v>
      </c>
      <c r="B118" s="20">
        <v>45210</v>
      </c>
      <c r="C118" s="19" t="str">
        <f>T("330238596:0830372720")</f>
        <v>330238596:0830372720</v>
      </c>
      <c r="D118" s="19" t="str">
        <f>T("00100090-11268 YU")</f>
        <v>00100090-11268 YU</v>
      </c>
      <c r="E118" s="19" t="str">
        <f>T("510145947")</f>
        <v>510145947</v>
      </c>
      <c r="F118" s="19" t="s">
        <v>17</v>
      </c>
      <c r="G118" s="19" t="s">
        <v>14</v>
      </c>
      <c r="H118" s="22" t="str">
        <f>T("607246716")</f>
        <v>607246716</v>
      </c>
      <c r="I118" s="19" t="s">
        <v>234</v>
      </c>
      <c r="J118" s="19" t="s">
        <v>185</v>
      </c>
      <c r="K118" s="19" t="str">
        <f>T("45140")</f>
        <v>45140</v>
      </c>
      <c r="L118" s="19" t="s">
        <v>19</v>
      </c>
      <c r="M118" s="21" t="s">
        <v>0</v>
      </c>
      <c r="N118" s="24">
        <v>45211</v>
      </c>
      <c r="O118" s="25"/>
    </row>
    <row r="119" spans="1:15" ht="16" hidden="1" x14ac:dyDescent="0.2">
      <c r="A119" s="19" t="s">
        <v>359</v>
      </c>
      <c r="B119" s="20">
        <v>45210</v>
      </c>
      <c r="C119" s="19" t="str">
        <f>T("330238779:0830372877")</f>
        <v>330238779:0830372877</v>
      </c>
      <c r="D119" s="19" t="str">
        <f>T("CDC127216 CB0016")</f>
        <v>CDC127216 CB0016</v>
      </c>
      <c r="E119" s="19" t="str">
        <f>T("510145913")</f>
        <v>510145913</v>
      </c>
      <c r="F119" s="19" t="s">
        <v>17</v>
      </c>
      <c r="G119" s="19" t="s">
        <v>14</v>
      </c>
      <c r="H119" s="22" t="str">
        <f>T("607246720")</f>
        <v>607246720</v>
      </c>
      <c r="I119" s="19" t="s">
        <v>360</v>
      </c>
      <c r="J119" s="19" t="s">
        <v>361</v>
      </c>
      <c r="K119" s="19" t="str">
        <f>T("33360")</f>
        <v>33360</v>
      </c>
      <c r="L119" s="19" t="s">
        <v>19</v>
      </c>
      <c r="M119" s="21" t="s">
        <v>0</v>
      </c>
      <c r="N119" s="24">
        <v>45211</v>
      </c>
      <c r="O119" s="25"/>
    </row>
    <row r="120" spans="1:15" ht="16" hidden="1" x14ac:dyDescent="0.2">
      <c r="A120" s="19" t="s">
        <v>362</v>
      </c>
      <c r="B120" s="20">
        <v>45210</v>
      </c>
      <c r="C120" s="19" t="str">
        <f>T("330238608:0830372765")</f>
        <v>330238608:0830372765</v>
      </c>
      <c r="D120" s="19" t="str">
        <f>T("18952")</f>
        <v>18952</v>
      </c>
      <c r="E120" s="19" t="str">
        <f>T("510146053")</f>
        <v>510146053</v>
      </c>
      <c r="F120" s="19" t="s">
        <v>16</v>
      </c>
      <c r="G120" s="19" t="s">
        <v>14</v>
      </c>
      <c r="H120" s="22" t="str">
        <f>T("607246733")</f>
        <v>607246733</v>
      </c>
      <c r="I120" s="19" t="s">
        <v>363</v>
      </c>
      <c r="J120" s="19" t="s">
        <v>364</v>
      </c>
      <c r="K120" s="19" t="str">
        <f>T("71850")</f>
        <v>71850</v>
      </c>
      <c r="L120" s="19" t="s">
        <v>19</v>
      </c>
      <c r="M120" s="21" t="s">
        <v>0</v>
      </c>
      <c r="N120" s="24">
        <v>45211</v>
      </c>
      <c r="O120" s="25"/>
    </row>
    <row r="121" spans="1:15" ht="16" hidden="1" x14ac:dyDescent="0.2">
      <c r="A121" s="19" t="s">
        <v>365</v>
      </c>
      <c r="B121" s="20">
        <v>45210</v>
      </c>
      <c r="C121" s="19" t="str">
        <f>T("330238629:0830372782")</f>
        <v>330238629:0830372782</v>
      </c>
      <c r="D121" s="19" t="str">
        <f>T("WC - AGNES")</f>
        <v>WC - AGNES</v>
      </c>
      <c r="E121" s="19" t="str">
        <f>T("510146416")</f>
        <v>510146416</v>
      </c>
      <c r="F121" s="19" t="s">
        <v>17</v>
      </c>
      <c r="G121" s="19" t="s">
        <v>14</v>
      </c>
      <c r="H121" s="22" t="str">
        <f>T("607246747")</f>
        <v>607246747</v>
      </c>
      <c r="I121" s="19" t="s">
        <v>366</v>
      </c>
      <c r="J121" s="19" t="s">
        <v>367</v>
      </c>
      <c r="K121" s="19" t="str">
        <f>T("37100")</f>
        <v>37100</v>
      </c>
      <c r="L121" s="19" t="s">
        <v>19</v>
      </c>
      <c r="M121" s="21" t="s">
        <v>0</v>
      </c>
      <c r="N121" s="24">
        <v>45211</v>
      </c>
      <c r="O121" s="25"/>
    </row>
    <row r="122" spans="1:15" ht="16" hidden="1" x14ac:dyDescent="0.2">
      <c r="A122" s="19" t="s">
        <v>368</v>
      </c>
      <c r="B122" s="20">
        <v>45210</v>
      </c>
      <c r="C122" s="19" t="str">
        <f>T("330238615:0830372769")</f>
        <v>330238615:0830372769</v>
      </c>
      <c r="D122" s="19" t="str">
        <f>T("SAFAROV")</f>
        <v>SAFAROV</v>
      </c>
      <c r="E122" s="19" t="str">
        <f>T("510146096")</f>
        <v>510146096</v>
      </c>
      <c r="F122" s="19" t="s">
        <v>17</v>
      </c>
      <c r="G122" s="19" t="s">
        <v>14</v>
      </c>
      <c r="H122" s="22" t="str">
        <f>T("607246755")</f>
        <v>607246755</v>
      </c>
      <c r="I122" s="19" t="s">
        <v>369</v>
      </c>
      <c r="J122" s="19" t="s">
        <v>370</v>
      </c>
      <c r="K122" s="19" t="str">
        <f>T("36000")</f>
        <v>36000</v>
      </c>
      <c r="L122" s="19" t="s">
        <v>19</v>
      </c>
      <c r="M122" s="21" t="s">
        <v>0</v>
      </c>
      <c r="N122" s="24">
        <v>45212</v>
      </c>
      <c r="O122" s="25"/>
    </row>
    <row r="123" spans="1:15" ht="16" hidden="1" x14ac:dyDescent="0.2">
      <c r="A123" s="19" t="s">
        <v>371</v>
      </c>
      <c r="B123" s="20">
        <v>45210</v>
      </c>
      <c r="C123" s="19" t="str">
        <f>T("330237151:0830373137")</f>
        <v>330237151:0830373137</v>
      </c>
      <c r="D123" s="19" t="str">
        <f>T("WC246149")</f>
        <v>WC246149</v>
      </c>
      <c r="E123" s="19" t="str">
        <f>T("510146342")</f>
        <v>510146342</v>
      </c>
      <c r="F123" s="19" t="s">
        <v>17</v>
      </c>
      <c r="G123" s="19" t="s">
        <v>14</v>
      </c>
      <c r="H123" s="22" t="str">
        <f>T("607246764")</f>
        <v>607246764</v>
      </c>
      <c r="I123" s="19" t="s">
        <v>372</v>
      </c>
      <c r="J123" s="19" t="s">
        <v>373</v>
      </c>
      <c r="K123" s="19" t="str">
        <f>T("16340")</f>
        <v>16340</v>
      </c>
      <c r="L123" s="19" t="s">
        <v>19</v>
      </c>
      <c r="M123" s="21" t="s">
        <v>0</v>
      </c>
      <c r="N123" s="24">
        <v>45212</v>
      </c>
      <c r="O123" s="25"/>
    </row>
    <row r="124" spans="1:15" ht="16" hidden="1" x14ac:dyDescent="0.2">
      <c r="A124" s="19" t="s">
        <v>374</v>
      </c>
      <c r="B124" s="20">
        <v>45210</v>
      </c>
      <c r="C124" s="19" t="str">
        <f>T("330231895:0830373136")</f>
        <v>330231895:0830373136</v>
      </c>
      <c r="D124" s="19" t="str">
        <f>T("WC246483 TFCE")</f>
        <v>WC246483 TFCE</v>
      </c>
      <c r="E124" s="19" t="str">
        <f>T("7660223821")</f>
        <v>7660223821</v>
      </c>
      <c r="F124" s="19" t="s">
        <v>17</v>
      </c>
      <c r="G124" s="19" t="s">
        <v>14</v>
      </c>
      <c r="H124" s="22" t="str">
        <f>T("607246778")</f>
        <v>607246778</v>
      </c>
      <c r="I124" s="19" t="s">
        <v>29</v>
      </c>
      <c r="J124" s="19" t="s">
        <v>30</v>
      </c>
      <c r="K124" s="19" t="str">
        <f>T("54180")</f>
        <v>54180</v>
      </c>
      <c r="L124" s="19" t="s">
        <v>19</v>
      </c>
      <c r="M124" s="21" t="s">
        <v>0</v>
      </c>
      <c r="N124" s="24">
        <v>45211</v>
      </c>
      <c r="O124" s="25"/>
    </row>
    <row r="125" spans="1:15" ht="16" hidden="1" x14ac:dyDescent="0.2">
      <c r="A125" s="19" t="s">
        <v>375</v>
      </c>
      <c r="B125" s="20">
        <v>45210</v>
      </c>
      <c r="C125" s="19" t="str">
        <f>T("330238741:0830372846")</f>
        <v>330238741:0830372846</v>
      </c>
      <c r="D125" s="19" t="str">
        <f>T("00100239-11303 PA")</f>
        <v>00100239-11303 PA</v>
      </c>
      <c r="E125" s="19" t="str">
        <f>T("510146190")</f>
        <v>510146190</v>
      </c>
      <c r="F125" s="19" t="s">
        <v>17</v>
      </c>
      <c r="G125" s="19" t="s">
        <v>14</v>
      </c>
      <c r="H125" s="22" t="str">
        <f>T("607246781")</f>
        <v>607246781</v>
      </c>
      <c r="I125" s="19" t="s">
        <v>234</v>
      </c>
      <c r="J125" s="19" t="s">
        <v>185</v>
      </c>
      <c r="K125" s="19" t="str">
        <f>T("45140")</f>
        <v>45140</v>
      </c>
      <c r="L125" s="19" t="s">
        <v>19</v>
      </c>
      <c r="M125" s="21" t="s">
        <v>0</v>
      </c>
      <c r="N125" s="24">
        <v>45211</v>
      </c>
      <c r="O125" s="25"/>
    </row>
    <row r="126" spans="1:15" ht="16" hidden="1" x14ac:dyDescent="0.2">
      <c r="A126" s="19" t="s">
        <v>376</v>
      </c>
      <c r="B126" s="20">
        <v>45210</v>
      </c>
      <c r="C126" s="19" t="str">
        <f>T("330238789:0830372883")</f>
        <v>330238789:0830372883</v>
      </c>
      <c r="D126" s="19" t="str">
        <f>T("00100097-SAV MAIR")</f>
        <v>00100097-SAV MAIR</v>
      </c>
      <c r="E126" s="19" t="str">
        <f>T("510146004")</f>
        <v>510146004</v>
      </c>
      <c r="F126" s="19" t="s">
        <v>17</v>
      </c>
      <c r="G126" s="19" t="s">
        <v>14</v>
      </c>
      <c r="H126" s="22" t="str">
        <f>T("607246795")</f>
        <v>607246795</v>
      </c>
      <c r="I126" s="19" t="s">
        <v>377</v>
      </c>
      <c r="J126" s="19" t="s">
        <v>378</v>
      </c>
      <c r="K126" s="19" t="str">
        <f>T("83190")</f>
        <v>83190</v>
      </c>
      <c r="L126" s="19" t="s">
        <v>19</v>
      </c>
      <c r="M126" s="21" t="s">
        <v>0</v>
      </c>
      <c r="N126" s="24">
        <v>45211</v>
      </c>
      <c r="O126" s="25"/>
    </row>
    <row r="127" spans="1:15" ht="16" hidden="1" x14ac:dyDescent="0.2">
      <c r="A127" s="19" t="s">
        <v>379</v>
      </c>
      <c r="B127" s="20">
        <v>45210</v>
      </c>
      <c r="C127" s="19" t="str">
        <f>T("330238611:0830372766")</f>
        <v>330238611:0830372766</v>
      </c>
      <c r="D127" s="19" t="str">
        <f>T("18964")</f>
        <v>18964</v>
      </c>
      <c r="E127" s="19" t="str">
        <f>T("510146062")</f>
        <v>510146062</v>
      </c>
      <c r="F127" s="19" t="s">
        <v>16</v>
      </c>
      <c r="G127" s="19" t="s">
        <v>14</v>
      </c>
      <c r="H127" s="19" t="str">
        <f>T("607246804")</f>
        <v>607246804</v>
      </c>
      <c r="I127" s="19" t="s">
        <v>363</v>
      </c>
      <c r="J127" s="19" t="s">
        <v>364</v>
      </c>
      <c r="K127" s="19" t="str">
        <f>T("71850")</f>
        <v>71850</v>
      </c>
      <c r="L127" s="19" t="s">
        <v>19</v>
      </c>
      <c r="M127" s="21" t="s">
        <v>0</v>
      </c>
      <c r="N127" s="24">
        <v>45211</v>
      </c>
      <c r="O127" s="25"/>
    </row>
    <row r="128" spans="1:15" ht="16" hidden="1" x14ac:dyDescent="0.2">
      <c r="A128" s="19" t="s">
        <v>380</v>
      </c>
      <c r="B128" s="20">
        <v>45210</v>
      </c>
      <c r="C128" s="19" t="str">
        <f>T("330238699:0830372820")</f>
        <v>330238699:0830372820</v>
      </c>
      <c r="D128" s="19" t="str">
        <f>T("DURIS")</f>
        <v>DURIS</v>
      </c>
      <c r="E128" s="19" t="str">
        <f>T("510146224")</f>
        <v>510146224</v>
      </c>
      <c r="F128" s="19" t="s">
        <v>17</v>
      </c>
      <c r="G128" s="19" t="s">
        <v>14</v>
      </c>
      <c r="H128" s="19" t="str">
        <f>T("607246818")</f>
        <v>607246818</v>
      </c>
      <c r="I128" s="19" t="s">
        <v>369</v>
      </c>
      <c r="J128" s="19" t="s">
        <v>381</v>
      </c>
      <c r="K128" s="19" t="str">
        <f>T("36000")</f>
        <v>36000</v>
      </c>
      <c r="L128" s="19" t="s">
        <v>19</v>
      </c>
      <c r="M128" s="21" t="s">
        <v>0</v>
      </c>
      <c r="N128" s="24">
        <v>45212</v>
      </c>
      <c r="O128" s="25"/>
    </row>
    <row r="129" spans="1:15" ht="16" hidden="1" x14ac:dyDescent="0.2">
      <c r="A129" s="19" t="s">
        <v>382</v>
      </c>
      <c r="B129" s="20">
        <v>45210</v>
      </c>
      <c r="C129" s="19" t="str">
        <f>T("330238597:0830372721")</f>
        <v>330238597:0830372721</v>
      </c>
      <c r="D129" s="19" t="str">
        <f>T("00100094-SAV ST T")</f>
        <v>00100094-SAV ST T</v>
      </c>
      <c r="E129" s="19" t="str">
        <f>T("510145948")</f>
        <v>510145948</v>
      </c>
      <c r="F129" s="19" t="s">
        <v>17</v>
      </c>
      <c r="G129" s="19" t="s">
        <v>14</v>
      </c>
      <c r="H129" s="19" t="str">
        <f>T("607246821")</f>
        <v>607246821</v>
      </c>
      <c r="I129" s="19" t="s">
        <v>383</v>
      </c>
      <c r="J129" s="19" t="s">
        <v>384</v>
      </c>
      <c r="K129" s="19" t="str">
        <f>T("83310")</f>
        <v>83310</v>
      </c>
      <c r="L129" s="19" t="s">
        <v>19</v>
      </c>
      <c r="M129" s="21" t="s">
        <v>0</v>
      </c>
      <c r="N129" s="24">
        <v>45211</v>
      </c>
      <c r="O129" s="25"/>
    </row>
    <row r="130" spans="1:15" ht="16" hidden="1" x14ac:dyDescent="0.2">
      <c r="A130" s="19" t="s">
        <v>385</v>
      </c>
      <c r="B130" s="20">
        <v>45210</v>
      </c>
      <c r="C130" s="19" t="str">
        <f>T("330238620:0830372774")</f>
        <v>330238620:0830372774</v>
      </c>
      <c r="D130" s="19" t="str">
        <f>T("00100193-SAV RAC5")</f>
        <v>00100193-SAV RAC5</v>
      </c>
      <c r="E130" s="19" t="str">
        <f>T("510145992")</f>
        <v>510145992</v>
      </c>
      <c r="F130" s="19" t="s">
        <v>17</v>
      </c>
      <c r="G130" s="19" t="s">
        <v>14</v>
      </c>
      <c r="H130" s="19" t="str">
        <f>T("607246968")</f>
        <v>607246968</v>
      </c>
      <c r="I130" s="19" t="s">
        <v>386</v>
      </c>
      <c r="J130" s="19" t="s">
        <v>170</v>
      </c>
      <c r="K130" s="19" t="str">
        <f>T("13854")</f>
        <v>13854</v>
      </c>
      <c r="L130" s="19" t="s">
        <v>19</v>
      </c>
      <c r="M130" s="21" t="s">
        <v>0</v>
      </c>
      <c r="N130" s="24">
        <v>45211</v>
      </c>
      <c r="O130" s="25"/>
    </row>
    <row r="131" spans="1:15" ht="16" hidden="1" x14ac:dyDescent="0.2">
      <c r="A131" s="19" t="s">
        <v>387</v>
      </c>
      <c r="B131" s="20">
        <v>45210</v>
      </c>
      <c r="C131" s="19" t="str">
        <f>T("330238712:0830372828")</f>
        <v>330238712:0830372828</v>
      </c>
      <c r="D131" s="19" t="str">
        <f>T("WC Mr Montagne")</f>
        <v>WC Mr Montagne</v>
      </c>
      <c r="E131" s="19" t="str">
        <f>T("510146474")</f>
        <v>510146474</v>
      </c>
      <c r="F131" s="19" t="s">
        <v>17</v>
      </c>
      <c r="G131" s="19" t="s">
        <v>14</v>
      </c>
      <c r="H131" s="19" t="str">
        <f>T("607246985")</f>
        <v>607246985</v>
      </c>
      <c r="I131" s="19" t="s">
        <v>388</v>
      </c>
      <c r="J131" s="19" t="s">
        <v>389</v>
      </c>
      <c r="K131" s="19" t="str">
        <f>T("46500")</f>
        <v>46500</v>
      </c>
      <c r="L131" s="19" t="s">
        <v>19</v>
      </c>
      <c r="M131" s="21" t="s">
        <v>0</v>
      </c>
      <c r="N131" s="24">
        <v>45212</v>
      </c>
      <c r="O131" s="25"/>
    </row>
    <row r="132" spans="1:15" ht="16" hidden="1" x14ac:dyDescent="0.2">
      <c r="A132" s="19" t="s">
        <v>390</v>
      </c>
      <c r="B132" s="20">
        <v>45210</v>
      </c>
      <c r="C132" s="19" t="str">
        <f>T("330238769:0830372871")</f>
        <v>330238769:0830372871</v>
      </c>
      <c r="D132" s="19" t="str">
        <f>T("ALTGLAS")</f>
        <v>ALTGLAS</v>
      </c>
      <c r="E132" s="19" t="str">
        <f>T("510146022")</f>
        <v>510146022</v>
      </c>
      <c r="F132" s="19" t="s">
        <v>17</v>
      </c>
      <c r="G132" s="19" t="s">
        <v>14</v>
      </c>
      <c r="H132" s="22" t="str">
        <f>T("607246852")</f>
        <v>607246852</v>
      </c>
      <c r="I132" s="19" t="s">
        <v>391</v>
      </c>
      <c r="J132" s="19" t="s">
        <v>392</v>
      </c>
      <c r="K132" s="19" t="str">
        <f>T("94340")</f>
        <v>94340</v>
      </c>
      <c r="L132" s="19" t="s">
        <v>19</v>
      </c>
      <c r="M132" s="21" t="s">
        <v>0</v>
      </c>
      <c r="N132" s="24">
        <v>45211</v>
      </c>
      <c r="O132" s="25"/>
    </row>
    <row r="133" spans="1:15" ht="16" hidden="1" x14ac:dyDescent="0.2">
      <c r="A133" s="19" t="s">
        <v>393</v>
      </c>
      <c r="B133" s="20">
        <v>45210</v>
      </c>
      <c r="C133" s="19" t="str">
        <f>T("330238618:0830372772")</f>
        <v>330238618:0830372772</v>
      </c>
      <c r="D133" s="19" t="str">
        <f>T("00100185-8028")</f>
        <v>00100185-8028</v>
      </c>
      <c r="E133" s="19" t="str">
        <f>T("510145983")</f>
        <v>510145983</v>
      </c>
      <c r="F133" s="19" t="s">
        <v>17</v>
      </c>
      <c r="G133" s="19" t="s">
        <v>14</v>
      </c>
      <c r="H133" s="22" t="str">
        <f>T("607246866")</f>
        <v>607246866</v>
      </c>
      <c r="I133" s="19" t="s">
        <v>394</v>
      </c>
      <c r="J133" s="19" t="s">
        <v>41</v>
      </c>
      <c r="K133" s="19" t="str">
        <f>T("59370")</f>
        <v>59370</v>
      </c>
      <c r="L133" s="19" t="s">
        <v>19</v>
      </c>
      <c r="M133" s="21" t="s">
        <v>0</v>
      </c>
      <c r="N133" s="24">
        <v>45211</v>
      </c>
      <c r="O133" s="25"/>
    </row>
    <row r="134" spans="1:15" ht="16" hidden="1" x14ac:dyDescent="0.2">
      <c r="A134" s="19" t="s">
        <v>395</v>
      </c>
      <c r="B134" s="20">
        <v>45210</v>
      </c>
      <c r="C134" s="19" t="str">
        <f>T("330238795:0830372887")</f>
        <v>330238795:0830372887</v>
      </c>
      <c r="D134" s="19" t="str">
        <f>T("093091-MORISSET")</f>
        <v>093091-MORISSET</v>
      </c>
      <c r="E134" s="19" t="str">
        <f>T("510145919")</f>
        <v>510145919</v>
      </c>
      <c r="F134" s="19" t="s">
        <v>17</v>
      </c>
      <c r="G134" s="19" t="s">
        <v>14</v>
      </c>
      <c r="H134" s="19" t="str">
        <f>T("607246870")</f>
        <v>607246870</v>
      </c>
      <c r="I134" s="19" t="s">
        <v>396</v>
      </c>
      <c r="J134" s="19" t="s">
        <v>397</v>
      </c>
      <c r="K134" s="19" t="str">
        <f>T("79200")</f>
        <v>79200</v>
      </c>
      <c r="L134" s="19" t="s">
        <v>19</v>
      </c>
      <c r="M134" s="21" t="s">
        <v>0</v>
      </c>
      <c r="N134" s="24">
        <v>45212</v>
      </c>
      <c r="O134" s="25"/>
    </row>
    <row r="135" spans="1:15" ht="16" hidden="1" x14ac:dyDescent="0.2">
      <c r="A135" s="19" t="s">
        <v>398</v>
      </c>
      <c r="B135" s="20">
        <v>45210</v>
      </c>
      <c r="C135" s="19" t="str">
        <f>T("330238751:0830372853")</f>
        <v>330238751:0830372853</v>
      </c>
      <c r="D135" s="19" t="str">
        <f>T("TDA")</f>
        <v>TDA</v>
      </c>
      <c r="E135" s="19" t="str">
        <f>T("510146182")</f>
        <v>510146182</v>
      </c>
      <c r="F135" s="19" t="s">
        <v>17</v>
      </c>
      <c r="G135" s="19" t="s">
        <v>14</v>
      </c>
      <c r="H135" s="22" t="str">
        <f>T("607246883")</f>
        <v>607246883</v>
      </c>
      <c r="I135" s="19" t="s">
        <v>87</v>
      </c>
      <c r="J135" s="19" t="s">
        <v>273</v>
      </c>
      <c r="K135" s="19" t="str">
        <f>T("51100")</f>
        <v>51100</v>
      </c>
      <c r="L135" s="19" t="s">
        <v>19</v>
      </c>
      <c r="M135" s="21" t="s">
        <v>0</v>
      </c>
      <c r="N135" s="24">
        <v>45211</v>
      </c>
      <c r="O135" s="25"/>
    </row>
    <row r="136" spans="1:15" ht="16" hidden="1" x14ac:dyDescent="0.2">
      <c r="A136" s="19" t="s">
        <v>399</v>
      </c>
      <c r="B136" s="20">
        <v>45210</v>
      </c>
      <c r="C136" s="19" t="str">
        <f>T("330238601:0830372722")</f>
        <v>330238601:0830372722</v>
      </c>
      <c r="D136" s="19" t="str">
        <f>T("BONDUELLE")</f>
        <v>BONDUELLE</v>
      </c>
      <c r="E136" s="19" t="str">
        <f>T("510146031")</f>
        <v>510146031</v>
      </c>
      <c r="F136" s="19" t="s">
        <v>16</v>
      </c>
      <c r="G136" s="19" t="s">
        <v>14</v>
      </c>
      <c r="H136" s="19" t="str">
        <f>T("607246897")</f>
        <v>607246897</v>
      </c>
      <c r="I136" s="19" t="s">
        <v>400</v>
      </c>
      <c r="J136" s="19" t="s">
        <v>401</v>
      </c>
      <c r="K136" s="19" t="str">
        <f>T("08000")</f>
        <v>08000</v>
      </c>
      <c r="L136" s="19" t="s">
        <v>19</v>
      </c>
      <c r="M136" s="21" t="s">
        <v>0</v>
      </c>
      <c r="N136" s="24">
        <v>45212</v>
      </c>
      <c r="O136" s="25"/>
    </row>
    <row r="137" spans="1:15" ht="16" hidden="1" x14ac:dyDescent="0.2">
      <c r="A137" s="19" t="s">
        <v>402</v>
      </c>
      <c r="B137" s="20">
        <v>45210</v>
      </c>
      <c r="C137" s="19" t="str">
        <f>T("330238576:0830372703")</f>
        <v>330238576:0830372703</v>
      </c>
      <c r="D137" s="19" t="str">
        <f>T("WC-Cury (S) T#110")</f>
        <v>WC-Cury (S) T#110</v>
      </c>
      <c r="E137" s="19" t="str">
        <f>T("510146455")</f>
        <v>510146455</v>
      </c>
      <c r="F137" s="19" t="s">
        <v>17</v>
      </c>
      <c r="G137" s="19" t="s">
        <v>14</v>
      </c>
      <c r="H137" s="19" t="str">
        <f>T("607246906")</f>
        <v>607246906</v>
      </c>
      <c r="I137" s="19" t="s">
        <v>47</v>
      </c>
      <c r="J137" s="19" t="s">
        <v>180</v>
      </c>
      <c r="K137" s="19" t="str">
        <f>T("06370")</f>
        <v>06370</v>
      </c>
      <c r="L137" s="19" t="s">
        <v>19</v>
      </c>
      <c r="M137" s="21" t="s">
        <v>0</v>
      </c>
      <c r="N137" s="24">
        <v>45211</v>
      </c>
      <c r="O137" s="25"/>
    </row>
    <row r="138" spans="1:15" ht="16" hidden="1" x14ac:dyDescent="0.2">
      <c r="A138" s="19" t="s">
        <v>403</v>
      </c>
      <c r="B138" s="20">
        <v>45210</v>
      </c>
      <c r="C138" s="19" t="str">
        <f>T("330238738:0830372844")</f>
        <v>330238738:0830372844</v>
      </c>
      <c r="D138" s="19" t="str">
        <f>T("00100232-SAV RAC5")</f>
        <v>00100232-SAV RAC5</v>
      </c>
      <c r="E138" s="19" t="str">
        <f>T("510146185")</f>
        <v>510146185</v>
      </c>
      <c r="F138" s="19" t="s">
        <v>17</v>
      </c>
      <c r="G138" s="19" t="s">
        <v>14</v>
      </c>
      <c r="H138" s="19" t="str">
        <f>T("607246910")</f>
        <v>607246910</v>
      </c>
      <c r="I138" s="19" t="s">
        <v>324</v>
      </c>
      <c r="J138" s="19" t="s">
        <v>325</v>
      </c>
      <c r="K138" s="19" t="str">
        <f>T("83600")</f>
        <v>83600</v>
      </c>
      <c r="L138" s="19" t="s">
        <v>19</v>
      </c>
      <c r="M138" s="21" t="s">
        <v>0</v>
      </c>
      <c r="N138" s="24">
        <v>45211</v>
      </c>
      <c r="O138" s="25"/>
    </row>
    <row r="139" spans="1:15" ht="16" hidden="1" x14ac:dyDescent="0.2">
      <c r="A139" s="19" t="s">
        <v>404</v>
      </c>
      <c r="B139" s="20">
        <v>45210</v>
      </c>
      <c r="C139" s="19" t="str">
        <f>T("330238724:0830372835")</f>
        <v>330238724:0830372835</v>
      </c>
      <c r="D139" s="19" t="str">
        <f>T("00100237-11300 39")</f>
        <v>00100237-11300 39</v>
      </c>
      <c r="E139" s="19" t="str">
        <f>T("510146188")</f>
        <v>510146188</v>
      </c>
      <c r="F139" s="19" t="s">
        <v>17</v>
      </c>
      <c r="G139" s="19" t="s">
        <v>14</v>
      </c>
      <c r="H139" s="19" t="str">
        <f>T("607246923")</f>
        <v>607246923</v>
      </c>
      <c r="I139" s="19" t="s">
        <v>76</v>
      </c>
      <c r="J139" s="19" t="s">
        <v>405</v>
      </c>
      <c r="K139" s="19" t="str">
        <f>T("45700")</f>
        <v>45700</v>
      </c>
      <c r="L139" s="19" t="s">
        <v>19</v>
      </c>
      <c r="M139" s="21" t="s">
        <v>0</v>
      </c>
      <c r="N139" s="24">
        <v>45211</v>
      </c>
      <c r="O139" s="25"/>
    </row>
    <row r="140" spans="1:15" ht="16" hidden="1" x14ac:dyDescent="0.2">
      <c r="A140" s="19" t="s">
        <v>406</v>
      </c>
      <c r="B140" s="20">
        <v>45210</v>
      </c>
      <c r="C140" s="19" t="str">
        <f>T("330238785:0830372880")</f>
        <v>330238785:0830372880</v>
      </c>
      <c r="D140" s="19" t="str">
        <f>T("00100149-SAV UGO")</f>
        <v>00100149-SAV UGO</v>
      </c>
      <c r="E140" s="19" t="str">
        <f>T("510146079")</f>
        <v>510146079</v>
      </c>
      <c r="F140" s="19" t="s">
        <v>17</v>
      </c>
      <c r="G140" s="19" t="s">
        <v>14</v>
      </c>
      <c r="H140" s="19" t="str">
        <f>T("607246937")</f>
        <v>607246937</v>
      </c>
      <c r="I140" s="19" t="s">
        <v>225</v>
      </c>
      <c r="J140" s="19" t="s">
        <v>226</v>
      </c>
      <c r="K140" s="19" t="str">
        <f>T("06370")</f>
        <v>06370</v>
      </c>
      <c r="L140" s="19" t="s">
        <v>19</v>
      </c>
      <c r="M140" s="21" t="s">
        <v>0</v>
      </c>
      <c r="N140" s="24">
        <v>45211</v>
      </c>
      <c r="O140" s="25"/>
    </row>
    <row r="141" spans="1:15" ht="16" hidden="1" x14ac:dyDescent="0.2">
      <c r="A141" s="19" t="s">
        <v>407</v>
      </c>
      <c r="B141" s="20">
        <v>45210</v>
      </c>
      <c r="C141" s="19" t="str">
        <f>T("330238588:0830372713")</f>
        <v>330238588:0830372713</v>
      </c>
      <c r="D141" s="19" t="str">
        <f>T("GOUHIER")</f>
        <v>GOUHIER</v>
      </c>
      <c r="E141" s="19" t="str">
        <f>T("510146123")</f>
        <v>510146123</v>
      </c>
      <c r="F141" s="19" t="s">
        <v>16</v>
      </c>
      <c r="G141" s="19" t="s">
        <v>14</v>
      </c>
      <c r="H141" s="19" t="str">
        <f>T("607246945")</f>
        <v>607246945</v>
      </c>
      <c r="I141" s="19" t="s">
        <v>408</v>
      </c>
      <c r="J141" s="19" t="s">
        <v>409</v>
      </c>
      <c r="K141" s="19" t="str">
        <f>T("77176")</f>
        <v>77176</v>
      </c>
      <c r="L141" s="19" t="s">
        <v>19</v>
      </c>
      <c r="M141" s="21" t="s">
        <v>0</v>
      </c>
      <c r="N141" s="24">
        <v>45212</v>
      </c>
      <c r="O141" s="25"/>
    </row>
    <row r="142" spans="1:15" ht="16" hidden="1" x14ac:dyDescent="0.2">
      <c r="A142" s="19" t="s">
        <v>410</v>
      </c>
      <c r="B142" s="20">
        <v>45210</v>
      </c>
      <c r="C142" s="19" t="str">
        <f>T("330238721:0830372833")</f>
        <v>330238721:0830372833</v>
      </c>
      <c r="D142" s="19" t="str">
        <f>T("mr malvoisin")</f>
        <v>mr malvoisin</v>
      </c>
      <c r="E142" s="19" t="str">
        <f>T("510146620")</f>
        <v>510146620</v>
      </c>
      <c r="F142" s="19" t="s">
        <v>17</v>
      </c>
      <c r="G142" s="19" t="s">
        <v>14</v>
      </c>
      <c r="H142" s="19" t="str">
        <f>T("607246954")</f>
        <v>607246954</v>
      </c>
      <c r="I142" s="19" t="s">
        <v>411</v>
      </c>
      <c r="J142" s="19" t="s">
        <v>412</v>
      </c>
      <c r="K142" s="19" t="str">
        <f>T("02110")</f>
        <v>02110</v>
      </c>
      <c r="L142" s="19" t="s">
        <v>19</v>
      </c>
      <c r="M142" s="21" t="s">
        <v>0</v>
      </c>
      <c r="N142" s="24">
        <v>45211</v>
      </c>
      <c r="O142" s="25"/>
    </row>
    <row r="143" spans="1:15" ht="16" hidden="1" x14ac:dyDescent="0.2">
      <c r="A143" s="19" t="s">
        <v>413</v>
      </c>
      <c r="B143" s="20">
        <v>45210</v>
      </c>
      <c r="C143" s="19" t="str">
        <f>T("330238578:0830372705")</f>
        <v>330238578:0830372705</v>
      </c>
      <c r="D143" s="19" t="str">
        <f>T("w008835")</f>
        <v>w008835</v>
      </c>
      <c r="E143" s="19" t="str">
        <f>T("510145953")</f>
        <v>510145953</v>
      </c>
      <c r="F143" s="19" t="s">
        <v>17</v>
      </c>
      <c r="G143" s="19" t="s">
        <v>14</v>
      </c>
      <c r="H143" s="19" t="str">
        <f>T("607246971")</f>
        <v>607246971</v>
      </c>
      <c r="I143" s="19" t="s">
        <v>414</v>
      </c>
      <c r="J143" s="19" t="s">
        <v>415</v>
      </c>
      <c r="K143" s="19" t="str">
        <f>T("29750")</f>
        <v>29750</v>
      </c>
      <c r="L143" s="19" t="s">
        <v>19</v>
      </c>
      <c r="M143" s="21" t="s">
        <v>0</v>
      </c>
      <c r="N143" s="24">
        <v>45211</v>
      </c>
      <c r="O143" s="25"/>
    </row>
    <row r="144" spans="1:15" ht="16" hidden="1" x14ac:dyDescent="0.2">
      <c r="A144" s="19" t="s">
        <v>416</v>
      </c>
      <c r="B144" s="20">
        <v>45210</v>
      </c>
      <c r="C144" s="19" t="str">
        <f>T("330238606:0830372763")</f>
        <v>330238606:0830372763</v>
      </c>
      <c r="D144" s="19" t="str">
        <f>T("SAV ID ENERGIES C")</f>
        <v>SAV ID ENERGIES C</v>
      </c>
      <c r="E144" s="19" t="str">
        <f>T("510146039")</f>
        <v>510146039</v>
      </c>
      <c r="F144" s="19" t="s">
        <v>17</v>
      </c>
      <c r="G144" s="19" t="s">
        <v>14</v>
      </c>
      <c r="H144" s="19" t="str">
        <f>T("607246999")</f>
        <v>607246999</v>
      </c>
      <c r="I144" s="19" t="s">
        <v>48</v>
      </c>
      <c r="J144" s="19" t="s">
        <v>417</v>
      </c>
      <c r="K144" s="19" t="str">
        <f>T("50700")</f>
        <v>50700</v>
      </c>
      <c r="L144" s="19" t="s">
        <v>19</v>
      </c>
      <c r="M144" s="21" t="s">
        <v>0</v>
      </c>
      <c r="N144" s="24">
        <v>45212</v>
      </c>
      <c r="O144" s="25"/>
    </row>
    <row r="145" spans="1:15" ht="16" hidden="1" x14ac:dyDescent="0.2">
      <c r="A145" s="19" t="s">
        <v>418</v>
      </c>
      <c r="B145" s="20">
        <v>45210</v>
      </c>
      <c r="C145" s="19" t="str">
        <f>T("330238706:0830372825")</f>
        <v>330238706:0830372825</v>
      </c>
      <c r="D145" s="19" t="str">
        <f>T("WC Bistrot Saint")</f>
        <v>WC Bistrot Saint</v>
      </c>
      <c r="E145" s="19" t="str">
        <f>T("510146465")</f>
        <v>510146465</v>
      </c>
      <c r="F145" s="19" t="s">
        <v>17</v>
      </c>
      <c r="G145" s="19" t="s">
        <v>14</v>
      </c>
      <c r="H145" s="19" t="str">
        <f>T("607247005")</f>
        <v>607247005</v>
      </c>
      <c r="I145" s="19" t="s">
        <v>419</v>
      </c>
      <c r="J145" s="19" t="s">
        <v>420</v>
      </c>
      <c r="K145" s="19" t="str">
        <f>T("65000")</f>
        <v>65000</v>
      </c>
      <c r="L145" s="19" t="s">
        <v>19</v>
      </c>
      <c r="M145" s="21" t="s">
        <v>0</v>
      </c>
      <c r="N145" s="24">
        <v>45212</v>
      </c>
      <c r="O145" s="25"/>
    </row>
    <row r="146" spans="1:15" ht="16" hidden="1" x14ac:dyDescent="0.2">
      <c r="A146" s="19" t="s">
        <v>421</v>
      </c>
      <c r="B146" s="20">
        <v>45210</v>
      </c>
      <c r="C146" s="19" t="str">
        <f>T("330159552:0830239791")</f>
        <v>330159552:0830239791</v>
      </c>
      <c r="D146" s="19" t="str">
        <f>T("WC-YESSS ELECTRIQ")</f>
        <v>WC-YESSS ELECTRIQ</v>
      </c>
      <c r="E146" s="19" t="str">
        <f>T("7690044028")</f>
        <v>7690044028</v>
      </c>
      <c r="F146" s="19" t="s">
        <v>16</v>
      </c>
      <c r="G146" s="19" t="s">
        <v>14</v>
      </c>
      <c r="H146" s="19" t="str">
        <f>T("607247345")</f>
        <v>607247345</v>
      </c>
      <c r="I146" s="19" t="s">
        <v>422</v>
      </c>
      <c r="J146" s="19" t="s">
        <v>423</v>
      </c>
      <c r="K146" s="19" t="str">
        <f>T("88000")</f>
        <v>88000</v>
      </c>
      <c r="L146" s="19" t="s">
        <v>424</v>
      </c>
      <c r="M146" s="21" t="s">
        <v>0</v>
      </c>
      <c r="N146" s="24">
        <v>45219</v>
      </c>
      <c r="O146" s="25"/>
    </row>
    <row r="147" spans="1:15" ht="16" hidden="1" x14ac:dyDescent="0.2">
      <c r="A147" s="19" t="s">
        <v>425</v>
      </c>
      <c r="B147" s="20">
        <v>45210</v>
      </c>
      <c r="C147" s="19" t="str">
        <f>T("330238590:0830372715")</f>
        <v>330238590:0830372715</v>
      </c>
      <c r="D147" s="19" t="str">
        <f>T("AUBERGE PUIT")</f>
        <v>AUBERGE PUIT</v>
      </c>
      <c r="E147" s="19" t="str">
        <f>T("510146129")</f>
        <v>510146129</v>
      </c>
      <c r="F147" s="19" t="s">
        <v>17</v>
      </c>
      <c r="G147" s="19" t="s">
        <v>14</v>
      </c>
      <c r="H147" s="19" t="str">
        <f>T("607247019")</f>
        <v>607247019</v>
      </c>
      <c r="I147" s="19" t="s">
        <v>426</v>
      </c>
      <c r="J147" s="19" t="s">
        <v>427</v>
      </c>
      <c r="K147" s="19" t="str">
        <f>T("66000")</f>
        <v>66000</v>
      </c>
      <c r="L147" s="19" t="s">
        <v>19</v>
      </c>
      <c r="M147" s="21" t="s">
        <v>0</v>
      </c>
      <c r="N147" s="24">
        <v>45212</v>
      </c>
      <c r="O147" s="25"/>
    </row>
    <row r="148" spans="1:15" ht="16" hidden="1" x14ac:dyDescent="0.2">
      <c r="A148" s="19" t="s">
        <v>428</v>
      </c>
      <c r="B148" s="20">
        <v>45210</v>
      </c>
      <c r="C148" s="19" t="str">
        <f>T("330238591:0830372716")</f>
        <v>330238591:0830372716</v>
      </c>
      <c r="D148" s="19" t="str">
        <f>T("DE GRAEVE")</f>
        <v>DE GRAEVE</v>
      </c>
      <c r="E148" s="19" t="str">
        <f>T("510146136")</f>
        <v>510146136</v>
      </c>
      <c r="F148" s="19" t="s">
        <v>17</v>
      </c>
      <c r="G148" s="19" t="s">
        <v>14</v>
      </c>
      <c r="H148" s="19" t="str">
        <f>T("607247022")</f>
        <v>607247022</v>
      </c>
      <c r="I148" s="19" t="s">
        <v>429</v>
      </c>
      <c r="J148" s="19" t="s">
        <v>430</v>
      </c>
      <c r="K148" s="19" t="str">
        <f>T("02820")</f>
        <v>02820</v>
      </c>
      <c r="L148" s="19" t="s">
        <v>19</v>
      </c>
      <c r="M148" s="21" t="s">
        <v>0</v>
      </c>
      <c r="N148" s="24">
        <v>45211</v>
      </c>
      <c r="O148" s="25"/>
    </row>
    <row r="149" spans="1:15" ht="16" hidden="1" x14ac:dyDescent="0.2">
      <c r="A149" s="19" t="s">
        <v>431</v>
      </c>
      <c r="B149" s="20">
        <v>45210</v>
      </c>
      <c r="C149" s="19" t="str">
        <f>T("330146288:0830373146")</f>
        <v>330146288:0830373146</v>
      </c>
      <c r="D149" s="19" t="str">
        <f>T("SOL2305FBC004946")</f>
        <v>SOL2305FBC004946</v>
      </c>
      <c r="E149" s="19" t="str">
        <f>T("7660212059")</f>
        <v>7660212059</v>
      </c>
      <c r="F149" s="19" t="s">
        <v>16</v>
      </c>
      <c r="G149" s="19" t="s">
        <v>14</v>
      </c>
      <c r="H149" s="19" t="str">
        <f>T("607247075")</f>
        <v>607247075</v>
      </c>
      <c r="I149" s="19" t="s">
        <v>23</v>
      </c>
      <c r="J149" s="19" t="s">
        <v>432</v>
      </c>
      <c r="K149" s="19" t="str">
        <f>T("66000")</f>
        <v>66000</v>
      </c>
      <c r="L149" s="19" t="s">
        <v>19</v>
      </c>
      <c r="M149" s="21" t="s">
        <v>0</v>
      </c>
      <c r="N149" s="24">
        <v>45212</v>
      </c>
      <c r="O149" s="25"/>
    </row>
    <row r="150" spans="1:15" ht="16" hidden="1" x14ac:dyDescent="0.2">
      <c r="A150" s="19" t="s">
        <v>433</v>
      </c>
      <c r="B150" s="20">
        <v>45210</v>
      </c>
      <c r="C150" s="19" t="str">
        <f>T("330238920:0830373148")</f>
        <v>330238920:0830373148</v>
      </c>
      <c r="D150" s="19" t="str">
        <f>T("WC-ESCOTAT T#9769")</f>
        <v>WC-ESCOTAT T#9769</v>
      </c>
      <c r="E150" s="19" t="str">
        <f>T("510146450")</f>
        <v>510146450</v>
      </c>
      <c r="F150" s="19" t="s">
        <v>16</v>
      </c>
      <c r="G150" s="19" t="s">
        <v>14</v>
      </c>
      <c r="H150" s="19" t="str">
        <f>T("607247084")</f>
        <v>607247084</v>
      </c>
      <c r="I150" s="19" t="s">
        <v>47</v>
      </c>
      <c r="J150" s="19" t="s">
        <v>180</v>
      </c>
      <c r="K150" s="19" t="str">
        <f>T("06370")</f>
        <v>06370</v>
      </c>
      <c r="L150" s="19" t="s">
        <v>19</v>
      </c>
      <c r="M150" s="21" t="s">
        <v>0</v>
      </c>
      <c r="N150" s="24">
        <v>45211</v>
      </c>
      <c r="O150" s="25"/>
    </row>
    <row r="151" spans="1:15" ht="16" hidden="1" x14ac:dyDescent="0.2">
      <c r="A151" s="19" t="s">
        <v>434</v>
      </c>
      <c r="B151" s="20">
        <v>45210</v>
      </c>
      <c r="C151" s="19" t="str">
        <f>T("330238737:0830372843")</f>
        <v>330238737:0830372843</v>
      </c>
      <c r="D151" s="19" t="str">
        <f>T("00100229-SAV NOEL")</f>
        <v>00100229-SAV NOEL</v>
      </c>
      <c r="E151" s="19" t="str">
        <f>T("510146183")</f>
        <v>510146183</v>
      </c>
      <c r="F151" s="19" t="s">
        <v>17</v>
      </c>
      <c r="G151" s="19" t="s">
        <v>14</v>
      </c>
      <c r="H151" s="19" t="str">
        <f>T("607247098")</f>
        <v>607247098</v>
      </c>
      <c r="I151" s="19" t="s">
        <v>353</v>
      </c>
      <c r="J151" s="19" t="s">
        <v>435</v>
      </c>
      <c r="K151" s="19" t="str">
        <f>T("83160")</f>
        <v>83160</v>
      </c>
      <c r="L151" s="19" t="s">
        <v>19</v>
      </c>
      <c r="M151" s="21" t="s">
        <v>0</v>
      </c>
      <c r="N151" s="24">
        <v>45211</v>
      </c>
      <c r="O151" s="25"/>
    </row>
    <row r="152" spans="1:15" ht="16" hidden="1" x14ac:dyDescent="0.2">
      <c r="A152" s="19" t="s">
        <v>436</v>
      </c>
      <c r="B152" s="20">
        <v>45210</v>
      </c>
      <c r="C152" s="19" t="str">
        <f>T("330238771:0830372872")</f>
        <v>330238771:0830372872</v>
      </c>
      <c r="D152" s="19" t="str">
        <f>T("BRIANNE CREAFLOR")</f>
        <v>BRIANNE CREAFLOR</v>
      </c>
      <c r="E152" s="19" t="str">
        <f>T("510146014")</f>
        <v>510146014</v>
      </c>
      <c r="F152" s="19" t="s">
        <v>17</v>
      </c>
      <c r="G152" s="19" t="s">
        <v>14</v>
      </c>
      <c r="H152" s="19" t="str">
        <f>T("607247107")</f>
        <v>607247107</v>
      </c>
      <c r="I152" s="19" t="s">
        <v>437</v>
      </c>
      <c r="J152" s="19" t="s">
        <v>438</v>
      </c>
      <c r="K152" s="19" t="str">
        <f>T("37510")</f>
        <v>37510</v>
      </c>
      <c r="L152" s="19" t="s">
        <v>19</v>
      </c>
      <c r="M152" s="21" t="s">
        <v>0</v>
      </c>
      <c r="N152" s="24">
        <v>45211</v>
      </c>
      <c r="O152" s="25"/>
    </row>
    <row r="153" spans="1:15" ht="16" hidden="1" x14ac:dyDescent="0.2">
      <c r="A153" s="19" t="s">
        <v>439</v>
      </c>
      <c r="B153" s="20">
        <v>45210</v>
      </c>
      <c r="C153" s="19" t="str">
        <f>T("330238700:0830372821")</f>
        <v>330238700:0830372821</v>
      </c>
      <c r="D153" s="19" t="str">
        <f>T("CDC127536 S0053 S")</f>
        <v>CDC127536 S0053 S</v>
      </c>
      <c r="E153" s="19" t="str">
        <f>T("510146233")</f>
        <v>510146233</v>
      </c>
      <c r="F153" s="19" t="s">
        <v>17</v>
      </c>
      <c r="G153" s="19" t="s">
        <v>14</v>
      </c>
      <c r="H153" s="19" t="str">
        <f>T("607247265")</f>
        <v>607247265</v>
      </c>
      <c r="I153" s="19" t="s">
        <v>56</v>
      </c>
      <c r="J153" s="19" t="s">
        <v>440</v>
      </c>
      <c r="K153" s="19" t="str">
        <f>T("64390")</f>
        <v>64390</v>
      </c>
      <c r="L153" s="19" t="s">
        <v>19</v>
      </c>
      <c r="M153" s="21" t="s">
        <v>0</v>
      </c>
      <c r="N153" s="24">
        <v>45212</v>
      </c>
      <c r="O153" s="25"/>
    </row>
    <row r="154" spans="1:15" ht="16" hidden="1" x14ac:dyDescent="0.2">
      <c r="A154" s="19" t="s">
        <v>441</v>
      </c>
      <c r="B154" s="20">
        <v>45210</v>
      </c>
      <c r="C154" s="19" t="str">
        <f>T("330238702:0830372822")</f>
        <v>330238702:0830372822</v>
      </c>
      <c r="D154" s="19" t="str">
        <f>T("CDC127539 E0094 S")</f>
        <v>CDC127539 E0094 S</v>
      </c>
      <c r="E154" s="19" t="str">
        <f>T("510146235")</f>
        <v>510146235</v>
      </c>
      <c r="F154" s="19" t="s">
        <v>17</v>
      </c>
      <c r="G154" s="19" t="s">
        <v>14</v>
      </c>
      <c r="H154" s="19" t="str">
        <f>T("607247314")</f>
        <v>607247314</v>
      </c>
      <c r="I154" s="19" t="s">
        <v>167</v>
      </c>
      <c r="J154" s="19" t="s">
        <v>168</v>
      </c>
      <c r="K154" s="19" t="str">
        <f>T("86000")</f>
        <v>86000</v>
      </c>
      <c r="L154" s="19" t="s">
        <v>19</v>
      </c>
      <c r="M154" s="21" t="s">
        <v>0</v>
      </c>
      <c r="N154" s="24">
        <v>45212</v>
      </c>
      <c r="O154" s="25"/>
    </row>
    <row r="155" spans="1:15" ht="16" hidden="1" x14ac:dyDescent="0.2">
      <c r="A155" s="19" t="s">
        <v>442</v>
      </c>
      <c r="B155" s="20">
        <v>45210</v>
      </c>
      <c r="C155" s="19" t="str">
        <f>T("330238743:0830372847")</f>
        <v>330238743:0830372847</v>
      </c>
      <c r="D155" s="21"/>
      <c r="E155" s="19" t="str">
        <f>T("510146192 manual")</f>
        <v>510146192 manual</v>
      </c>
      <c r="F155" s="19" t="s">
        <v>17</v>
      </c>
      <c r="G155" s="19" t="s">
        <v>14</v>
      </c>
      <c r="H155" s="19" t="str">
        <f>T("607247376")</f>
        <v>607247376</v>
      </c>
      <c r="I155" s="19" t="s">
        <v>283</v>
      </c>
      <c r="J155" s="19" t="s">
        <v>284</v>
      </c>
      <c r="K155" s="19" t="str">
        <f>T("06700")</f>
        <v>06700</v>
      </c>
      <c r="L155" s="19" t="s">
        <v>19</v>
      </c>
      <c r="M155" s="21" t="s">
        <v>0</v>
      </c>
      <c r="N155" s="24">
        <v>45211</v>
      </c>
      <c r="O155" s="25"/>
    </row>
    <row r="156" spans="1:15" ht="16" hidden="1" x14ac:dyDescent="0.2">
      <c r="A156" s="19" t="s">
        <v>443</v>
      </c>
      <c r="B156" s="20">
        <v>45210</v>
      </c>
      <c r="C156" s="19" t="str">
        <f>T("330238697:0830372818")</f>
        <v>330238697:0830372818</v>
      </c>
      <c r="D156" s="21"/>
      <c r="E156" s="19" t="str">
        <f>T("510146221 MANUAL")</f>
        <v>510146221 MANUAL</v>
      </c>
      <c r="F156" s="19" t="s">
        <v>17</v>
      </c>
      <c r="G156" s="19" t="s">
        <v>14</v>
      </c>
      <c r="H156" s="19" t="str">
        <f>T("607247380")</f>
        <v>607247380</v>
      </c>
      <c r="I156" s="19" t="s">
        <v>444</v>
      </c>
      <c r="J156" s="19" t="s">
        <v>445</v>
      </c>
      <c r="K156" s="19" t="str">
        <f>T("62650")</f>
        <v>62650</v>
      </c>
      <c r="L156" s="19" t="s">
        <v>19</v>
      </c>
      <c r="M156" s="21" t="s">
        <v>0</v>
      </c>
      <c r="N156" s="24">
        <v>45211</v>
      </c>
      <c r="O156" s="25"/>
    </row>
    <row r="157" spans="1:15" ht="16" hidden="1" x14ac:dyDescent="0.2">
      <c r="A157" s="19" t="s">
        <v>446</v>
      </c>
      <c r="B157" s="20">
        <v>45210</v>
      </c>
      <c r="C157" s="19" t="str">
        <f>T("330238727:0830372837")</f>
        <v>330238727:0830372837</v>
      </c>
      <c r="D157" s="21"/>
      <c r="E157" s="19" t="str">
        <f>T("510146124 MANUAL")</f>
        <v>510146124 MANUAL</v>
      </c>
      <c r="F157" s="19" t="s">
        <v>17</v>
      </c>
      <c r="G157" s="19" t="s">
        <v>14</v>
      </c>
      <c r="H157" s="19" t="str">
        <f>T("607247393")</f>
        <v>607247393</v>
      </c>
      <c r="I157" s="19" t="s">
        <v>447</v>
      </c>
      <c r="J157" s="19" t="s">
        <v>448</v>
      </c>
      <c r="K157" s="19" t="str">
        <f>T("33700")</f>
        <v>33700</v>
      </c>
      <c r="L157" s="19" t="s">
        <v>19</v>
      </c>
      <c r="M157" s="21" t="s">
        <v>0</v>
      </c>
      <c r="N157" s="24">
        <v>45211</v>
      </c>
      <c r="O157" s="25"/>
    </row>
    <row r="158" spans="1:15" ht="16" hidden="1" x14ac:dyDescent="0.2">
      <c r="A158" s="19" t="s">
        <v>449</v>
      </c>
      <c r="B158" s="20">
        <v>45210</v>
      </c>
      <c r="C158" s="19" t="str">
        <f>T("330226185:0830372945")</f>
        <v>330226185:0830372945</v>
      </c>
      <c r="D158" s="21"/>
      <c r="E158" s="19" t="str">
        <f>T("7660223046 MANUAL")</f>
        <v>7660223046 MANUAL</v>
      </c>
      <c r="F158" s="19" t="s">
        <v>16</v>
      </c>
      <c r="G158" s="19" t="s">
        <v>14</v>
      </c>
      <c r="H158" s="19" t="str">
        <f>T("607247402")</f>
        <v>607247402</v>
      </c>
      <c r="I158" s="19" t="s">
        <v>450</v>
      </c>
      <c r="J158" s="19" t="s">
        <v>451</v>
      </c>
      <c r="K158" s="19" t="str">
        <f>T("09300")</f>
        <v>09300</v>
      </c>
      <c r="L158" s="19" t="s">
        <v>19</v>
      </c>
      <c r="M158" s="21" t="s">
        <v>0</v>
      </c>
      <c r="N158" s="24">
        <v>45212</v>
      </c>
      <c r="O158" s="25"/>
    </row>
    <row r="159" spans="1:15" ht="16" hidden="1" x14ac:dyDescent="0.2">
      <c r="A159" s="19" t="s">
        <v>452</v>
      </c>
      <c r="B159" s="20">
        <v>45210</v>
      </c>
      <c r="C159" s="19" t="str">
        <f>T("330238782:0830372879")</f>
        <v>330238782:0830372879</v>
      </c>
      <c r="D159" s="21"/>
      <c r="E159" s="19" t="str">
        <f>T("510146090 manual")</f>
        <v>510146090 manual</v>
      </c>
      <c r="F159" s="19" t="s">
        <v>17</v>
      </c>
      <c r="G159" s="19" t="s">
        <v>14</v>
      </c>
      <c r="H159" s="19" t="str">
        <f>T("607247416")</f>
        <v>607247416</v>
      </c>
      <c r="I159" s="19" t="s">
        <v>337</v>
      </c>
      <c r="J159" s="19" t="s">
        <v>338</v>
      </c>
      <c r="K159" s="19" t="str">
        <f>T("59141")</f>
        <v>59141</v>
      </c>
      <c r="L159" s="19" t="s">
        <v>19</v>
      </c>
      <c r="M159" s="21" t="s">
        <v>0</v>
      </c>
      <c r="N159" s="24">
        <v>45211</v>
      </c>
      <c r="O159" s="25"/>
    </row>
    <row r="160" spans="1:15" ht="16" hidden="1" x14ac:dyDescent="0.2">
      <c r="A160" s="19" t="s">
        <v>456</v>
      </c>
      <c r="B160" s="20">
        <v>45215</v>
      </c>
      <c r="C160" s="19" t="str">
        <f>T("330239483:0830374144")</f>
        <v>330239483:0830374144</v>
      </c>
      <c r="D160" s="19" t="str">
        <f>T("WC-ATC FERNANDO A")</f>
        <v>WC-ATC FERNANDO A</v>
      </c>
      <c r="E160" s="19" t="str">
        <f>T("530020136")</f>
        <v>530020136</v>
      </c>
      <c r="F160" s="19" t="s">
        <v>16</v>
      </c>
      <c r="G160" s="19" t="s">
        <v>2409</v>
      </c>
      <c r="H160" s="19" t="str">
        <f>T("DSD119906")</f>
        <v>DSD119906</v>
      </c>
      <c r="I160" s="19" t="s">
        <v>457</v>
      </c>
      <c r="J160" s="19" t="s">
        <v>458</v>
      </c>
      <c r="K160" s="19" t="str">
        <f>T("31192")</f>
        <v>31192</v>
      </c>
      <c r="L160" s="19" t="s">
        <v>32</v>
      </c>
      <c r="M160" s="21" t="s">
        <v>0</v>
      </c>
      <c r="N160" s="31">
        <v>45216</v>
      </c>
    </row>
    <row r="161" spans="1:15" ht="16" hidden="1" x14ac:dyDescent="0.2">
      <c r="A161" s="19" t="s">
        <v>459</v>
      </c>
      <c r="B161" s="20">
        <v>45215</v>
      </c>
      <c r="C161" s="19" t="str">
        <f>T("330239028:0830373905")</f>
        <v>330239028:0830373905</v>
      </c>
      <c r="D161" s="19" t="str">
        <f>T("380/23")</f>
        <v>380/23</v>
      </c>
      <c r="E161" s="19" t="str">
        <f>T("530020092")</f>
        <v>530020092</v>
      </c>
      <c r="F161" s="19" t="s">
        <v>16</v>
      </c>
      <c r="G161" s="19" t="s">
        <v>2409</v>
      </c>
      <c r="H161" s="19" t="str">
        <f>T("DSD119912")</f>
        <v>DSD119912</v>
      </c>
      <c r="I161" s="19" t="s">
        <v>62</v>
      </c>
      <c r="J161" s="19" t="s">
        <v>460</v>
      </c>
      <c r="K161" s="19" t="str">
        <f>T("20011")</f>
        <v>20011</v>
      </c>
      <c r="L161" s="19" t="s">
        <v>32</v>
      </c>
      <c r="M161" s="21" t="s">
        <v>0</v>
      </c>
      <c r="N161" s="31">
        <v>45216</v>
      </c>
    </row>
    <row r="162" spans="1:15" ht="16" hidden="1" x14ac:dyDescent="0.2">
      <c r="A162" s="19" t="s">
        <v>461</v>
      </c>
      <c r="B162" s="20">
        <v>45215</v>
      </c>
      <c r="C162" s="19" t="str">
        <f>T("330239462:0830374132")</f>
        <v>330239462:0830374132</v>
      </c>
      <c r="D162" s="19" t="str">
        <f>T("389/23.")</f>
        <v>389/23.</v>
      </c>
      <c r="E162" s="19" t="str">
        <f>T("530020144")</f>
        <v>530020144</v>
      </c>
      <c r="F162" s="19" t="s">
        <v>16</v>
      </c>
      <c r="G162" s="19" t="s">
        <v>2409</v>
      </c>
      <c r="H162" s="19" t="str">
        <f>T("DSD119918")</f>
        <v>DSD119918</v>
      </c>
      <c r="I162" s="19" t="s">
        <v>62</v>
      </c>
      <c r="J162" s="19" t="s">
        <v>460</v>
      </c>
      <c r="K162" s="19" t="str">
        <f>T("20011")</f>
        <v>20011</v>
      </c>
      <c r="L162" s="19" t="s">
        <v>32</v>
      </c>
      <c r="M162" s="21" t="s">
        <v>0</v>
      </c>
      <c r="N162" s="31">
        <v>45216</v>
      </c>
    </row>
    <row r="163" spans="1:15" ht="16" hidden="1" x14ac:dyDescent="0.2">
      <c r="A163" s="19" t="s">
        <v>462</v>
      </c>
      <c r="B163" s="20">
        <v>45215</v>
      </c>
      <c r="C163" s="19" t="str">
        <f>T("330239466:0830374134")</f>
        <v>330239466:0830374134</v>
      </c>
      <c r="D163" s="19" t="str">
        <f>T("DI04-2243110")</f>
        <v>DI04-2243110</v>
      </c>
      <c r="E163" s="19" t="str">
        <f>T("530020145")</f>
        <v>530020145</v>
      </c>
      <c r="F163" s="19" t="s">
        <v>16</v>
      </c>
      <c r="G163" s="19" t="s">
        <v>2409</v>
      </c>
      <c r="H163" s="19" t="str">
        <f>T("DSD119936")</f>
        <v>DSD119936</v>
      </c>
      <c r="I163" s="19" t="s">
        <v>463</v>
      </c>
      <c r="J163" s="19" t="s">
        <v>464</v>
      </c>
      <c r="K163" s="19" t="str">
        <f>T("27003")</f>
        <v>27003</v>
      </c>
      <c r="L163" s="19" t="s">
        <v>32</v>
      </c>
      <c r="M163" s="21" t="s">
        <v>0</v>
      </c>
      <c r="N163" s="31">
        <v>45216</v>
      </c>
    </row>
    <row r="164" spans="1:15" ht="16" hidden="1" x14ac:dyDescent="0.2">
      <c r="A164" s="19" t="s">
        <v>465</v>
      </c>
      <c r="B164" s="20">
        <v>45215</v>
      </c>
      <c r="C164" s="19" t="str">
        <f>T("330239022:0830373903")</f>
        <v>330239022:0830373903</v>
      </c>
      <c r="D164" s="19" t="str">
        <f>T("C2301687.")</f>
        <v>C2301687.</v>
      </c>
      <c r="E164" s="19" t="str">
        <f>T("530020108")</f>
        <v>530020108</v>
      </c>
      <c r="F164" s="19" t="s">
        <v>16</v>
      </c>
      <c r="G164" s="19" t="s">
        <v>2409</v>
      </c>
      <c r="H164" s="19" t="str">
        <f>T("DSD119948")</f>
        <v>DSD119948</v>
      </c>
      <c r="I164" s="19" t="s">
        <v>466</v>
      </c>
      <c r="J164" s="19" t="s">
        <v>467</v>
      </c>
      <c r="K164" s="19" t="str">
        <f>T("46988")</f>
        <v>46988</v>
      </c>
      <c r="L164" s="19" t="s">
        <v>32</v>
      </c>
      <c r="M164" s="21" t="s">
        <v>0</v>
      </c>
      <c r="N164" s="31">
        <v>45216</v>
      </c>
    </row>
    <row r="165" spans="1:15" ht="16" hidden="1" x14ac:dyDescent="0.2">
      <c r="A165" s="19" t="s">
        <v>468</v>
      </c>
      <c r="B165" s="20">
        <v>45215</v>
      </c>
      <c r="C165" s="19" t="str">
        <f>T("330239015:0830373901")</f>
        <v>330239015:0830373901</v>
      </c>
      <c r="D165" s="19" t="str">
        <f>T("23486")</f>
        <v>23486</v>
      </c>
      <c r="E165" s="19" t="str">
        <f>T("530020115")</f>
        <v>530020115</v>
      </c>
      <c r="F165" s="19" t="s">
        <v>16</v>
      </c>
      <c r="G165" s="19" t="s">
        <v>2409</v>
      </c>
      <c r="H165" s="19" t="str">
        <f>T("DSD119962")</f>
        <v>DSD119962</v>
      </c>
      <c r="I165" s="19" t="s">
        <v>469</v>
      </c>
      <c r="J165" s="19" t="s">
        <v>470</v>
      </c>
      <c r="K165" s="19" t="str">
        <f>T("37900")</f>
        <v>37900</v>
      </c>
      <c r="L165" s="19" t="s">
        <v>32</v>
      </c>
      <c r="M165" s="21" t="s">
        <v>0</v>
      </c>
      <c r="N165" s="31">
        <v>45217</v>
      </c>
    </row>
    <row r="166" spans="1:15" ht="16" hidden="1" x14ac:dyDescent="0.2">
      <c r="A166" s="19" t="s">
        <v>471</v>
      </c>
      <c r="B166" s="20">
        <v>45215</v>
      </c>
      <c r="C166" s="19" t="str">
        <f>T("330239074:0830373917")</f>
        <v>330239074:0830373917</v>
      </c>
      <c r="D166" s="19" t="str">
        <f>T("23501107")</f>
        <v>23501107</v>
      </c>
      <c r="E166" s="19" t="str">
        <f>T("530020031")</f>
        <v>530020031</v>
      </c>
      <c r="F166" s="19" t="s">
        <v>16</v>
      </c>
      <c r="G166" s="19" t="s">
        <v>2409</v>
      </c>
      <c r="H166" s="19" t="str">
        <f>T("DSD119972")</f>
        <v>DSD119972</v>
      </c>
      <c r="I166" s="19" t="s">
        <v>472</v>
      </c>
      <c r="J166" s="19" t="s">
        <v>473</v>
      </c>
      <c r="K166" s="19" t="str">
        <f>T("28320")</f>
        <v>28320</v>
      </c>
      <c r="L166" s="19" t="s">
        <v>32</v>
      </c>
      <c r="M166" s="21" t="s">
        <v>0</v>
      </c>
      <c r="N166" s="31">
        <v>45216</v>
      </c>
    </row>
    <row r="167" spans="1:15" ht="16" hidden="1" x14ac:dyDescent="0.2">
      <c r="A167" s="19" t="s">
        <v>474</v>
      </c>
      <c r="B167" s="20">
        <v>45215</v>
      </c>
      <c r="C167" s="19" t="str">
        <f>T("330239030:0830373906")</f>
        <v>330239030:0830373906</v>
      </c>
      <c r="D167" s="19" t="str">
        <f>T("PC001430 - DEZA Z")</f>
        <v>PC001430 - DEZA Z</v>
      </c>
      <c r="E167" s="19" t="str">
        <f>T("530020090")</f>
        <v>530020090</v>
      </c>
      <c r="F167" s="19" t="s">
        <v>16</v>
      </c>
      <c r="G167" s="19" t="s">
        <v>2409</v>
      </c>
      <c r="H167" s="19" t="str">
        <f>T("DSD119978")</f>
        <v>DSD119978</v>
      </c>
      <c r="I167" s="19" t="s">
        <v>475</v>
      </c>
      <c r="J167" s="19" t="s">
        <v>476</v>
      </c>
      <c r="K167" s="19" t="str">
        <f>T("14004")</f>
        <v>14004</v>
      </c>
      <c r="L167" s="19" t="s">
        <v>32</v>
      </c>
      <c r="M167" s="21" t="s">
        <v>0</v>
      </c>
      <c r="N167" s="31">
        <v>45216</v>
      </c>
    </row>
    <row r="168" spans="1:15" ht="16" hidden="1" x14ac:dyDescent="0.2">
      <c r="A168" s="19" t="s">
        <v>477</v>
      </c>
      <c r="B168" s="20">
        <v>45215</v>
      </c>
      <c r="C168" s="19" t="str">
        <f>T("330239014:0830373900")</f>
        <v>330239014:0830373900</v>
      </c>
      <c r="D168" s="19" t="str">
        <f>T("37")</f>
        <v>37</v>
      </c>
      <c r="E168" s="19" t="str">
        <f>T("530020121")</f>
        <v>530020121</v>
      </c>
      <c r="F168" s="19" t="s">
        <v>16</v>
      </c>
      <c r="G168" s="19" t="s">
        <v>2409</v>
      </c>
      <c r="H168" s="19" t="str">
        <f>T("DSD119996")</f>
        <v>DSD119996</v>
      </c>
      <c r="I168" s="19" t="s">
        <v>478</v>
      </c>
      <c r="J168" s="19" t="s">
        <v>479</v>
      </c>
      <c r="K168" s="19" t="str">
        <f>T("29006")</f>
        <v>29006</v>
      </c>
      <c r="L168" s="19" t="s">
        <v>32</v>
      </c>
      <c r="M168" s="21" t="s">
        <v>0</v>
      </c>
      <c r="N168" s="31">
        <v>45216</v>
      </c>
    </row>
    <row r="169" spans="1:15" ht="16" hidden="1" x14ac:dyDescent="0.2">
      <c r="A169" s="19" t="s">
        <v>480</v>
      </c>
      <c r="B169" s="20">
        <v>45215</v>
      </c>
      <c r="C169" s="19" t="str">
        <f>T("330239463:0830374133")</f>
        <v>330239463:0830374133</v>
      </c>
      <c r="D169" s="19" t="str">
        <f>T("23102449")</f>
        <v>23102449</v>
      </c>
      <c r="E169" s="19" t="str">
        <f>T("530020147")</f>
        <v>530020147</v>
      </c>
      <c r="F169" s="19" t="s">
        <v>16</v>
      </c>
      <c r="G169" s="19" t="s">
        <v>2409</v>
      </c>
      <c r="H169" s="19" t="str">
        <f>T("DSD120002")</f>
        <v>DSD120002</v>
      </c>
      <c r="I169" s="19" t="s">
        <v>472</v>
      </c>
      <c r="J169" s="19" t="s">
        <v>481</v>
      </c>
      <c r="K169" s="19" t="str">
        <f>T("41008")</f>
        <v>41008</v>
      </c>
      <c r="L169" s="19" t="s">
        <v>32</v>
      </c>
      <c r="M169" s="21" t="s">
        <v>0</v>
      </c>
      <c r="N169" s="31">
        <v>45216</v>
      </c>
    </row>
    <row r="170" spans="1:15" ht="16" hidden="1" x14ac:dyDescent="0.2">
      <c r="A170" s="19" t="s">
        <v>482</v>
      </c>
      <c r="B170" s="20">
        <v>45215</v>
      </c>
      <c r="C170" s="19" t="str">
        <f>T("330239478:0830374141")</f>
        <v>330239478:0830374141</v>
      </c>
      <c r="D170" s="19" t="str">
        <f>T("GR19-2233037")</f>
        <v>GR19-2233037</v>
      </c>
      <c r="E170" s="19" t="str">
        <f>T("530020131")</f>
        <v>530020131</v>
      </c>
      <c r="F170" s="19" t="s">
        <v>16</v>
      </c>
      <c r="G170" s="19" t="s">
        <v>2409</v>
      </c>
      <c r="H170" s="19" t="str">
        <f>T("DSD120006")</f>
        <v>DSD120006</v>
      </c>
      <c r="I170" s="19" t="s">
        <v>463</v>
      </c>
      <c r="J170" s="19" t="s">
        <v>483</v>
      </c>
      <c r="K170" s="19" t="str">
        <f>T("28914")</f>
        <v>28914</v>
      </c>
      <c r="L170" s="19" t="s">
        <v>32</v>
      </c>
      <c r="M170" s="21" t="s">
        <v>61</v>
      </c>
      <c r="N170" s="21"/>
      <c r="O170" s="1" t="s">
        <v>1055</v>
      </c>
    </row>
    <row r="171" spans="1:15" ht="16" hidden="1" x14ac:dyDescent="0.2">
      <c r="A171" s="19" t="s">
        <v>484</v>
      </c>
      <c r="B171" s="20">
        <v>45215</v>
      </c>
      <c r="C171" s="19" t="str">
        <f>T("330239007:0830373898")</f>
        <v>330239007:0830373898</v>
      </c>
      <c r="D171" s="19" t="str">
        <f>T("AME11-2240208")</f>
        <v>AME11-2240208</v>
      </c>
      <c r="E171" s="19" t="str">
        <f>T("530020126")</f>
        <v>530020126</v>
      </c>
      <c r="F171" s="19" t="s">
        <v>16</v>
      </c>
      <c r="G171" s="19" t="s">
        <v>2409</v>
      </c>
      <c r="H171" s="19" t="str">
        <f>T("DSD120024")</f>
        <v>DSD120024</v>
      </c>
      <c r="I171" s="19" t="s">
        <v>463</v>
      </c>
      <c r="J171" s="19" t="s">
        <v>485</v>
      </c>
      <c r="K171" s="19" t="str">
        <f>T("46470")</f>
        <v>46470</v>
      </c>
      <c r="L171" s="19" t="s">
        <v>32</v>
      </c>
      <c r="M171" s="21" t="s">
        <v>0</v>
      </c>
      <c r="N171" s="31">
        <v>45216</v>
      </c>
    </row>
    <row r="172" spans="1:15" ht="16" hidden="1" x14ac:dyDescent="0.2">
      <c r="A172" s="19" t="s">
        <v>486</v>
      </c>
      <c r="B172" s="20">
        <v>45215</v>
      </c>
      <c r="C172" s="19" t="str">
        <f>T("330238987:0830373888")</f>
        <v>330238987:0830373888</v>
      </c>
      <c r="D172" s="19" t="str">
        <f>T("WC-OT1113396")</f>
        <v>WC-OT1113396</v>
      </c>
      <c r="E172" s="19" t="str">
        <f>T("530020089")</f>
        <v>530020089</v>
      </c>
      <c r="F172" s="19" t="s">
        <v>16</v>
      </c>
      <c r="G172" s="19" t="s">
        <v>2409</v>
      </c>
      <c r="H172" s="19" t="str">
        <f>T("DSD120026")</f>
        <v>DSD120026</v>
      </c>
      <c r="I172" s="19" t="s">
        <v>487</v>
      </c>
      <c r="J172" s="19" t="s">
        <v>488</v>
      </c>
      <c r="K172" s="19" t="str">
        <f>T("23400")</f>
        <v>23400</v>
      </c>
      <c r="L172" s="19" t="s">
        <v>32</v>
      </c>
      <c r="M172" s="21" t="s">
        <v>0</v>
      </c>
      <c r="N172" s="31">
        <v>45216</v>
      </c>
    </row>
    <row r="173" spans="1:15" ht="16" hidden="1" x14ac:dyDescent="0.2">
      <c r="A173" s="19" t="s">
        <v>489</v>
      </c>
      <c r="B173" s="20">
        <v>45215</v>
      </c>
      <c r="C173" s="19" t="str">
        <f>T("330239020:0830373902")</f>
        <v>330239020:0830373902</v>
      </c>
      <c r="D173" s="19" t="str">
        <f>T("3101218")</f>
        <v>3101218</v>
      </c>
      <c r="E173" s="19" t="str">
        <f>T("530020112")</f>
        <v>530020112</v>
      </c>
      <c r="F173" s="19" t="s">
        <v>16</v>
      </c>
      <c r="G173" s="19" t="s">
        <v>2409</v>
      </c>
      <c r="H173" s="19" t="str">
        <f>T("DSD120032")</f>
        <v>DSD120032</v>
      </c>
      <c r="I173" s="19" t="s">
        <v>67</v>
      </c>
      <c r="J173" s="19" t="s">
        <v>490</v>
      </c>
      <c r="K173" s="19" t="str">
        <f>T("39608")</f>
        <v>39608</v>
      </c>
      <c r="L173" s="19" t="s">
        <v>32</v>
      </c>
      <c r="M173" s="21" t="s">
        <v>0</v>
      </c>
      <c r="N173" s="31">
        <v>45216</v>
      </c>
    </row>
    <row r="174" spans="1:15" ht="16" hidden="1" x14ac:dyDescent="0.2">
      <c r="A174" s="19" t="s">
        <v>491</v>
      </c>
      <c r="B174" s="20">
        <v>45215</v>
      </c>
      <c r="C174" s="19" t="str">
        <f>T("330239485:0830374145")</f>
        <v>330239485:0830374145</v>
      </c>
      <c r="D174" s="19" t="str">
        <f>T("WC-OT1113303")</f>
        <v>WC-OT1113303</v>
      </c>
      <c r="E174" s="19" t="str">
        <f>T("530020140")</f>
        <v>530020140</v>
      </c>
      <c r="F174" s="19" t="s">
        <v>16</v>
      </c>
      <c r="G174" s="19" t="s">
        <v>2409</v>
      </c>
      <c r="H174" s="19" t="str">
        <f>T("DSD120034")</f>
        <v>DSD120034</v>
      </c>
      <c r="I174" s="19" t="s">
        <v>492</v>
      </c>
      <c r="J174" s="19" t="s">
        <v>493</v>
      </c>
      <c r="K174" s="19" t="str">
        <f>T("08830")</f>
        <v>08830</v>
      </c>
      <c r="L174" s="19" t="s">
        <v>32</v>
      </c>
      <c r="M174" s="21" t="s">
        <v>0</v>
      </c>
      <c r="N174" s="31">
        <v>45216</v>
      </c>
    </row>
    <row r="175" spans="1:15" ht="16" hidden="1" x14ac:dyDescent="0.2">
      <c r="A175" s="19" t="s">
        <v>494</v>
      </c>
      <c r="B175" s="20">
        <v>45215</v>
      </c>
      <c r="C175" s="19" t="str">
        <f>T("330239012:0830373899")</f>
        <v>330239012:0830373899</v>
      </c>
      <c r="D175" s="19" t="str">
        <f>T("331W03325-101")</f>
        <v>331W03325-101</v>
      </c>
      <c r="E175" s="19" t="str">
        <f>T("530020122")</f>
        <v>530020122</v>
      </c>
      <c r="F175" s="19" t="s">
        <v>16</v>
      </c>
      <c r="G175" s="19" t="s">
        <v>2409</v>
      </c>
      <c r="H175" s="19" t="str">
        <f>T("DSD120096")</f>
        <v>DSD120096</v>
      </c>
      <c r="I175" s="19" t="s">
        <v>495</v>
      </c>
      <c r="J175" s="19" t="s">
        <v>496</v>
      </c>
      <c r="K175" s="19" t="str">
        <f>T("28032")</f>
        <v>28032</v>
      </c>
      <c r="L175" s="19" t="s">
        <v>32</v>
      </c>
      <c r="M175" s="21" t="s">
        <v>0</v>
      </c>
      <c r="N175" s="31">
        <v>45216</v>
      </c>
    </row>
    <row r="176" spans="1:15" ht="16" hidden="1" x14ac:dyDescent="0.2">
      <c r="A176" s="19" t="s">
        <v>497</v>
      </c>
      <c r="B176" s="20">
        <v>45215</v>
      </c>
      <c r="C176" s="19" t="str">
        <f>T("330239476:0830374140")</f>
        <v>330239476:0830374140</v>
      </c>
      <c r="D176" s="19" t="str">
        <f>T("386/23.")</f>
        <v>386/23.</v>
      </c>
      <c r="E176" s="19" t="str">
        <f>T("530020130")</f>
        <v>530020130</v>
      </c>
      <c r="F176" s="19" t="s">
        <v>16</v>
      </c>
      <c r="G176" s="19" t="s">
        <v>2409</v>
      </c>
      <c r="H176" s="19" t="str">
        <f>T("DSD120104")</f>
        <v>DSD120104</v>
      </c>
      <c r="I176" s="19" t="s">
        <v>62</v>
      </c>
      <c r="J176" s="19" t="s">
        <v>460</v>
      </c>
      <c r="K176" s="19" t="str">
        <f>T("20011")</f>
        <v>20011</v>
      </c>
      <c r="L176" s="19" t="s">
        <v>32</v>
      </c>
      <c r="M176" s="21" t="s">
        <v>0</v>
      </c>
      <c r="N176" s="31">
        <v>45216</v>
      </c>
    </row>
    <row r="177" spans="1:14" ht="16" hidden="1" x14ac:dyDescent="0.2">
      <c r="A177" s="19" t="s">
        <v>498</v>
      </c>
      <c r="B177" s="20">
        <v>45215</v>
      </c>
      <c r="C177" s="19" t="str">
        <f>T("330239038:0830373912")</f>
        <v>330239038:0830373912</v>
      </c>
      <c r="D177" s="19" t="str">
        <f>T("3100880")</f>
        <v>3100880</v>
      </c>
      <c r="E177" s="19" t="str">
        <f>T("530020002")</f>
        <v>530020002</v>
      </c>
      <c r="F177" s="19" t="s">
        <v>16</v>
      </c>
      <c r="G177" s="19" t="s">
        <v>2409</v>
      </c>
      <c r="H177" s="19" t="str">
        <f>T("DSD120112")</f>
        <v>DSD120112</v>
      </c>
      <c r="I177" s="19" t="s">
        <v>499</v>
      </c>
      <c r="J177" s="19" t="s">
        <v>500</v>
      </c>
      <c r="K177" s="19" t="str">
        <f>T("28918")</f>
        <v>28918</v>
      </c>
      <c r="L177" s="19" t="s">
        <v>32</v>
      </c>
      <c r="M177" s="21" t="s">
        <v>0</v>
      </c>
      <c r="N177" s="31">
        <v>45216</v>
      </c>
    </row>
    <row r="178" spans="1:14" ht="16" hidden="1" x14ac:dyDescent="0.2">
      <c r="A178" s="19" t="s">
        <v>501</v>
      </c>
      <c r="B178" s="20">
        <v>45215</v>
      </c>
      <c r="C178" s="19" t="str">
        <f>T("330239070:0830373915")</f>
        <v>330239070:0830373915</v>
      </c>
      <c r="D178" s="19" t="str">
        <f>T("8577/23")</f>
        <v>8577/23</v>
      </c>
      <c r="E178" s="19" t="str">
        <f>T("530020046")</f>
        <v>530020046</v>
      </c>
      <c r="F178" s="19" t="s">
        <v>16</v>
      </c>
      <c r="G178" s="19" t="s">
        <v>2409</v>
      </c>
      <c r="H178" s="19" t="str">
        <f>T("DSD120118")</f>
        <v>DSD120118</v>
      </c>
      <c r="I178" s="19" t="s">
        <v>502</v>
      </c>
      <c r="J178" s="19" t="s">
        <v>503</v>
      </c>
      <c r="K178" s="19" t="str">
        <f>T("17180")</f>
        <v>17180</v>
      </c>
      <c r="L178" s="19" t="s">
        <v>32</v>
      </c>
      <c r="M178" s="21" t="s">
        <v>0</v>
      </c>
      <c r="N178" s="31">
        <v>45216</v>
      </c>
    </row>
    <row r="179" spans="1:14" ht="16" hidden="1" x14ac:dyDescent="0.2">
      <c r="A179" s="19" t="s">
        <v>504</v>
      </c>
      <c r="B179" s="20">
        <v>45215</v>
      </c>
      <c r="C179" s="19" t="str">
        <f>T("330239026:0830373904")</f>
        <v>330239026:0830373904</v>
      </c>
      <c r="D179" s="19" t="str">
        <f>T("3100902")</f>
        <v>3100902</v>
      </c>
      <c r="E179" s="19" t="str">
        <f>T("530020097")</f>
        <v>530020097</v>
      </c>
      <c r="F179" s="19" t="s">
        <v>16</v>
      </c>
      <c r="G179" s="19" t="s">
        <v>2409</v>
      </c>
      <c r="H179" s="19" t="str">
        <f>T("DSD120120")</f>
        <v>DSD120120</v>
      </c>
      <c r="I179" s="19" t="s">
        <v>499</v>
      </c>
      <c r="J179" s="19" t="s">
        <v>505</v>
      </c>
      <c r="K179" s="19" t="str">
        <f>T("41007")</f>
        <v>41007</v>
      </c>
      <c r="L179" s="19" t="s">
        <v>32</v>
      </c>
      <c r="M179" s="21" t="s">
        <v>0</v>
      </c>
      <c r="N179" s="31">
        <v>45216</v>
      </c>
    </row>
    <row r="180" spans="1:14" ht="16" hidden="1" x14ac:dyDescent="0.2">
      <c r="A180" s="19" t="s">
        <v>506</v>
      </c>
      <c r="B180" s="20">
        <v>45215</v>
      </c>
      <c r="C180" s="19" t="str">
        <f>T("330238993:0830373894")</f>
        <v>330238993:0830373894</v>
      </c>
      <c r="D180" s="19" t="str">
        <f>T("WC-GR1102009")</f>
        <v>WC-GR1102009</v>
      </c>
      <c r="E180" s="19" t="str">
        <f>T("530020080")</f>
        <v>530020080</v>
      </c>
      <c r="F180" s="19" t="s">
        <v>16</v>
      </c>
      <c r="G180" s="19" t="s">
        <v>2409</v>
      </c>
      <c r="H180" s="19" t="str">
        <f>T("DSD120124")</f>
        <v>DSD120124</v>
      </c>
      <c r="I180" s="19" t="s">
        <v>507</v>
      </c>
      <c r="J180" s="19" t="s">
        <v>508</v>
      </c>
      <c r="K180" s="19" t="str">
        <f>T("25300")</f>
        <v>25300</v>
      </c>
      <c r="L180" s="19" t="s">
        <v>32</v>
      </c>
      <c r="M180" s="21" t="s">
        <v>0</v>
      </c>
      <c r="N180" s="31">
        <v>45216</v>
      </c>
    </row>
    <row r="181" spans="1:14" ht="16" hidden="1" x14ac:dyDescent="0.2">
      <c r="A181" s="19" t="s">
        <v>509</v>
      </c>
      <c r="B181" s="20">
        <v>45215</v>
      </c>
      <c r="C181" s="19" t="str">
        <f>T("330238991:0830373892")</f>
        <v>330238991:0830373892</v>
      </c>
      <c r="D181" s="19" t="str">
        <f>T("WC-OT1113435")</f>
        <v>WC-OT1113435</v>
      </c>
      <c r="E181" s="19" t="str">
        <f>T("530020082")</f>
        <v>530020082</v>
      </c>
      <c r="F181" s="19" t="s">
        <v>16</v>
      </c>
      <c r="G181" s="19" t="s">
        <v>2409</v>
      </c>
      <c r="H181" s="19" t="str">
        <f>T("DSD120144")</f>
        <v>DSD120144</v>
      </c>
      <c r="I181" s="19" t="s">
        <v>510</v>
      </c>
      <c r="J181" s="19" t="s">
        <v>511</v>
      </c>
      <c r="K181" s="19" t="str">
        <f>T("50018")</f>
        <v>50018</v>
      </c>
      <c r="L181" s="19" t="s">
        <v>32</v>
      </c>
      <c r="M181" s="21" t="s">
        <v>0</v>
      </c>
      <c r="N181" s="31">
        <v>45216</v>
      </c>
    </row>
    <row r="182" spans="1:14" ht="16" hidden="1" x14ac:dyDescent="0.2">
      <c r="A182" s="19" t="s">
        <v>512</v>
      </c>
      <c r="B182" s="20">
        <v>45215</v>
      </c>
      <c r="C182" s="19" t="str">
        <f>T("330239488:0830374146")</f>
        <v>330239488:0830374146</v>
      </c>
      <c r="D182" s="19" t="str">
        <f>T("WC-OT1113388")</f>
        <v>WC-OT1113388</v>
      </c>
      <c r="E182" s="19" t="str">
        <f>T("530020143")</f>
        <v>530020143</v>
      </c>
      <c r="F182" s="19" t="s">
        <v>16</v>
      </c>
      <c r="G182" s="19" t="s">
        <v>2409</v>
      </c>
      <c r="H182" s="19" t="str">
        <f>T("DSD120146")</f>
        <v>DSD120146</v>
      </c>
      <c r="I182" s="19" t="s">
        <v>510</v>
      </c>
      <c r="J182" s="19" t="s">
        <v>511</v>
      </c>
      <c r="K182" s="19" t="str">
        <f>T("50018")</f>
        <v>50018</v>
      </c>
      <c r="L182" s="19" t="s">
        <v>32</v>
      </c>
      <c r="M182" s="21" t="s">
        <v>0</v>
      </c>
      <c r="N182" s="31">
        <v>45216</v>
      </c>
    </row>
    <row r="183" spans="1:14" ht="16" hidden="1" x14ac:dyDescent="0.2">
      <c r="A183" s="19" t="s">
        <v>513</v>
      </c>
      <c r="B183" s="20">
        <v>45215</v>
      </c>
      <c r="C183" s="19" t="str">
        <f>T("330239011:0830377158")</f>
        <v>330239011:0830377158</v>
      </c>
      <c r="D183" s="19" t="str">
        <f>T("231100605")</f>
        <v>231100605</v>
      </c>
      <c r="E183" s="19" t="str">
        <f>T("530020124")</f>
        <v>530020124</v>
      </c>
      <c r="F183" s="19" t="s">
        <v>16</v>
      </c>
      <c r="G183" s="19" t="s">
        <v>2409</v>
      </c>
      <c r="H183" s="19" t="str">
        <f>T("DSD120158")</f>
        <v>DSD120158</v>
      </c>
      <c r="I183" s="19" t="s">
        <v>514</v>
      </c>
      <c r="J183" s="19" t="s">
        <v>515</v>
      </c>
      <c r="K183" s="19" t="str">
        <f>T("25230")</f>
        <v>25230</v>
      </c>
      <c r="L183" s="19" t="s">
        <v>32</v>
      </c>
      <c r="M183" s="21" t="s">
        <v>0</v>
      </c>
      <c r="N183" s="31">
        <v>45216</v>
      </c>
    </row>
    <row r="184" spans="1:14" ht="16" hidden="1" x14ac:dyDescent="0.2">
      <c r="A184" s="19" t="s">
        <v>516</v>
      </c>
      <c r="B184" s="20">
        <v>45215</v>
      </c>
      <c r="C184" s="19" t="str">
        <f>T("330239025:0830377162")</f>
        <v>330239025:0830377162</v>
      </c>
      <c r="D184" s="19" t="str">
        <f>T("PC23/2358")</f>
        <v>PC23/2358</v>
      </c>
      <c r="E184" s="19" t="str">
        <f>T("530020098")</f>
        <v>530020098</v>
      </c>
      <c r="F184" s="19" t="s">
        <v>16</v>
      </c>
      <c r="G184" s="19" t="s">
        <v>2409</v>
      </c>
      <c r="H184" s="19" t="str">
        <f>T("DSD120164")</f>
        <v>DSD120164</v>
      </c>
      <c r="I184" s="19" t="s">
        <v>517</v>
      </c>
      <c r="J184" s="19" t="s">
        <v>518</v>
      </c>
      <c r="K184" s="19" t="str">
        <f>T("15166")</f>
        <v>15166</v>
      </c>
      <c r="L184" s="19" t="s">
        <v>32</v>
      </c>
      <c r="M184" s="21" t="s">
        <v>0</v>
      </c>
      <c r="N184" s="31">
        <v>45216</v>
      </c>
    </row>
    <row r="185" spans="1:14" ht="16" hidden="1" x14ac:dyDescent="0.2">
      <c r="A185" s="19" t="s">
        <v>519</v>
      </c>
      <c r="B185" s="20">
        <v>45215</v>
      </c>
      <c r="C185" s="19" t="str">
        <f>T("330239072:0830377174")</f>
        <v>330239072:0830377174</v>
      </c>
      <c r="D185" s="19" t="str">
        <f>T("23AD00215")</f>
        <v>23AD00215</v>
      </c>
      <c r="E185" s="19" t="str">
        <f>T("530020037")</f>
        <v>530020037</v>
      </c>
      <c r="F185" s="19" t="s">
        <v>16</v>
      </c>
      <c r="G185" s="19" t="s">
        <v>2409</v>
      </c>
      <c r="H185" s="19" t="str">
        <f>T("DSD120172")</f>
        <v>DSD120172</v>
      </c>
      <c r="I185" s="19" t="s">
        <v>520</v>
      </c>
      <c r="J185" s="19" t="s">
        <v>521</v>
      </c>
      <c r="K185" s="19" t="str">
        <f>T("50300")</f>
        <v>50300</v>
      </c>
      <c r="L185" s="19" t="s">
        <v>32</v>
      </c>
      <c r="M185" s="21" t="s">
        <v>0</v>
      </c>
      <c r="N185" s="31">
        <v>45216</v>
      </c>
    </row>
    <row r="186" spans="1:14" ht="16" hidden="1" x14ac:dyDescent="0.2">
      <c r="A186" s="19" t="s">
        <v>522</v>
      </c>
      <c r="B186" s="20">
        <v>45215</v>
      </c>
      <c r="C186" s="19" t="str">
        <f>T("330239024:0830377161")</f>
        <v>330239024:0830377161</v>
      </c>
      <c r="D186" s="19" t="str">
        <f>T("Enrique Iglesias")</f>
        <v>Enrique Iglesias</v>
      </c>
      <c r="E186" s="19" t="str">
        <f>T("530020099")</f>
        <v>530020099</v>
      </c>
      <c r="F186" s="19" t="s">
        <v>16</v>
      </c>
      <c r="G186" s="19" t="s">
        <v>2409</v>
      </c>
      <c r="H186" s="19" t="str">
        <f>T("DSD120188")</f>
        <v>DSD120188</v>
      </c>
      <c r="I186" s="19" t="s">
        <v>523</v>
      </c>
      <c r="J186" s="19" t="s">
        <v>524</v>
      </c>
      <c r="K186" s="19" t="str">
        <f>T("36003")</f>
        <v>36003</v>
      </c>
      <c r="L186" s="19" t="s">
        <v>32</v>
      </c>
      <c r="M186" s="21" t="s">
        <v>0</v>
      </c>
      <c r="N186" s="31">
        <v>45216</v>
      </c>
    </row>
    <row r="187" spans="1:14" ht="16" hidden="1" x14ac:dyDescent="0.2">
      <c r="A187" s="19" t="s">
        <v>525</v>
      </c>
      <c r="B187" s="20">
        <v>45215</v>
      </c>
      <c r="C187" s="19" t="str">
        <f>T("330239021:0830377160")</f>
        <v>330239021:0830377160</v>
      </c>
      <c r="D187" s="19" t="str">
        <f>T("1-26492")</f>
        <v>1-26492</v>
      </c>
      <c r="E187" s="19" t="str">
        <f>T("530020109")</f>
        <v>530020109</v>
      </c>
      <c r="F187" s="19" t="s">
        <v>16</v>
      </c>
      <c r="G187" s="19" t="s">
        <v>2409</v>
      </c>
      <c r="H187" s="19" t="str">
        <f>T("DSD120190")</f>
        <v>DSD120190</v>
      </c>
      <c r="I187" s="19" t="s">
        <v>526</v>
      </c>
      <c r="J187" s="19" t="s">
        <v>527</v>
      </c>
      <c r="K187" s="19" t="str">
        <f>T("48014")</f>
        <v>48014</v>
      </c>
      <c r="L187" s="19" t="s">
        <v>32</v>
      </c>
      <c r="M187" s="21" t="s">
        <v>0</v>
      </c>
      <c r="N187" s="31">
        <v>45216</v>
      </c>
    </row>
    <row r="188" spans="1:14" ht="16" hidden="1" x14ac:dyDescent="0.2">
      <c r="A188" s="19" t="s">
        <v>528</v>
      </c>
      <c r="B188" s="20">
        <v>45215</v>
      </c>
      <c r="C188" s="19" t="str">
        <f>T("330239044:0830377171")</f>
        <v>330239044:0830377171</v>
      </c>
      <c r="D188" s="19" t="str">
        <f>T("PE000826/23")</f>
        <v>PE000826/23</v>
      </c>
      <c r="E188" s="19" t="str">
        <f>T("530019994")</f>
        <v>530019994</v>
      </c>
      <c r="F188" s="19" t="s">
        <v>17</v>
      </c>
      <c r="G188" s="19" t="s">
        <v>2409</v>
      </c>
      <c r="H188" s="19" t="str">
        <f>T("DSD120200")</f>
        <v>DSD120200</v>
      </c>
      <c r="I188" s="19" t="s">
        <v>529</v>
      </c>
      <c r="J188" s="19" t="s">
        <v>530</v>
      </c>
      <c r="K188" s="19" t="str">
        <f>T("48180")</f>
        <v>48180</v>
      </c>
      <c r="L188" s="19" t="s">
        <v>32</v>
      </c>
      <c r="M188" s="21" t="s">
        <v>0</v>
      </c>
      <c r="N188" s="31">
        <v>45216</v>
      </c>
    </row>
    <row r="189" spans="1:14" ht="16" hidden="1" x14ac:dyDescent="0.2">
      <c r="A189" s="19" t="s">
        <v>531</v>
      </c>
      <c r="B189" s="20">
        <v>45215</v>
      </c>
      <c r="C189" s="19" t="str">
        <f>T("330238989:0830373890")</f>
        <v>330238989:0830373890</v>
      </c>
      <c r="D189" s="19" t="str">
        <f>T("WC-OT1113108")</f>
        <v>WC-OT1113108</v>
      </c>
      <c r="E189" s="19" t="str">
        <f>T("530020084")</f>
        <v>530020084</v>
      </c>
      <c r="F189" s="19" t="s">
        <v>16</v>
      </c>
      <c r="G189" s="19" t="s">
        <v>2409</v>
      </c>
      <c r="H189" s="19" t="str">
        <f>T("DSD120204")</f>
        <v>DSD120204</v>
      </c>
      <c r="I189" s="19" t="s">
        <v>532</v>
      </c>
      <c r="J189" s="19" t="s">
        <v>533</v>
      </c>
      <c r="K189" s="19" t="str">
        <f>T("28032")</f>
        <v>28032</v>
      </c>
      <c r="L189" s="19" t="s">
        <v>32</v>
      </c>
      <c r="M189" s="21" t="s">
        <v>0</v>
      </c>
      <c r="N189" s="31">
        <v>45216</v>
      </c>
    </row>
    <row r="190" spans="1:14" ht="16" hidden="1" x14ac:dyDescent="0.2">
      <c r="A190" s="19" t="s">
        <v>534</v>
      </c>
      <c r="B190" s="20">
        <v>45215</v>
      </c>
      <c r="C190" s="19" t="str">
        <f>T("330239481:0830374143")</f>
        <v>330239481:0830374143</v>
      </c>
      <c r="D190" s="19" t="str">
        <f>T("23AF-01099")</f>
        <v>23AF-01099</v>
      </c>
      <c r="E190" s="19" t="str">
        <f>T("530020134")</f>
        <v>530020134</v>
      </c>
      <c r="F190" s="19" t="s">
        <v>16</v>
      </c>
      <c r="G190" s="19" t="s">
        <v>2409</v>
      </c>
      <c r="H190" s="19" t="s">
        <v>534</v>
      </c>
      <c r="I190" s="19" t="s">
        <v>535</v>
      </c>
      <c r="J190" s="19" t="s">
        <v>536</v>
      </c>
      <c r="K190" s="19" t="str">
        <f>T("50014")</f>
        <v>50014</v>
      </c>
      <c r="L190" s="19" t="s">
        <v>32</v>
      </c>
      <c r="M190" s="21" t="s">
        <v>0</v>
      </c>
      <c r="N190" s="31">
        <v>45216</v>
      </c>
    </row>
    <row r="191" spans="1:14" ht="16" hidden="1" x14ac:dyDescent="0.2">
      <c r="A191" s="19" t="s">
        <v>537</v>
      </c>
      <c r="B191" s="20">
        <v>45215</v>
      </c>
      <c r="C191" s="19" t="str">
        <f>T("330239465:0830377201")</f>
        <v>330239465:0830377201</v>
      </c>
      <c r="D191" s="19" t="str">
        <f>T("RAUL")</f>
        <v>RAUL</v>
      </c>
      <c r="E191" s="19" t="str">
        <f>T("530020149")</f>
        <v>530020149</v>
      </c>
      <c r="F191" s="19" t="s">
        <v>16</v>
      </c>
      <c r="G191" s="19" t="s">
        <v>2409</v>
      </c>
      <c r="H191" s="19" t="str">
        <f>T("DSD120236")</f>
        <v>DSD120236</v>
      </c>
      <c r="I191" s="19" t="s">
        <v>538</v>
      </c>
      <c r="J191" s="19" t="s">
        <v>539</v>
      </c>
      <c r="K191" s="19" t="str">
        <f>T("08240")</f>
        <v>08240</v>
      </c>
      <c r="L191" s="19" t="s">
        <v>32</v>
      </c>
      <c r="M191" s="21" t="s">
        <v>0</v>
      </c>
      <c r="N191" s="31">
        <v>45216</v>
      </c>
    </row>
    <row r="192" spans="1:14" ht="16" hidden="1" x14ac:dyDescent="0.2">
      <c r="A192" s="19" t="s">
        <v>540</v>
      </c>
      <c r="B192" s="20">
        <v>45215</v>
      </c>
      <c r="C192" s="19" t="str">
        <f>T("330239484:0830377206")</f>
        <v>330239484:0830377206</v>
      </c>
      <c r="D192" s="19" t="str">
        <f>T("WC-OT1113334")</f>
        <v>WC-OT1113334</v>
      </c>
      <c r="E192" s="19" t="str">
        <f>T("530020138")</f>
        <v>530020138</v>
      </c>
      <c r="F192" s="19" t="s">
        <v>16</v>
      </c>
      <c r="G192" s="19" t="s">
        <v>2409</v>
      </c>
      <c r="H192" s="19" t="str">
        <f>T("DSD120240")</f>
        <v>DSD120240</v>
      </c>
      <c r="I192" s="19" t="s">
        <v>492</v>
      </c>
      <c r="J192" s="19" t="s">
        <v>493</v>
      </c>
      <c r="K192" s="19" t="str">
        <f>T("08830")</f>
        <v>08830</v>
      </c>
      <c r="L192" s="19" t="s">
        <v>32</v>
      </c>
      <c r="M192" s="21" t="s">
        <v>0</v>
      </c>
      <c r="N192" s="31">
        <v>45216</v>
      </c>
    </row>
    <row r="193" spans="1:15" ht="16" hidden="1" x14ac:dyDescent="0.2">
      <c r="A193" s="19" t="s">
        <v>541</v>
      </c>
      <c r="B193" s="20">
        <v>45215</v>
      </c>
      <c r="C193" s="19" t="str">
        <f>T("330239473:0830377202")</f>
        <v>330239473:0830377202</v>
      </c>
      <c r="D193" s="19" t="str">
        <f>T("ispm")</f>
        <v>ispm</v>
      </c>
      <c r="E193" s="19" t="str">
        <f>T("530020127")</f>
        <v>530020127</v>
      </c>
      <c r="F193" s="19" t="s">
        <v>16</v>
      </c>
      <c r="G193" s="19" t="s">
        <v>2409</v>
      </c>
      <c r="H193" s="19" t="str">
        <f>T("DSD120242")</f>
        <v>DSD120242</v>
      </c>
      <c r="I193" s="19" t="s">
        <v>538</v>
      </c>
      <c r="J193" s="19" t="s">
        <v>539</v>
      </c>
      <c r="K193" s="19" t="str">
        <f>T("08240")</f>
        <v>08240</v>
      </c>
      <c r="L193" s="19" t="s">
        <v>32</v>
      </c>
      <c r="M193" s="21" t="s">
        <v>0</v>
      </c>
      <c r="N193" s="31">
        <v>45216</v>
      </c>
    </row>
    <row r="194" spans="1:15" ht="16" hidden="1" x14ac:dyDescent="0.2">
      <c r="A194" s="19" t="s">
        <v>542</v>
      </c>
      <c r="B194" s="20">
        <v>45215</v>
      </c>
      <c r="C194" s="19" t="str">
        <f>T("330239482:0830377205")</f>
        <v>330239482:0830377205</v>
      </c>
      <c r="D194" s="19" t="str">
        <f>T("MALIBU")</f>
        <v>MALIBU</v>
      </c>
      <c r="E194" s="19" t="str">
        <f>T("530020135")</f>
        <v>530020135</v>
      </c>
      <c r="F194" s="19" t="s">
        <v>16</v>
      </c>
      <c r="G194" s="19" t="s">
        <v>2409</v>
      </c>
      <c r="H194" s="19" t="str">
        <f>T("DSD120244")</f>
        <v>DSD120244</v>
      </c>
      <c r="I194" s="19" t="s">
        <v>543</v>
      </c>
      <c r="J194" s="19" t="s">
        <v>544</v>
      </c>
      <c r="K194" s="19" t="str">
        <f>T("29100")</f>
        <v>29100</v>
      </c>
      <c r="L194" s="19" t="s">
        <v>32</v>
      </c>
      <c r="M194" s="21" t="s">
        <v>0</v>
      </c>
      <c r="N194" s="31">
        <v>45216</v>
      </c>
    </row>
    <row r="195" spans="1:15" ht="16" hidden="1" x14ac:dyDescent="0.2">
      <c r="A195" s="19" t="s">
        <v>545</v>
      </c>
      <c r="B195" s="20">
        <v>45215</v>
      </c>
      <c r="C195" s="19" t="str">
        <f>T("330238988:0830373889")</f>
        <v>330238988:0830373889</v>
      </c>
      <c r="D195" s="19" t="str">
        <f>T("WC-OT1113398")</f>
        <v>WC-OT1113398</v>
      </c>
      <c r="E195" s="19" t="str">
        <f>T("530020088")</f>
        <v>530020088</v>
      </c>
      <c r="F195" s="19" t="s">
        <v>16</v>
      </c>
      <c r="G195" s="19" t="s">
        <v>2409</v>
      </c>
      <c r="H195" s="19" t="str">
        <f>T("DSD120246")</f>
        <v>DSD120246</v>
      </c>
      <c r="I195" s="19" t="s">
        <v>487</v>
      </c>
      <c r="J195" s="19" t="s">
        <v>488</v>
      </c>
      <c r="K195" s="19" t="str">
        <f>T("23400")</f>
        <v>23400</v>
      </c>
      <c r="L195" s="19" t="s">
        <v>32</v>
      </c>
      <c r="M195" s="21" t="s">
        <v>0</v>
      </c>
      <c r="N195" s="31">
        <v>45216</v>
      </c>
    </row>
    <row r="196" spans="1:15" ht="16" hidden="1" x14ac:dyDescent="0.2">
      <c r="A196" s="19" t="s">
        <v>546</v>
      </c>
      <c r="B196" s="20">
        <v>45215</v>
      </c>
      <c r="C196" s="19" t="str">
        <f>T("330239003:0830373896")</f>
        <v>330239003:0830373896</v>
      </c>
      <c r="D196" s="19" t="str">
        <f>T("2023/175928.")</f>
        <v>2023/175928.</v>
      </c>
      <c r="E196" s="19" t="str">
        <f>T("530020062")</f>
        <v>530020062</v>
      </c>
      <c r="F196" s="19" t="s">
        <v>16</v>
      </c>
      <c r="G196" s="19" t="s">
        <v>2409</v>
      </c>
      <c r="H196" s="19" t="str">
        <f>T("DSD120250")</f>
        <v>DSD120250</v>
      </c>
      <c r="I196" s="19" t="s">
        <v>547</v>
      </c>
      <c r="J196" s="19" t="s">
        <v>548</v>
      </c>
      <c r="K196" s="19" t="str">
        <f>T("28906")</f>
        <v>28906</v>
      </c>
      <c r="L196" s="19" t="s">
        <v>32</v>
      </c>
      <c r="M196" s="21" t="s">
        <v>0</v>
      </c>
      <c r="N196" s="31">
        <v>45217</v>
      </c>
      <c r="O196" s="1" t="s">
        <v>1054</v>
      </c>
    </row>
    <row r="197" spans="1:15" ht="16" hidden="1" x14ac:dyDescent="0.2">
      <c r="A197" s="19" t="s">
        <v>549</v>
      </c>
      <c r="B197" s="20">
        <v>45215</v>
      </c>
      <c r="C197" s="19" t="str">
        <f>T("330239036:0830373911")</f>
        <v>330239036:0830373911</v>
      </c>
      <c r="D197" s="19" t="str">
        <f>T("326/23")</f>
        <v>326/23</v>
      </c>
      <c r="E197" s="19" t="str">
        <f>T("530020005")</f>
        <v>530020005</v>
      </c>
      <c r="F197" s="19" t="s">
        <v>16</v>
      </c>
      <c r="G197" s="19" t="s">
        <v>2409</v>
      </c>
      <c r="H197" s="19" t="str">
        <f>T("DSD120260")</f>
        <v>DSD120260</v>
      </c>
      <c r="I197" s="19" t="s">
        <v>550</v>
      </c>
      <c r="J197" s="19" t="s">
        <v>551</v>
      </c>
      <c r="K197" s="19" t="str">
        <f>T("48014")</f>
        <v>48014</v>
      </c>
      <c r="L197" s="19" t="s">
        <v>32</v>
      </c>
      <c r="M197" s="21" t="s">
        <v>0</v>
      </c>
      <c r="N197" s="31">
        <v>45216</v>
      </c>
    </row>
    <row r="198" spans="1:15" ht="16" hidden="1" x14ac:dyDescent="0.2">
      <c r="A198" s="19" t="s">
        <v>552</v>
      </c>
      <c r="B198" s="20">
        <v>45215</v>
      </c>
      <c r="C198" s="19" t="str">
        <f>T("330239027:0830377163")</f>
        <v>330239027:0830377163</v>
      </c>
      <c r="D198" s="19" t="str">
        <f>T("PC000945")</f>
        <v>PC000945</v>
      </c>
      <c r="E198" s="19" t="str">
        <f>T("530020093")</f>
        <v>530020093</v>
      </c>
      <c r="F198" s="19" t="s">
        <v>16</v>
      </c>
      <c r="G198" s="19" t="s">
        <v>2409</v>
      </c>
      <c r="H198" s="19" t="str">
        <f>T("DSD120264")</f>
        <v>DSD120264</v>
      </c>
      <c r="I198" s="19" t="s">
        <v>553</v>
      </c>
      <c r="J198" s="19" t="s">
        <v>554</v>
      </c>
      <c r="K198" s="19" t="str">
        <f>T("15180")</f>
        <v>15180</v>
      </c>
      <c r="L198" s="19" t="s">
        <v>32</v>
      </c>
      <c r="M198" s="21" t="s">
        <v>0</v>
      </c>
      <c r="N198" s="31">
        <v>45216</v>
      </c>
    </row>
    <row r="199" spans="1:15" ht="16" hidden="1" x14ac:dyDescent="0.2">
      <c r="A199" s="19" t="s">
        <v>555</v>
      </c>
      <c r="B199" s="20">
        <v>45215</v>
      </c>
      <c r="C199" s="19" t="str">
        <f>T("330239487:0830377208")</f>
        <v>330239487:0830377208</v>
      </c>
      <c r="D199" s="19" t="str">
        <f>T("WC-OT1113371")</f>
        <v>WC-OT1113371</v>
      </c>
      <c r="E199" s="19" t="str">
        <f>T("530020142")</f>
        <v>530020142</v>
      </c>
      <c r="F199" s="19" t="s">
        <v>16</v>
      </c>
      <c r="G199" s="19" t="s">
        <v>2409</v>
      </c>
      <c r="H199" s="19" t="str">
        <f>T("DSD120268")</f>
        <v>DSD120268</v>
      </c>
      <c r="I199" s="19" t="s">
        <v>556</v>
      </c>
      <c r="J199" s="19" t="s">
        <v>557</v>
      </c>
      <c r="K199" s="19" t="str">
        <f>T("10840")</f>
        <v>10840</v>
      </c>
      <c r="L199" s="19" t="s">
        <v>32</v>
      </c>
      <c r="M199" s="21" t="s">
        <v>0</v>
      </c>
      <c r="N199" s="31">
        <v>45216</v>
      </c>
    </row>
    <row r="200" spans="1:15" ht="16" hidden="1" x14ac:dyDescent="0.2">
      <c r="A200" s="19" t="s">
        <v>558</v>
      </c>
      <c r="B200" s="20">
        <v>45215</v>
      </c>
      <c r="C200" s="19" t="str">
        <f>T("330238990:0830373891")</f>
        <v>330238990:0830373891</v>
      </c>
      <c r="D200" s="19" t="str">
        <f>T("WC-OT1113370")</f>
        <v>WC-OT1113370</v>
      </c>
      <c r="E200" s="19" t="str">
        <f>T("530020083")</f>
        <v>530020083</v>
      </c>
      <c r="F200" s="19" t="s">
        <v>16</v>
      </c>
      <c r="G200" s="19" t="s">
        <v>2409</v>
      </c>
      <c r="H200" s="19" t="str">
        <f>T("DSD120270")</f>
        <v>DSD120270</v>
      </c>
      <c r="I200" s="19" t="s">
        <v>510</v>
      </c>
      <c r="J200" s="19" t="s">
        <v>511</v>
      </c>
      <c r="K200" s="19" t="str">
        <f>T("50018")</f>
        <v>50018</v>
      </c>
      <c r="L200" s="19" t="s">
        <v>32</v>
      </c>
      <c r="M200" s="21" t="s">
        <v>0</v>
      </c>
      <c r="N200" s="31">
        <v>45216</v>
      </c>
    </row>
    <row r="201" spans="1:15" ht="16" hidden="1" x14ac:dyDescent="0.2">
      <c r="A201" s="19" t="s">
        <v>559</v>
      </c>
      <c r="B201" s="20">
        <v>45215</v>
      </c>
      <c r="C201" s="19" t="str">
        <f>T("330239034:0830373909")</f>
        <v>330239034:0830373909</v>
      </c>
      <c r="D201" s="19" t="str">
        <f>T("3101164")</f>
        <v>3101164</v>
      </c>
      <c r="E201" s="19" t="str">
        <f>T("530020007")</f>
        <v>530020007</v>
      </c>
      <c r="F201" s="19" t="s">
        <v>16</v>
      </c>
      <c r="G201" s="19" t="s">
        <v>2409</v>
      </c>
      <c r="H201" s="19" t="str">
        <f>T("DSD120324")</f>
        <v>DSD120324</v>
      </c>
      <c r="I201" s="19" t="s">
        <v>67</v>
      </c>
      <c r="J201" s="19" t="s">
        <v>560</v>
      </c>
      <c r="K201" s="19" t="str">
        <f>T("39608")</f>
        <v>39608</v>
      </c>
      <c r="L201" s="19" t="s">
        <v>32</v>
      </c>
      <c r="M201" s="21" t="s">
        <v>0</v>
      </c>
      <c r="N201" s="31">
        <v>45216</v>
      </c>
    </row>
    <row r="202" spans="1:15" ht="16" hidden="1" x14ac:dyDescent="0.2">
      <c r="A202" s="19" t="s">
        <v>561</v>
      </c>
      <c r="B202" s="20">
        <v>45215</v>
      </c>
      <c r="C202" s="19" t="str">
        <f>T("330239037:0830377166")</f>
        <v>330239037:0830377166</v>
      </c>
      <c r="D202" s="19" t="str">
        <f>T("1-26457")</f>
        <v>1-26457</v>
      </c>
      <c r="E202" s="19" t="str">
        <f>T("530020004")</f>
        <v>530020004</v>
      </c>
      <c r="F202" s="19" t="s">
        <v>16</v>
      </c>
      <c r="G202" s="19" t="s">
        <v>2409</v>
      </c>
      <c r="H202" s="19" t="str">
        <f>T("DSD120326")</f>
        <v>DSD120326</v>
      </c>
      <c r="I202" s="19" t="s">
        <v>526</v>
      </c>
      <c r="J202" s="19" t="s">
        <v>527</v>
      </c>
      <c r="K202" s="19" t="str">
        <f>T("48014")</f>
        <v>48014</v>
      </c>
      <c r="L202" s="19" t="s">
        <v>32</v>
      </c>
      <c r="M202" s="21" t="s">
        <v>0</v>
      </c>
      <c r="N202" s="31">
        <v>45216</v>
      </c>
    </row>
    <row r="203" spans="1:15" ht="16" hidden="1" x14ac:dyDescent="0.2">
      <c r="A203" s="19" t="s">
        <v>562</v>
      </c>
      <c r="B203" s="20">
        <v>45215</v>
      </c>
      <c r="C203" s="19" t="str">
        <f>T("330239005:0830377156")</f>
        <v>330239005:0830377156</v>
      </c>
      <c r="D203" s="19" t="str">
        <f>T("61,861")</f>
        <v>61,861</v>
      </c>
      <c r="E203" s="19" t="str">
        <f>T("530020060")</f>
        <v>530020060</v>
      </c>
      <c r="F203" s="19" t="s">
        <v>16</v>
      </c>
      <c r="G203" s="19" t="s">
        <v>2409</v>
      </c>
      <c r="H203" s="19" t="str">
        <f>T("DSD120360")</f>
        <v>DSD120360</v>
      </c>
      <c r="I203" s="19" t="s">
        <v>563</v>
      </c>
      <c r="J203" s="19" t="s">
        <v>564</v>
      </c>
      <c r="K203" s="19" t="str">
        <f>T("48230")</f>
        <v>48230</v>
      </c>
      <c r="L203" s="19" t="s">
        <v>32</v>
      </c>
      <c r="M203" s="21" t="s">
        <v>0</v>
      </c>
      <c r="N203" s="31">
        <v>45216</v>
      </c>
    </row>
    <row r="204" spans="1:15" ht="16" hidden="1" x14ac:dyDescent="0.2">
      <c r="A204" s="19" t="s">
        <v>565</v>
      </c>
      <c r="B204" s="20">
        <v>45215</v>
      </c>
      <c r="C204" s="19" t="str">
        <f>T("330239039:0830377167")</f>
        <v>330239039:0830377167</v>
      </c>
      <c r="D204" s="19" t="str">
        <f>T("3101159")</f>
        <v>3101159</v>
      </c>
      <c r="E204" s="19" t="str">
        <f>T("530020001")</f>
        <v>530020001</v>
      </c>
      <c r="F204" s="19" t="s">
        <v>16</v>
      </c>
      <c r="G204" s="19" t="s">
        <v>2409</v>
      </c>
      <c r="H204" s="19" t="str">
        <f>T("DSD120368")</f>
        <v>DSD120368</v>
      </c>
      <c r="I204" s="19" t="s">
        <v>67</v>
      </c>
      <c r="J204" s="19" t="s">
        <v>566</v>
      </c>
      <c r="K204" s="19" t="str">
        <f>T("20115")</f>
        <v>20115</v>
      </c>
      <c r="L204" s="19" t="s">
        <v>32</v>
      </c>
      <c r="M204" s="21" t="s">
        <v>0</v>
      </c>
      <c r="N204" s="31">
        <v>45216</v>
      </c>
    </row>
    <row r="205" spans="1:15" ht="16" hidden="1" x14ac:dyDescent="0.2">
      <c r="A205" s="19" t="s">
        <v>567</v>
      </c>
      <c r="B205" s="20">
        <v>45215</v>
      </c>
      <c r="C205" s="19" t="str">
        <f>T("330239041:0830373913")</f>
        <v>330239041:0830373913</v>
      </c>
      <c r="D205" s="19" t="str">
        <f>T("CLC AP. 152")</f>
        <v>CLC AP. 152</v>
      </c>
      <c r="E205" s="19" t="str">
        <f>T("530019997")</f>
        <v>530019997</v>
      </c>
      <c r="F205" s="19" t="s">
        <v>16</v>
      </c>
      <c r="G205" s="19" t="s">
        <v>2409</v>
      </c>
      <c r="H205" s="19" t="str">
        <f>T("DSD120380")</f>
        <v>DSD120380</v>
      </c>
      <c r="I205" s="19" t="s">
        <v>568</v>
      </c>
      <c r="J205" s="19" t="s">
        <v>569</v>
      </c>
      <c r="K205" s="19" t="str">
        <f>T("29006")</f>
        <v>29006</v>
      </c>
      <c r="L205" s="19" t="s">
        <v>32</v>
      </c>
      <c r="M205" s="21" t="s">
        <v>0</v>
      </c>
      <c r="N205" s="31">
        <v>45216</v>
      </c>
    </row>
    <row r="206" spans="1:15" ht="16" hidden="1" x14ac:dyDescent="0.2">
      <c r="A206" s="19" t="s">
        <v>570</v>
      </c>
      <c r="B206" s="20">
        <v>45215</v>
      </c>
      <c r="C206" s="19" t="str">
        <f>T("330239031:0830373907")</f>
        <v>330239031:0830373907</v>
      </c>
      <c r="D206" s="19" t="str">
        <f>T("310207")</f>
        <v>310207</v>
      </c>
      <c r="E206" s="19" t="str">
        <f>T("530020052")</f>
        <v>530020052</v>
      </c>
      <c r="F206" s="19" t="s">
        <v>16</v>
      </c>
      <c r="G206" s="19" t="s">
        <v>2409</v>
      </c>
      <c r="H206" s="19" t="str">
        <f>T("DSD120388")</f>
        <v>DSD120388</v>
      </c>
      <c r="I206" s="19" t="s">
        <v>67</v>
      </c>
      <c r="J206" s="19" t="s">
        <v>566</v>
      </c>
      <c r="K206" s="19" t="str">
        <f>T("20115")</f>
        <v>20115</v>
      </c>
      <c r="L206" s="19" t="s">
        <v>32</v>
      </c>
      <c r="M206" s="21" t="s">
        <v>0</v>
      </c>
      <c r="N206" s="31">
        <v>45216</v>
      </c>
    </row>
    <row r="207" spans="1:15" ht="16" hidden="1" x14ac:dyDescent="0.2">
      <c r="A207" s="19" t="s">
        <v>571</v>
      </c>
      <c r="B207" s="20">
        <v>45215</v>
      </c>
      <c r="C207" s="19" t="str">
        <f>T("330239475:0830377203")</f>
        <v>330239475:0830377203</v>
      </c>
      <c r="D207" s="19" t="str">
        <f>T("optima")</f>
        <v>optima</v>
      </c>
      <c r="E207" s="19" t="str">
        <f>T("530020129")</f>
        <v>530020129</v>
      </c>
      <c r="F207" s="19" t="s">
        <v>16</v>
      </c>
      <c r="G207" s="19" t="s">
        <v>2409</v>
      </c>
      <c r="H207" s="19" t="str">
        <f>T("DSD120438")</f>
        <v>DSD120438</v>
      </c>
      <c r="I207" s="19" t="s">
        <v>538</v>
      </c>
      <c r="J207" s="19" t="s">
        <v>539</v>
      </c>
      <c r="K207" s="19" t="str">
        <f>T("08240")</f>
        <v>08240</v>
      </c>
      <c r="L207" s="19" t="s">
        <v>32</v>
      </c>
      <c r="M207" s="21" t="s">
        <v>0</v>
      </c>
      <c r="N207" s="31">
        <v>45216</v>
      </c>
    </row>
    <row r="208" spans="1:15" ht="16" hidden="1" x14ac:dyDescent="0.2">
      <c r="A208" s="19" t="s">
        <v>572</v>
      </c>
      <c r="B208" s="20">
        <v>45215</v>
      </c>
      <c r="C208" s="19" t="str">
        <f>T("330239029:0830377164")</f>
        <v>330239029:0830377164</v>
      </c>
      <c r="D208" s="19" t="str">
        <f>T("378/23.")</f>
        <v>378/23.</v>
      </c>
      <c r="E208" s="19" t="str">
        <f>T("530020091")</f>
        <v>530020091</v>
      </c>
      <c r="F208" s="19" t="s">
        <v>16</v>
      </c>
      <c r="G208" s="19" t="s">
        <v>2409</v>
      </c>
      <c r="H208" s="19" t="str">
        <f>T("DSD120440")</f>
        <v>DSD120440</v>
      </c>
      <c r="I208" s="19" t="s">
        <v>62</v>
      </c>
      <c r="J208" s="19" t="s">
        <v>460</v>
      </c>
      <c r="K208" s="19" t="str">
        <f>T("20011")</f>
        <v>20011</v>
      </c>
      <c r="L208" s="19" t="s">
        <v>32</v>
      </c>
      <c r="M208" s="21" t="s">
        <v>0</v>
      </c>
      <c r="N208" s="31">
        <v>45216</v>
      </c>
    </row>
    <row r="209" spans="1:14" ht="16" hidden="1" x14ac:dyDescent="0.2">
      <c r="A209" s="19" t="s">
        <v>573</v>
      </c>
      <c r="B209" s="20">
        <v>45215</v>
      </c>
      <c r="C209" s="19" t="str">
        <f>T("330238997:0830377152")</f>
        <v>330238997:0830377152</v>
      </c>
      <c r="D209" s="19" t="str">
        <f>T("23102409")</f>
        <v>23102409</v>
      </c>
      <c r="E209" s="19" t="str">
        <f>T("530020067")</f>
        <v>530020067</v>
      </c>
      <c r="F209" s="19" t="s">
        <v>16</v>
      </c>
      <c r="G209" s="19" t="s">
        <v>2409</v>
      </c>
      <c r="H209" s="19" t="str">
        <f>T("DSD120446")</f>
        <v>DSD120446</v>
      </c>
      <c r="I209" s="19" t="s">
        <v>472</v>
      </c>
      <c r="J209" s="19" t="s">
        <v>481</v>
      </c>
      <c r="K209" s="19" t="str">
        <f>T("41008")</f>
        <v>41008</v>
      </c>
      <c r="L209" s="19" t="s">
        <v>32</v>
      </c>
      <c r="M209" s="21" t="s">
        <v>0</v>
      </c>
      <c r="N209" s="31">
        <v>45216</v>
      </c>
    </row>
    <row r="210" spans="1:14" ht="16" hidden="1" x14ac:dyDescent="0.2">
      <c r="A210" s="19" t="s">
        <v>574</v>
      </c>
      <c r="B210" s="20">
        <v>45215</v>
      </c>
      <c r="C210" s="19" t="str">
        <f>T("330239082:0830373921")</f>
        <v>330239082:0830373921</v>
      </c>
      <c r="D210" s="19" t="str">
        <f>T("1-26477")</f>
        <v>1-26477</v>
      </c>
      <c r="E210" s="19" t="str">
        <f>T("530020023")</f>
        <v>530020023</v>
      </c>
      <c r="F210" s="19" t="s">
        <v>16</v>
      </c>
      <c r="G210" s="19" t="s">
        <v>2409</v>
      </c>
      <c r="H210" s="19" t="str">
        <f>T("DSD120448")</f>
        <v>DSD120448</v>
      </c>
      <c r="I210" s="19" t="s">
        <v>526</v>
      </c>
      <c r="J210" s="19" t="s">
        <v>527</v>
      </c>
      <c r="K210" s="19" t="str">
        <f>T("48014")</f>
        <v>48014</v>
      </c>
      <c r="L210" s="19" t="s">
        <v>32</v>
      </c>
      <c r="M210" s="21" t="s">
        <v>0</v>
      </c>
      <c r="N210" s="31">
        <v>45216</v>
      </c>
    </row>
    <row r="211" spans="1:14" ht="16" hidden="1" x14ac:dyDescent="0.2">
      <c r="A211" s="19" t="s">
        <v>575</v>
      </c>
      <c r="B211" s="20">
        <v>45215</v>
      </c>
      <c r="C211" s="19" t="str">
        <f>T("330239081:0830377177")</f>
        <v>330239081:0830377177</v>
      </c>
      <c r="D211" s="19" t="str">
        <f>T("MANUEL COSTA")</f>
        <v>MANUEL COSTA</v>
      </c>
      <c r="E211" s="19" t="str">
        <f>T("530020024")</f>
        <v>530020024</v>
      </c>
      <c r="F211" s="19" t="s">
        <v>16</v>
      </c>
      <c r="G211" s="19" t="s">
        <v>2409</v>
      </c>
      <c r="H211" s="19" t="str">
        <f>T("DSD120454")</f>
        <v>DSD120454</v>
      </c>
      <c r="I211" s="19" t="s">
        <v>576</v>
      </c>
      <c r="J211" s="19" t="s">
        <v>577</v>
      </c>
      <c r="K211" s="19" t="str">
        <f>T("15318")</f>
        <v>15318</v>
      </c>
      <c r="L211" s="19" t="s">
        <v>32</v>
      </c>
      <c r="M211" s="21" t="s">
        <v>0</v>
      </c>
      <c r="N211" s="31">
        <v>45216</v>
      </c>
    </row>
    <row r="212" spans="1:14" ht="16" hidden="1" x14ac:dyDescent="0.2">
      <c r="A212" s="19" t="s">
        <v>578</v>
      </c>
      <c r="B212" s="20">
        <v>45215</v>
      </c>
      <c r="C212" s="19" t="str">
        <f>T("330239480:0830374142")</f>
        <v>330239480:0830374142</v>
      </c>
      <c r="D212" s="19" t="str">
        <f>T("sotecnica")</f>
        <v>sotecnica</v>
      </c>
      <c r="E212" s="19" t="str">
        <f>T("530020133")</f>
        <v>530020133</v>
      </c>
      <c r="F212" s="19" t="s">
        <v>16</v>
      </c>
      <c r="G212" s="19" t="s">
        <v>33</v>
      </c>
      <c r="H212" s="19" t="str">
        <f>T("DSD1198890")</f>
        <v>DSD1198890</v>
      </c>
      <c r="I212" s="19" t="s">
        <v>579</v>
      </c>
      <c r="J212" s="19" t="s">
        <v>580</v>
      </c>
      <c r="K212" s="19" t="str">
        <f>T("2724-523")</f>
        <v>2724-523</v>
      </c>
      <c r="L212" s="19" t="s">
        <v>581</v>
      </c>
      <c r="M212" s="21" t="s">
        <v>0</v>
      </c>
      <c r="N212" s="31">
        <v>45217</v>
      </c>
    </row>
    <row r="213" spans="1:14" ht="16" hidden="1" x14ac:dyDescent="0.2">
      <c r="A213" s="19" t="s">
        <v>582</v>
      </c>
      <c r="B213" s="20">
        <v>45215</v>
      </c>
      <c r="C213" s="19" t="str">
        <f>T("330239079:0830373920")</f>
        <v>330239079:0830373920</v>
      </c>
      <c r="D213" s="19" t="str">
        <f>T("PEDIDO 3101184")</f>
        <v>PEDIDO 3101184</v>
      </c>
      <c r="E213" s="19" t="str">
        <f>T("530020026")</f>
        <v>530020026</v>
      </c>
      <c r="F213" s="19" t="s">
        <v>16</v>
      </c>
      <c r="G213" s="19" t="s">
        <v>33</v>
      </c>
      <c r="H213" s="19" t="str">
        <f>T("DSD119988")</f>
        <v>DSD119988</v>
      </c>
      <c r="I213" s="19" t="s">
        <v>67</v>
      </c>
      <c r="J213" s="19" t="s">
        <v>583</v>
      </c>
      <c r="K213" s="19" t="str">
        <f>T("48180")</f>
        <v>48180</v>
      </c>
      <c r="L213" s="19" t="s">
        <v>32</v>
      </c>
      <c r="M213" s="21" t="s">
        <v>0</v>
      </c>
      <c r="N213" s="31">
        <v>45216</v>
      </c>
    </row>
    <row r="214" spans="1:14" ht="16" hidden="1" x14ac:dyDescent="0.2">
      <c r="A214" s="19" t="s">
        <v>584</v>
      </c>
      <c r="B214" s="20">
        <v>45215</v>
      </c>
      <c r="C214" s="19" t="str">
        <f>T("330238992:0830373893")</f>
        <v>330238992:0830373893</v>
      </c>
      <c r="D214" s="19" t="str">
        <f>T("WC-GR1102007")</f>
        <v>WC-GR1102007</v>
      </c>
      <c r="E214" s="19" t="str">
        <f>T("530020081")</f>
        <v>530020081</v>
      </c>
      <c r="F214" s="19" t="s">
        <v>16</v>
      </c>
      <c r="G214" s="19" t="s">
        <v>33</v>
      </c>
      <c r="H214" s="19" t="str">
        <f>T("DSD120016")</f>
        <v>DSD120016</v>
      </c>
      <c r="I214" s="19" t="s">
        <v>585</v>
      </c>
      <c r="J214" s="19" t="s">
        <v>586</v>
      </c>
      <c r="K214" s="19" t="str">
        <f>T("2724-523")</f>
        <v>2724-523</v>
      </c>
      <c r="L214" s="19" t="s">
        <v>581</v>
      </c>
      <c r="M214" s="21" t="s">
        <v>0</v>
      </c>
      <c r="N214" s="31">
        <v>45217</v>
      </c>
    </row>
    <row r="215" spans="1:14" ht="16" hidden="1" x14ac:dyDescent="0.2">
      <c r="A215" s="19" t="s">
        <v>587</v>
      </c>
      <c r="B215" s="20">
        <v>45215</v>
      </c>
      <c r="C215" s="19" t="str">
        <f>T("330239077:0830373919")</f>
        <v>330239077:0830373919</v>
      </c>
      <c r="D215" s="19" t="str">
        <f>T("ECF 514")</f>
        <v>ECF 514</v>
      </c>
      <c r="E215" s="19" t="str">
        <f>T("530020028")</f>
        <v>530020028</v>
      </c>
      <c r="F215" s="19" t="s">
        <v>16</v>
      </c>
      <c r="G215" s="19" t="s">
        <v>33</v>
      </c>
      <c r="H215" s="19" t="str">
        <f>T("DSD120102")</f>
        <v>DSD120102</v>
      </c>
      <c r="I215" s="19" t="s">
        <v>588</v>
      </c>
      <c r="J215" s="19" t="s">
        <v>589</v>
      </c>
      <c r="K215" s="19" t="str">
        <f>T("8100-302")</f>
        <v>8100-302</v>
      </c>
      <c r="L215" s="19" t="s">
        <v>581</v>
      </c>
      <c r="M215" s="21" t="s">
        <v>0</v>
      </c>
      <c r="N215" s="31">
        <v>45217</v>
      </c>
    </row>
    <row r="216" spans="1:14" ht="16" hidden="1" x14ac:dyDescent="0.2">
      <c r="A216" s="19" t="s">
        <v>590</v>
      </c>
      <c r="B216" s="20">
        <v>45215</v>
      </c>
      <c r="C216" s="19" t="str">
        <f>T("330239017:0830377159")</f>
        <v>330239017:0830377159</v>
      </c>
      <c r="D216" s="19" t="str">
        <f>T("DI07-2239244")</f>
        <v>DI07-2239244</v>
      </c>
      <c r="E216" s="19" t="str">
        <f>T("530020113")</f>
        <v>530020113</v>
      </c>
      <c r="F216" s="19" t="s">
        <v>16</v>
      </c>
      <c r="G216" s="19" t="s">
        <v>33</v>
      </c>
      <c r="H216" s="19" t="str">
        <f>T("DSD120166")</f>
        <v>DSD120166</v>
      </c>
      <c r="I216" s="19" t="s">
        <v>463</v>
      </c>
      <c r="J216" s="19" t="s">
        <v>591</v>
      </c>
      <c r="K216" s="19" t="str">
        <f>T("36161")</f>
        <v>36161</v>
      </c>
      <c r="L216" s="19" t="s">
        <v>32</v>
      </c>
      <c r="M216" s="21" t="s">
        <v>0</v>
      </c>
      <c r="N216" s="31">
        <v>45217</v>
      </c>
    </row>
    <row r="217" spans="1:14" ht="16" hidden="1" x14ac:dyDescent="0.2">
      <c r="A217" s="19" t="s">
        <v>592</v>
      </c>
      <c r="B217" s="20">
        <v>45215</v>
      </c>
      <c r="C217" s="19" t="str">
        <f>T("330238995:0830373895")</f>
        <v>330238995:0830373895</v>
      </c>
      <c r="D217" s="19" t="str">
        <f>T("PEDIDO 3101184")</f>
        <v>PEDIDO 3101184</v>
      </c>
      <c r="E217" s="19" t="str">
        <f>T("530020074")</f>
        <v>530020074</v>
      </c>
      <c r="F217" s="19" t="s">
        <v>16</v>
      </c>
      <c r="G217" s="19" t="s">
        <v>33</v>
      </c>
      <c r="H217" s="19" t="str">
        <f>T("DSD120174")</f>
        <v>DSD120174</v>
      </c>
      <c r="I217" s="19" t="s">
        <v>593</v>
      </c>
      <c r="J217" s="19" t="s">
        <v>594</v>
      </c>
      <c r="K217" s="19" t="str">
        <f>T("26009")</f>
        <v>26009</v>
      </c>
      <c r="L217" s="19" t="s">
        <v>32</v>
      </c>
      <c r="M217" s="21" t="s">
        <v>0</v>
      </c>
      <c r="N217" s="31">
        <v>45216</v>
      </c>
    </row>
    <row r="218" spans="1:14" ht="16" hidden="1" x14ac:dyDescent="0.2">
      <c r="A218" s="19" t="s">
        <v>595</v>
      </c>
      <c r="B218" s="20">
        <v>45215</v>
      </c>
      <c r="C218" s="19" t="str">
        <f>T("330238994:0830377151")</f>
        <v>330238994:0830377151</v>
      </c>
      <c r="D218" s="19" t="str">
        <f>T("WC-GR1102000")</f>
        <v>WC-GR1102000</v>
      </c>
      <c r="E218" s="19" t="str">
        <f>T("530020079")</f>
        <v>530020079</v>
      </c>
      <c r="F218" s="19" t="s">
        <v>16</v>
      </c>
      <c r="G218" s="19" t="s">
        <v>33</v>
      </c>
      <c r="H218" s="19" t="str">
        <f>T("DSD120182")</f>
        <v>DSD120182</v>
      </c>
      <c r="I218" s="19" t="s">
        <v>507</v>
      </c>
      <c r="J218" s="19" t="s">
        <v>508</v>
      </c>
      <c r="K218" s="19" t="str">
        <f>T("25300")</f>
        <v>25300</v>
      </c>
      <c r="L218" s="19" t="s">
        <v>32</v>
      </c>
      <c r="M218" s="21" t="s">
        <v>0</v>
      </c>
      <c r="N218" s="31">
        <v>45216</v>
      </c>
    </row>
    <row r="219" spans="1:14" ht="16" hidden="1" x14ac:dyDescent="0.2">
      <c r="A219" s="19" t="s">
        <v>596</v>
      </c>
      <c r="B219" s="20">
        <v>45215</v>
      </c>
      <c r="C219" s="19" t="str">
        <f>T("330239042:0830377169")</f>
        <v>330239042:0830377169</v>
      </c>
      <c r="D219" s="19" t="str">
        <f>T("DI51-2226536")</f>
        <v>DI51-2226536</v>
      </c>
      <c r="E219" s="19" t="str">
        <f>T("530019996")</f>
        <v>530019996</v>
      </c>
      <c r="F219" s="19" t="s">
        <v>16</v>
      </c>
      <c r="G219" s="19" t="s">
        <v>33</v>
      </c>
      <c r="H219" s="19" t="str">
        <f>T("DSD120298")</f>
        <v>DSD120298</v>
      </c>
      <c r="I219" s="19" t="s">
        <v>597</v>
      </c>
      <c r="J219" s="19" t="s">
        <v>598</v>
      </c>
      <c r="K219" s="19" t="str">
        <f>T("19200")</f>
        <v>19200</v>
      </c>
      <c r="L219" s="19" t="s">
        <v>32</v>
      </c>
      <c r="M219" s="21" t="s">
        <v>0</v>
      </c>
      <c r="N219" s="31">
        <v>45217</v>
      </c>
    </row>
    <row r="220" spans="1:14" ht="16" hidden="1" x14ac:dyDescent="0.2">
      <c r="A220" s="19" t="s">
        <v>599</v>
      </c>
      <c r="B220" s="20">
        <v>45215</v>
      </c>
      <c r="C220" s="19" t="str">
        <f>T("330239047:0830377173")</f>
        <v>330239047:0830377173</v>
      </c>
      <c r="D220" s="19" t="str">
        <f>T("espi230267")</f>
        <v>espi230267</v>
      </c>
      <c r="E220" s="19" t="str">
        <f>T("530019989")</f>
        <v>530019989</v>
      </c>
      <c r="F220" s="19" t="s">
        <v>16</v>
      </c>
      <c r="G220" s="19" t="s">
        <v>33</v>
      </c>
      <c r="H220" s="19" t="str">
        <f>T("DSD120370")</f>
        <v>DSD120370</v>
      </c>
      <c r="I220" s="19" t="s">
        <v>600</v>
      </c>
      <c r="J220" s="19" t="s">
        <v>601</v>
      </c>
      <c r="K220" s="19" t="str">
        <f>T("15650")</f>
        <v>15650</v>
      </c>
      <c r="L220" s="19" t="s">
        <v>32</v>
      </c>
      <c r="M220" s="21" t="s">
        <v>0</v>
      </c>
      <c r="N220" s="31">
        <v>45216</v>
      </c>
    </row>
    <row r="221" spans="1:14" ht="16" hidden="1" x14ac:dyDescent="0.2">
      <c r="A221" s="19" t="s">
        <v>602</v>
      </c>
      <c r="B221" s="20">
        <v>45215</v>
      </c>
      <c r="C221" s="19" t="str">
        <f>T("330239033:0830377165")</f>
        <v>330239033:0830377165</v>
      </c>
      <c r="D221" s="19" t="str">
        <f>T("29.09.2023 thermo")</f>
        <v>29.09.2023 thermo</v>
      </c>
      <c r="E221" s="19" t="str">
        <f>T("530020014")</f>
        <v>530020014</v>
      </c>
      <c r="F221" s="19" t="s">
        <v>16</v>
      </c>
      <c r="G221" s="19" t="s">
        <v>33</v>
      </c>
      <c r="H221" s="19" t="str">
        <f>T("DSD120386")</f>
        <v>DSD120386</v>
      </c>
      <c r="I221" s="19" t="s">
        <v>579</v>
      </c>
      <c r="J221" s="19" t="s">
        <v>580</v>
      </c>
      <c r="K221" s="19" t="str">
        <f>T("2724-523")</f>
        <v>2724-523</v>
      </c>
      <c r="L221" s="19" t="s">
        <v>581</v>
      </c>
      <c r="M221" s="21" t="s">
        <v>0</v>
      </c>
      <c r="N221" s="31">
        <v>45217</v>
      </c>
    </row>
    <row r="222" spans="1:14" ht="16" hidden="1" x14ac:dyDescent="0.2">
      <c r="A222" s="19" t="s">
        <v>603</v>
      </c>
      <c r="B222" s="20">
        <v>45215</v>
      </c>
      <c r="C222" s="19" t="str">
        <f>T("330239071:0830373916")</f>
        <v>330239071:0830373916</v>
      </c>
      <c r="D222" s="19" t="str">
        <f>T("03.10.2023 mario")</f>
        <v>03.10.2023 mario</v>
      </c>
      <c r="E222" s="19" t="str">
        <f>T("530020038")</f>
        <v>530020038</v>
      </c>
      <c r="F222" s="19" t="s">
        <v>16</v>
      </c>
      <c r="G222" s="19" t="s">
        <v>33</v>
      </c>
      <c r="H222" s="19" t="str">
        <f>T("DSD120398")</f>
        <v>DSD120398</v>
      </c>
      <c r="I222" s="19" t="s">
        <v>579</v>
      </c>
      <c r="J222" s="19" t="s">
        <v>580</v>
      </c>
      <c r="K222" s="19" t="str">
        <f>T("2724-523")</f>
        <v>2724-523</v>
      </c>
      <c r="L222" s="19" t="s">
        <v>581</v>
      </c>
      <c r="M222" s="21" t="s">
        <v>0</v>
      </c>
      <c r="N222" s="31">
        <v>45217</v>
      </c>
    </row>
    <row r="223" spans="1:14" ht="16" hidden="1" x14ac:dyDescent="0.2">
      <c r="A223" s="19" t="s">
        <v>604</v>
      </c>
      <c r="B223" s="20">
        <v>45215</v>
      </c>
      <c r="C223" s="19" t="str">
        <f>T("330239076:0830377175")</f>
        <v>330239076:0830377175</v>
      </c>
      <c r="D223" s="19" t="str">
        <f>T("11027")</f>
        <v>11027</v>
      </c>
      <c r="E223" s="19" t="str">
        <f>T("530020029")</f>
        <v>530020029</v>
      </c>
      <c r="F223" s="19" t="s">
        <v>16</v>
      </c>
      <c r="G223" s="19" t="s">
        <v>33</v>
      </c>
      <c r="H223" s="19" t="str">
        <f>T("DSD120406")</f>
        <v>DSD120406</v>
      </c>
      <c r="I223" s="19" t="s">
        <v>605</v>
      </c>
      <c r="J223" s="19" t="s">
        <v>605</v>
      </c>
      <c r="K223" s="19" t="str">
        <f>T("46009")</f>
        <v>46009</v>
      </c>
      <c r="L223" s="19" t="s">
        <v>32</v>
      </c>
      <c r="M223" s="21" t="s">
        <v>0</v>
      </c>
      <c r="N223" s="31">
        <v>45217</v>
      </c>
    </row>
    <row r="224" spans="1:14" ht="16" hidden="1" x14ac:dyDescent="0.2">
      <c r="A224" s="19" t="s">
        <v>606</v>
      </c>
      <c r="B224" s="20">
        <v>45215</v>
      </c>
      <c r="C224" s="19" t="str">
        <f>T("330200657:0830354167")</f>
        <v>330200657:0830354167</v>
      </c>
      <c r="D224" s="19" t="str">
        <f>T("3853")</f>
        <v>3853</v>
      </c>
      <c r="E224" s="19" t="str">
        <f>T("7670014183")</f>
        <v>7670014183</v>
      </c>
      <c r="F224" s="19" t="s">
        <v>16</v>
      </c>
      <c r="G224" s="19" t="s">
        <v>14</v>
      </c>
      <c r="H224" s="19" t="str">
        <f>T("607248796")</f>
        <v>607248796</v>
      </c>
      <c r="I224" s="19" t="s">
        <v>607</v>
      </c>
      <c r="J224" s="19" t="s">
        <v>608</v>
      </c>
      <c r="K224" s="19" t="str">
        <f>T("3070")</f>
        <v>3070</v>
      </c>
      <c r="L224" s="19" t="s">
        <v>609</v>
      </c>
      <c r="M224" s="21" t="s">
        <v>0</v>
      </c>
      <c r="N224" s="24">
        <v>45219</v>
      </c>
    </row>
    <row r="225" spans="1:14" ht="16" hidden="1" x14ac:dyDescent="0.2">
      <c r="A225" s="19" t="s">
        <v>610</v>
      </c>
      <c r="B225" s="20">
        <v>45215</v>
      </c>
      <c r="C225" s="19" t="str">
        <f>T("330237915:0830373138")</f>
        <v>330237915:0830373138</v>
      </c>
      <c r="D225" s="19" t="str">
        <f>T("WC 9655")</f>
        <v>WC 9655</v>
      </c>
      <c r="E225" s="19" t="str">
        <f>T("560021884")</f>
        <v>560021884</v>
      </c>
      <c r="F225" s="19" t="s">
        <v>16</v>
      </c>
      <c r="G225" s="19" t="s">
        <v>14</v>
      </c>
      <c r="H225" s="19" t="str">
        <f>T("607247464")</f>
        <v>607247464</v>
      </c>
      <c r="I225" s="19" t="s">
        <v>611</v>
      </c>
      <c r="J225" s="19" t="s">
        <v>611</v>
      </c>
      <c r="K225" s="19" t="str">
        <f>T("16139")</f>
        <v>16139</v>
      </c>
      <c r="L225" s="19" t="s">
        <v>18</v>
      </c>
      <c r="M225" s="21" t="s">
        <v>0</v>
      </c>
      <c r="N225" s="31">
        <v>45217</v>
      </c>
    </row>
    <row r="226" spans="1:14" ht="16" hidden="1" x14ac:dyDescent="0.2">
      <c r="A226" s="19" t="s">
        <v>612</v>
      </c>
      <c r="B226" s="20">
        <v>45215</v>
      </c>
      <c r="C226" s="19" t="str">
        <f>T("330239533:0830374211")</f>
        <v>330239533:0830374211</v>
      </c>
      <c r="D226" s="19" t="str">
        <f>T("23000363")</f>
        <v>23000363</v>
      </c>
      <c r="E226" s="19" t="str">
        <f>T("540012299")</f>
        <v>540012299</v>
      </c>
      <c r="F226" s="19" t="s">
        <v>16</v>
      </c>
      <c r="G226" s="19" t="s">
        <v>14</v>
      </c>
      <c r="H226" s="19" t="str">
        <f>T("607247447")</f>
        <v>607247447</v>
      </c>
      <c r="I226" s="19" t="s">
        <v>613</v>
      </c>
      <c r="J226" s="19" t="s">
        <v>614</v>
      </c>
      <c r="K226" s="19" t="str">
        <f>T("2408 AK")</f>
        <v>2408 AK</v>
      </c>
      <c r="L226" s="19" t="s">
        <v>31</v>
      </c>
      <c r="M226" s="21" t="s">
        <v>0</v>
      </c>
      <c r="N226" s="31">
        <v>45217</v>
      </c>
    </row>
    <row r="227" spans="1:14" ht="16" hidden="1" x14ac:dyDescent="0.2">
      <c r="A227" s="19" t="s">
        <v>615</v>
      </c>
      <c r="B227" s="20">
        <v>45215</v>
      </c>
      <c r="C227" s="19" t="str">
        <f>T("330239648:0830374246")</f>
        <v>330239648:0830374246</v>
      </c>
      <c r="D227" s="19" t="str">
        <f>T("CDC127639 DIVFLO")</f>
        <v>CDC127639 DIVFLO</v>
      </c>
      <c r="E227" s="19" t="str">
        <f>T("510146247")</f>
        <v>510146247</v>
      </c>
      <c r="F227" s="19" t="s">
        <v>17</v>
      </c>
      <c r="G227" s="19" t="s">
        <v>14</v>
      </c>
      <c r="H227" s="19" t="str">
        <f>T("607247420")</f>
        <v>607247420</v>
      </c>
      <c r="I227" s="19" t="s">
        <v>616</v>
      </c>
      <c r="J227" s="19" t="s">
        <v>617</v>
      </c>
      <c r="K227" s="19" t="str">
        <f>T("47380")</f>
        <v>47380</v>
      </c>
      <c r="L227" s="19" t="s">
        <v>19</v>
      </c>
      <c r="M227" s="21" t="s">
        <v>0</v>
      </c>
      <c r="N227" s="31">
        <v>45218</v>
      </c>
    </row>
    <row r="228" spans="1:14" ht="16" hidden="1" x14ac:dyDescent="0.2">
      <c r="A228" s="19" t="s">
        <v>618</v>
      </c>
      <c r="B228" s="20">
        <v>45215</v>
      </c>
      <c r="C228" s="19" t="str">
        <f>T("330150880:0830373886")</f>
        <v>330150880:0830373886</v>
      </c>
      <c r="D228" s="19" t="str">
        <f>T("39716")</f>
        <v>39716</v>
      </c>
      <c r="E228" s="19" t="str">
        <f>T("7670013690")</f>
        <v>7670013690</v>
      </c>
      <c r="F228" s="19" t="s">
        <v>17</v>
      </c>
      <c r="G228" s="19" t="s">
        <v>14</v>
      </c>
      <c r="H228" s="19" t="str">
        <f>T("607247433")</f>
        <v>607247433</v>
      </c>
      <c r="I228" s="19" t="s">
        <v>37</v>
      </c>
      <c r="J228" s="19" t="s">
        <v>44</v>
      </c>
      <c r="K228" s="19" t="str">
        <f>T("1230")</f>
        <v>1230</v>
      </c>
      <c r="L228" s="19" t="s">
        <v>38</v>
      </c>
      <c r="M228" s="21" t="s">
        <v>0</v>
      </c>
      <c r="N228" s="31">
        <v>45216</v>
      </c>
    </row>
    <row r="229" spans="1:14" ht="16" hidden="1" x14ac:dyDescent="0.2">
      <c r="A229" s="19" t="s">
        <v>619</v>
      </c>
      <c r="B229" s="20">
        <v>45215</v>
      </c>
      <c r="C229" s="19" t="str">
        <f>T("330239548:0830374199")</f>
        <v>330239548:0830374199</v>
      </c>
      <c r="D229" s="19" t="str">
        <f>T("CDC127926 V0004 S")</f>
        <v>CDC127926 V0004 S</v>
      </c>
      <c r="E229" s="19" t="str">
        <f>T("510146445")</f>
        <v>510146445</v>
      </c>
      <c r="F229" s="19" t="s">
        <v>17</v>
      </c>
      <c r="G229" s="19" t="s">
        <v>14</v>
      </c>
      <c r="H229" s="19" t="str">
        <f>T("607247478")</f>
        <v>607247478</v>
      </c>
      <c r="I229" s="19" t="s">
        <v>620</v>
      </c>
      <c r="J229" s="19" t="s">
        <v>621</v>
      </c>
      <c r="K229" s="19" t="str">
        <f>T("64990")</f>
        <v>64990</v>
      </c>
      <c r="L229" s="19" t="s">
        <v>19</v>
      </c>
      <c r="M229" s="21" t="s">
        <v>0</v>
      </c>
      <c r="N229" s="31">
        <v>45217</v>
      </c>
    </row>
    <row r="230" spans="1:14" ht="16" hidden="1" x14ac:dyDescent="0.2">
      <c r="A230" s="19" t="s">
        <v>622</v>
      </c>
      <c r="B230" s="20">
        <v>45215</v>
      </c>
      <c r="C230" s="19" t="str">
        <f>T("330239603:0830374288")</f>
        <v>330239603:0830374288</v>
      </c>
      <c r="D230" s="19" t="str">
        <f>T("66037934")</f>
        <v>66037934</v>
      </c>
      <c r="E230" s="19" t="str">
        <f>T("560021743")</f>
        <v>560021743</v>
      </c>
      <c r="F230" s="19" t="s">
        <v>17</v>
      </c>
      <c r="G230" s="19" t="s">
        <v>14</v>
      </c>
      <c r="H230" s="19" t="str">
        <f>T("607247481")</f>
        <v>607247481</v>
      </c>
      <c r="I230" s="19" t="s">
        <v>623</v>
      </c>
      <c r="J230" s="19" t="s">
        <v>624</v>
      </c>
      <c r="K230" s="19" t="str">
        <f>T("51216")</f>
        <v>51216</v>
      </c>
      <c r="L230" s="19" t="s">
        <v>625</v>
      </c>
      <c r="M230" s="21" t="s">
        <v>0</v>
      </c>
      <c r="N230" s="31">
        <v>45217</v>
      </c>
    </row>
    <row r="231" spans="1:14" ht="16" hidden="1" x14ac:dyDescent="0.2">
      <c r="A231" s="19" t="s">
        <v>626</v>
      </c>
      <c r="B231" s="20">
        <v>45215</v>
      </c>
      <c r="C231" s="19" t="str">
        <f>T("330239642:0830374241")</f>
        <v>330239642:0830374241</v>
      </c>
      <c r="D231" s="19" t="str">
        <f>T("00100291-2719 393")</f>
        <v>00100291-2719 393</v>
      </c>
      <c r="E231" s="19" t="str">
        <f>T("510146273")</f>
        <v>510146273</v>
      </c>
      <c r="F231" s="19" t="s">
        <v>16</v>
      </c>
      <c r="G231" s="19" t="s">
        <v>14</v>
      </c>
      <c r="H231" s="19" t="str">
        <f>T("607247495")</f>
        <v>607247495</v>
      </c>
      <c r="I231" s="19" t="s">
        <v>76</v>
      </c>
      <c r="J231" s="19" t="s">
        <v>627</v>
      </c>
      <c r="K231" s="19" t="str">
        <f>T("77700")</f>
        <v>77700</v>
      </c>
      <c r="L231" s="19" t="s">
        <v>19</v>
      </c>
      <c r="M231" s="21" t="s">
        <v>0</v>
      </c>
      <c r="N231" s="31">
        <v>45217</v>
      </c>
    </row>
    <row r="232" spans="1:14" ht="16" hidden="1" x14ac:dyDescent="0.2">
      <c r="A232" s="19" t="s">
        <v>628</v>
      </c>
      <c r="B232" s="20">
        <v>45215</v>
      </c>
      <c r="C232" s="19" t="str">
        <f>T("330239643:0830374242")</f>
        <v>330239643:0830374242</v>
      </c>
      <c r="D232" s="19" t="str">
        <f>T("CDC127722 B0004 S")</f>
        <v>CDC127722 B0004 S</v>
      </c>
      <c r="E232" s="19" t="str">
        <f>T("510146271")</f>
        <v>510146271</v>
      </c>
      <c r="F232" s="19" t="s">
        <v>17</v>
      </c>
      <c r="G232" s="19" t="s">
        <v>14</v>
      </c>
      <c r="H232" s="19" t="str">
        <f>T("607247504")</f>
        <v>607247504</v>
      </c>
      <c r="I232" s="19" t="s">
        <v>629</v>
      </c>
      <c r="J232" s="19" t="s">
        <v>630</v>
      </c>
      <c r="K232" s="19" t="str">
        <f>T("40110")</f>
        <v>40110</v>
      </c>
      <c r="L232" s="19" t="s">
        <v>19</v>
      </c>
      <c r="M232" s="21" t="s">
        <v>0</v>
      </c>
      <c r="N232" s="31">
        <v>45218</v>
      </c>
    </row>
    <row r="233" spans="1:14" ht="16" hidden="1" x14ac:dyDescent="0.2">
      <c r="A233" s="19" t="s">
        <v>631</v>
      </c>
      <c r="B233" s="20">
        <v>45215</v>
      </c>
      <c r="C233" s="19" t="str">
        <f>T("330239593:0830374280")</f>
        <v>330239593:0830374280</v>
      </c>
      <c r="D233" s="19" t="str">
        <f>T("Vimax burgas 82")</f>
        <v>Vimax burgas 82</v>
      </c>
      <c r="E233" s="19" t="str">
        <f>T("560021805")</f>
        <v>560021805</v>
      </c>
      <c r="F233" s="19" t="s">
        <v>17</v>
      </c>
      <c r="G233" s="19" t="s">
        <v>14</v>
      </c>
      <c r="H233" s="19" t="str">
        <f>T("607247518")</f>
        <v>607247518</v>
      </c>
      <c r="I233" s="19" t="s">
        <v>632</v>
      </c>
      <c r="J233" s="19" t="s">
        <v>633</v>
      </c>
      <c r="K233" s="19" t="str">
        <f>T("1784")</f>
        <v>1784</v>
      </c>
      <c r="L233" s="19" t="s">
        <v>634</v>
      </c>
      <c r="M233" s="21" t="s">
        <v>0</v>
      </c>
      <c r="N233" s="31">
        <v>45216</v>
      </c>
    </row>
    <row r="234" spans="1:14" ht="16" x14ac:dyDescent="0.2">
      <c r="A234" s="19" t="s">
        <v>635</v>
      </c>
      <c r="B234" s="20">
        <v>45215</v>
      </c>
      <c r="C234" s="19" t="str">
        <f>T("330239449:0830374122")</f>
        <v>330239449:0830374122</v>
      </c>
      <c r="D234" s="19" t="str">
        <f>T("2023 POLLA 2")</f>
        <v>2023 POLLA 2</v>
      </c>
      <c r="E234" s="19" t="str">
        <f>T("560021828")</f>
        <v>560021828</v>
      </c>
      <c r="F234" s="19" t="s">
        <v>16</v>
      </c>
      <c r="G234" s="19" t="s">
        <v>14</v>
      </c>
      <c r="H234" s="19" t="str">
        <f>T("607247521")</f>
        <v>607247521</v>
      </c>
      <c r="I234" s="19" t="s">
        <v>636</v>
      </c>
      <c r="J234" s="19" t="s">
        <v>637</v>
      </c>
      <c r="K234" s="19" t="str">
        <f>T("83042")</f>
        <v>83042</v>
      </c>
      <c r="L234" s="19" t="s">
        <v>18</v>
      </c>
      <c r="M234" s="21" t="s">
        <v>1</v>
      </c>
      <c r="N234" s="21"/>
    </row>
    <row r="235" spans="1:14" ht="16" hidden="1" x14ac:dyDescent="0.2">
      <c r="A235" s="19" t="s">
        <v>638</v>
      </c>
      <c r="B235" s="20">
        <v>45215</v>
      </c>
      <c r="C235" s="19" t="str">
        <f>T("330239541:0830374192")</f>
        <v>330239541:0830374192</v>
      </c>
      <c r="D235" s="19" t="str">
        <f>T("WC FIVE ENERGIE")</f>
        <v>WC FIVE ENERGIE</v>
      </c>
      <c r="E235" s="19" t="str">
        <f>T("510146553")</f>
        <v>510146553</v>
      </c>
      <c r="F235" s="19" t="s">
        <v>16</v>
      </c>
      <c r="G235" s="19" t="s">
        <v>14</v>
      </c>
      <c r="H235" s="19" t="str">
        <f>T("607247535")</f>
        <v>607247535</v>
      </c>
      <c r="I235" s="19" t="s">
        <v>22</v>
      </c>
      <c r="J235" s="19" t="s">
        <v>639</v>
      </c>
      <c r="K235" s="19" t="str">
        <f>T("26000")</f>
        <v>26000</v>
      </c>
      <c r="L235" s="19" t="s">
        <v>19</v>
      </c>
      <c r="M235" s="21" t="s">
        <v>0</v>
      </c>
      <c r="N235" s="31">
        <v>45216</v>
      </c>
    </row>
    <row r="236" spans="1:14" ht="16" hidden="1" x14ac:dyDescent="0.2">
      <c r="A236" s="19" t="s">
        <v>640</v>
      </c>
      <c r="B236" s="20">
        <v>45215</v>
      </c>
      <c r="C236" s="19" t="str">
        <f>T("330239630:0830374233")</f>
        <v>330239630:0830374233</v>
      </c>
      <c r="D236" s="19" t="str">
        <f>T("161615")</f>
        <v>161615</v>
      </c>
      <c r="E236" s="19" t="str">
        <f>T("510146488")</f>
        <v>510146488</v>
      </c>
      <c r="F236" s="19" t="s">
        <v>17</v>
      </c>
      <c r="G236" s="19" t="s">
        <v>14</v>
      </c>
      <c r="H236" s="19" t="str">
        <f>T("607247549")</f>
        <v>607247549</v>
      </c>
      <c r="I236" s="19" t="s">
        <v>641</v>
      </c>
      <c r="J236" s="19" t="s">
        <v>642</v>
      </c>
      <c r="K236" s="19" t="str">
        <f>T("20137")</f>
        <v>20137</v>
      </c>
      <c r="L236" s="19" t="s">
        <v>19</v>
      </c>
      <c r="M236" s="21" t="s">
        <v>0</v>
      </c>
      <c r="N236" s="24">
        <v>45219</v>
      </c>
    </row>
    <row r="237" spans="1:14" ht="16" hidden="1" x14ac:dyDescent="0.2">
      <c r="A237" s="19" t="s">
        <v>643</v>
      </c>
      <c r="B237" s="20">
        <v>45215</v>
      </c>
      <c r="C237" s="19" t="str">
        <f>T("330239467:0830374135")</f>
        <v>330239467:0830374135</v>
      </c>
      <c r="D237" s="19" t="str">
        <f>T("WC 62-2023")</f>
        <v>WC 62-2023</v>
      </c>
      <c r="E237" s="19" t="str">
        <f>T("560021951")</f>
        <v>560021951</v>
      </c>
      <c r="F237" s="19" t="s">
        <v>16</v>
      </c>
      <c r="G237" s="19" t="s">
        <v>14</v>
      </c>
      <c r="H237" s="19" t="str">
        <f>T("607247552")</f>
        <v>607247552</v>
      </c>
      <c r="I237" s="19" t="s">
        <v>644</v>
      </c>
      <c r="J237" s="19" t="s">
        <v>644</v>
      </c>
      <c r="K237" s="19" t="str">
        <f>T("00043")</f>
        <v>00043</v>
      </c>
      <c r="L237" s="19" t="s">
        <v>18</v>
      </c>
      <c r="M237" s="21" t="s">
        <v>0</v>
      </c>
      <c r="N237" s="31">
        <v>45218</v>
      </c>
    </row>
    <row r="238" spans="1:14" ht="16" hidden="1" x14ac:dyDescent="0.2">
      <c r="A238" s="19" t="s">
        <v>645</v>
      </c>
      <c r="B238" s="20">
        <v>45215</v>
      </c>
      <c r="C238" s="19" t="str">
        <f>T("330239640:0830374239")</f>
        <v>330239640:0830374239</v>
      </c>
      <c r="D238" s="19" t="str">
        <f>T("00100292-8041")</f>
        <v>00100292-8041</v>
      </c>
      <c r="E238" s="19" t="str">
        <f>T("510146295")</f>
        <v>510146295</v>
      </c>
      <c r="F238" s="19" t="s">
        <v>17</v>
      </c>
      <c r="G238" s="19" t="s">
        <v>14</v>
      </c>
      <c r="H238" s="19" t="str">
        <f>T("607247566")</f>
        <v>607247566</v>
      </c>
      <c r="I238" s="19" t="s">
        <v>394</v>
      </c>
      <c r="J238" s="19" t="s">
        <v>41</v>
      </c>
      <c r="K238" s="19" t="str">
        <f>T("59370")</f>
        <v>59370</v>
      </c>
      <c r="L238" s="19" t="s">
        <v>19</v>
      </c>
      <c r="M238" s="21" t="s">
        <v>0</v>
      </c>
      <c r="N238" s="31">
        <v>45216</v>
      </c>
    </row>
    <row r="239" spans="1:14" ht="16" hidden="1" x14ac:dyDescent="0.2">
      <c r="A239" s="19" t="s">
        <v>646</v>
      </c>
      <c r="B239" s="20">
        <v>45215</v>
      </c>
      <c r="C239" s="19" t="str">
        <f>T("330239555:0830374227")</f>
        <v>330239555:0830374227</v>
      </c>
      <c r="D239" s="19" t="str">
        <f>T("161660")</f>
        <v>161660</v>
      </c>
      <c r="E239" s="19" t="str">
        <f>T("510146495")</f>
        <v>510146495</v>
      </c>
      <c r="F239" s="19" t="s">
        <v>17</v>
      </c>
      <c r="G239" s="19" t="s">
        <v>14</v>
      </c>
      <c r="H239" s="19" t="str">
        <f>T("607247570")</f>
        <v>607247570</v>
      </c>
      <c r="I239" s="19" t="s">
        <v>647</v>
      </c>
      <c r="J239" s="19" t="s">
        <v>648</v>
      </c>
      <c r="K239" s="19" t="str">
        <f>T("58210")</f>
        <v>58210</v>
      </c>
      <c r="L239" s="19" t="s">
        <v>19</v>
      </c>
      <c r="M239" s="21" t="s">
        <v>0</v>
      </c>
      <c r="N239" s="31">
        <v>45217</v>
      </c>
    </row>
    <row r="240" spans="1:14" ht="16" hidden="1" x14ac:dyDescent="0.2">
      <c r="A240" s="19" t="s">
        <v>649</v>
      </c>
      <c r="B240" s="20">
        <v>45215</v>
      </c>
      <c r="C240" s="19" t="str">
        <f>T("330239539:0830374190")</f>
        <v>330239539:0830374190</v>
      </c>
      <c r="D240" s="19" t="str">
        <f>T("WC ORTHEZ")</f>
        <v>WC ORTHEZ</v>
      </c>
      <c r="E240" s="19" t="str">
        <f>T("510146567")</f>
        <v>510146567</v>
      </c>
      <c r="F240" s="19" t="s">
        <v>17</v>
      </c>
      <c r="G240" s="19" t="s">
        <v>14</v>
      </c>
      <c r="H240" s="19" t="str">
        <f>T("607247623")</f>
        <v>607247623</v>
      </c>
      <c r="I240" s="19" t="s">
        <v>650</v>
      </c>
      <c r="J240" s="19" t="s">
        <v>651</v>
      </c>
      <c r="K240" s="19" t="str">
        <f>T("64140")</f>
        <v>64140</v>
      </c>
      <c r="L240" s="19" t="s">
        <v>19</v>
      </c>
      <c r="M240" s="21" t="s">
        <v>0</v>
      </c>
      <c r="N240" s="31">
        <v>45217</v>
      </c>
    </row>
    <row r="241" spans="1:15" ht="16" hidden="1" x14ac:dyDescent="0.2">
      <c r="A241" s="19" t="s">
        <v>652</v>
      </c>
      <c r="B241" s="20">
        <v>45215</v>
      </c>
      <c r="C241" s="19" t="str">
        <f>T("330239602:0830374287")</f>
        <v>330239602:0830374287</v>
      </c>
      <c r="D241" s="19" t="str">
        <f>T("0926Raktar")</f>
        <v>0926Raktar</v>
      </c>
      <c r="E241" s="19" t="str">
        <f>T("560021763")</f>
        <v>560021763</v>
      </c>
      <c r="F241" s="19" t="s">
        <v>17</v>
      </c>
      <c r="G241" s="19" t="s">
        <v>14</v>
      </c>
      <c r="H241" s="19" t="str">
        <f>T("607247610")</f>
        <v>607247610</v>
      </c>
      <c r="I241" s="19" t="s">
        <v>42</v>
      </c>
      <c r="J241" s="19" t="s">
        <v>653</v>
      </c>
      <c r="K241" s="19" t="str">
        <f>T("1131")</f>
        <v>1131</v>
      </c>
      <c r="L241" s="19" t="s">
        <v>43</v>
      </c>
      <c r="M241" s="21" t="s">
        <v>0</v>
      </c>
      <c r="N241" s="31">
        <v>45216</v>
      </c>
    </row>
    <row r="242" spans="1:15" ht="16" hidden="1" x14ac:dyDescent="0.2">
      <c r="A242" s="19" t="s">
        <v>654</v>
      </c>
      <c r="B242" s="20">
        <v>45215</v>
      </c>
      <c r="C242" s="19" t="str">
        <f>T("330239638:0830374237")</f>
        <v>330239638:0830374237</v>
      </c>
      <c r="D242" s="19" t="str">
        <f>T("00100301-SAV FABR")</f>
        <v>00100301-SAV FABR</v>
      </c>
      <c r="E242" s="19" t="str">
        <f>T("510146298")</f>
        <v>510146298</v>
      </c>
      <c r="F242" s="19" t="s">
        <v>17</v>
      </c>
      <c r="G242" s="19" t="s">
        <v>14</v>
      </c>
      <c r="H242" s="19" t="str">
        <f>T("607247606")</f>
        <v>607247606</v>
      </c>
      <c r="I242" s="19" t="s">
        <v>353</v>
      </c>
      <c r="J242" s="19" t="s">
        <v>435</v>
      </c>
      <c r="K242" s="19" t="str">
        <f>T("83160")</f>
        <v>83160</v>
      </c>
      <c r="L242" s="19" t="s">
        <v>19</v>
      </c>
      <c r="M242" s="21" t="s">
        <v>0</v>
      </c>
      <c r="N242" s="31">
        <v>45217</v>
      </c>
    </row>
    <row r="243" spans="1:15" ht="16" hidden="1" x14ac:dyDescent="0.2">
      <c r="A243" s="19" t="s">
        <v>655</v>
      </c>
      <c r="B243" s="20">
        <v>45215</v>
      </c>
      <c r="C243" s="19" t="str">
        <f>T("330239540:0830374191")</f>
        <v>330239540:0830374191</v>
      </c>
      <c r="D243" s="19" t="str">
        <f>T("WC Residence Laur")</f>
        <v>WC Residence Laur</v>
      </c>
      <c r="E243" s="19" t="str">
        <f>T("510146566")</f>
        <v>510146566</v>
      </c>
      <c r="F243" s="19" t="s">
        <v>16</v>
      </c>
      <c r="G243" s="19" t="s">
        <v>14</v>
      </c>
      <c r="H243" s="19" t="str">
        <f>T("607247637")</f>
        <v>607247637</v>
      </c>
      <c r="I243" s="19" t="s">
        <v>656</v>
      </c>
      <c r="J243" s="19" t="s">
        <v>657</v>
      </c>
      <c r="K243" s="19" t="str">
        <f>T("40100")</f>
        <v>40100</v>
      </c>
      <c r="L243" s="19" t="s">
        <v>19</v>
      </c>
      <c r="M243" s="21" t="s">
        <v>0</v>
      </c>
      <c r="N243" s="31">
        <v>45218</v>
      </c>
    </row>
    <row r="244" spans="1:15" ht="16" hidden="1" x14ac:dyDescent="0.2">
      <c r="A244" s="19" t="s">
        <v>658</v>
      </c>
      <c r="B244" s="20">
        <v>45215</v>
      </c>
      <c r="C244" s="19" t="str">
        <f>T("330239514:0830374163")</f>
        <v>330239514:0830374163</v>
      </c>
      <c r="D244" s="19" t="str">
        <f>T("Naschi Argan")</f>
        <v>Naschi Argan</v>
      </c>
      <c r="E244" s="19" t="str">
        <f>T("560021756")</f>
        <v>560021756</v>
      </c>
      <c r="F244" s="19" t="s">
        <v>16</v>
      </c>
      <c r="G244" s="19" t="s">
        <v>14</v>
      </c>
      <c r="H244" s="19" t="str">
        <f>T("607247645")</f>
        <v>607247645</v>
      </c>
      <c r="I244" s="19" t="s">
        <v>133</v>
      </c>
      <c r="J244" s="19" t="s">
        <v>659</v>
      </c>
      <c r="K244" s="19" t="str">
        <f>T("16139")</f>
        <v>16139</v>
      </c>
      <c r="L244" s="19" t="s">
        <v>18</v>
      </c>
      <c r="M244" s="21" t="s">
        <v>0</v>
      </c>
      <c r="N244" s="31">
        <v>45217</v>
      </c>
    </row>
    <row r="245" spans="1:15" ht="16" hidden="1" x14ac:dyDescent="0.2">
      <c r="A245" s="19" t="s">
        <v>660</v>
      </c>
      <c r="B245" s="20">
        <v>45215</v>
      </c>
      <c r="C245" s="19" t="str">
        <f>T("330239599:0830374284")</f>
        <v>330239599:0830374284</v>
      </c>
      <c r="D245" s="19" t="str">
        <f>T("ZajaczLaszlo")</f>
        <v>ZajaczLaszlo</v>
      </c>
      <c r="E245" s="19" t="str">
        <f>T("560021775")</f>
        <v>560021775</v>
      </c>
      <c r="F245" s="19" t="s">
        <v>17</v>
      </c>
      <c r="G245" s="19" t="s">
        <v>14</v>
      </c>
      <c r="H245" s="19" t="str">
        <f>T("607247668")</f>
        <v>607247668</v>
      </c>
      <c r="I245" s="19" t="s">
        <v>42</v>
      </c>
      <c r="J245" s="19" t="s">
        <v>653</v>
      </c>
      <c r="K245" s="19" t="str">
        <f>T("1131")</f>
        <v>1131</v>
      </c>
      <c r="L245" s="19" t="s">
        <v>43</v>
      </c>
      <c r="M245" s="21" t="s">
        <v>0</v>
      </c>
      <c r="N245" s="31">
        <v>45216</v>
      </c>
    </row>
    <row r="246" spans="1:15" ht="16" hidden="1" x14ac:dyDescent="0.2">
      <c r="A246" s="19" t="s">
        <v>661</v>
      </c>
      <c r="B246" s="20">
        <v>45215</v>
      </c>
      <c r="C246" s="19" t="str">
        <f>T("330239597:0830374282")</f>
        <v>330239597:0830374282</v>
      </c>
      <c r="D246" s="19" t="str">
        <f>T("66037934")</f>
        <v>66037934</v>
      </c>
      <c r="E246" s="19" t="str">
        <f>T("560021783")</f>
        <v>560021783</v>
      </c>
      <c r="F246" s="19" t="s">
        <v>16</v>
      </c>
      <c r="G246" s="19" t="s">
        <v>14</v>
      </c>
      <c r="H246" s="19" t="str">
        <f>T("607247671")</f>
        <v>607247671</v>
      </c>
      <c r="I246" s="19" t="s">
        <v>623</v>
      </c>
      <c r="J246" s="19" t="s">
        <v>624</v>
      </c>
      <c r="K246" s="19" t="str">
        <f>T("51216")</f>
        <v>51216</v>
      </c>
      <c r="L246" s="19" t="s">
        <v>625</v>
      </c>
      <c r="M246" s="21" t="s">
        <v>0</v>
      </c>
      <c r="N246" s="31">
        <v>45219</v>
      </c>
    </row>
    <row r="247" spans="1:15" ht="16" x14ac:dyDescent="0.2">
      <c r="A247" s="19" t="s">
        <v>662</v>
      </c>
      <c r="B247" s="20">
        <v>45215</v>
      </c>
      <c r="C247" s="19" t="str">
        <f>T("330239551:0830374201")</f>
        <v>330239551:0830374201</v>
      </c>
      <c r="D247" s="19" t="str">
        <f>T("CDC127926 V0004 S")</f>
        <v>CDC127926 V0004 S</v>
      </c>
      <c r="E247" s="19" t="str">
        <f>T("510146440")</f>
        <v>510146440</v>
      </c>
      <c r="F247" s="19" t="s">
        <v>17</v>
      </c>
      <c r="G247" s="19" t="s">
        <v>14</v>
      </c>
      <c r="H247" s="19" t="str">
        <f>T("607247685")</f>
        <v>607247685</v>
      </c>
      <c r="I247" s="19" t="s">
        <v>620</v>
      </c>
      <c r="J247" s="19" t="s">
        <v>621</v>
      </c>
      <c r="K247" s="19" t="str">
        <f>T("64990")</f>
        <v>64990</v>
      </c>
      <c r="L247" s="19" t="s">
        <v>19</v>
      </c>
      <c r="M247" s="21" t="s">
        <v>1</v>
      </c>
      <c r="N247" s="21"/>
    </row>
    <row r="248" spans="1:15" ht="16" hidden="1" x14ac:dyDescent="0.2">
      <c r="A248" s="19" t="s">
        <v>663</v>
      </c>
      <c r="B248" s="20">
        <v>45215</v>
      </c>
      <c r="C248" s="19" t="str">
        <f>T("330239538:0830374189")</f>
        <v>330239538:0830374189</v>
      </c>
      <c r="D248" s="19" t="str">
        <f>T("WC CHRONODRIVE BA")</f>
        <v>WC CHRONODRIVE BA</v>
      </c>
      <c r="E248" s="19" t="str">
        <f>T("510146572")</f>
        <v>510146572</v>
      </c>
      <c r="F248" s="19" t="s">
        <v>16</v>
      </c>
      <c r="G248" s="19" t="s">
        <v>14</v>
      </c>
      <c r="H248" s="19" t="str">
        <f>T("607247739")</f>
        <v>607247739</v>
      </c>
      <c r="I248" s="19" t="s">
        <v>664</v>
      </c>
      <c r="J248" s="19" t="s">
        <v>665</v>
      </c>
      <c r="K248" s="19" t="str">
        <f>T("77170")</f>
        <v>77170</v>
      </c>
      <c r="L248" s="19" t="s">
        <v>19</v>
      </c>
      <c r="M248" s="21" t="s">
        <v>0</v>
      </c>
      <c r="N248" s="31">
        <v>45217</v>
      </c>
    </row>
    <row r="249" spans="1:15" ht="16" hidden="1" x14ac:dyDescent="0.2">
      <c r="A249" s="19" t="s">
        <v>666</v>
      </c>
      <c r="B249" s="20">
        <v>45215</v>
      </c>
      <c r="C249" s="19" t="str">
        <f>T("330239554:0830374204")</f>
        <v>330239554:0830374204</v>
      </c>
      <c r="D249" s="19" t="str">
        <f>T("161661")</f>
        <v>161661</v>
      </c>
      <c r="E249" s="19" t="str">
        <f>T("510146497")</f>
        <v>510146497</v>
      </c>
      <c r="F249" s="19" t="s">
        <v>17</v>
      </c>
      <c r="G249" s="19" t="s">
        <v>14</v>
      </c>
      <c r="H249" s="19" t="str">
        <f>T("607247708")</f>
        <v>607247708</v>
      </c>
      <c r="I249" s="19" t="s">
        <v>667</v>
      </c>
      <c r="J249" s="19" t="s">
        <v>668</v>
      </c>
      <c r="K249" s="19" t="str">
        <f>T("83400")</f>
        <v>83400</v>
      </c>
      <c r="L249" s="19" t="s">
        <v>19</v>
      </c>
      <c r="M249" s="21" t="s">
        <v>0</v>
      </c>
      <c r="N249" s="31">
        <v>45217</v>
      </c>
    </row>
    <row r="250" spans="1:15" ht="16" x14ac:dyDescent="0.2">
      <c r="A250" s="19" t="s">
        <v>669</v>
      </c>
      <c r="B250" s="20">
        <v>45215</v>
      </c>
      <c r="C250" s="19" t="str">
        <f>T("330239657:0830374252")</f>
        <v>330239657:0830374252</v>
      </c>
      <c r="D250" s="19" t="str">
        <f>T("563802")</f>
        <v>563802</v>
      </c>
      <c r="E250" s="19" t="str">
        <f>T("510146657")</f>
        <v>510146657</v>
      </c>
      <c r="F250" s="19" t="s">
        <v>17</v>
      </c>
      <c r="G250" s="19" t="s">
        <v>14</v>
      </c>
      <c r="H250" s="19" t="str">
        <f>T("607247711")</f>
        <v>607247711</v>
      </c>
      <c r="I250" s="19" t="s">
        <v>670</v>
      </c>
      <c r="J250" s="19" t="s">
        <v>671</v>
      </c>
      <c r="K250" s="19" t="str">
        <f>T("20137")</f>
        <v>20137</v>
      </c>
      <c r="L250" s="19" t="s">
        <v>19</v>
      </c>
      <c r="M250" s="21" t="s">
        <v>1</v>
      </c>
      <c r="N250" s="21"/>
    </row>
    <row r="251" spans="1:15" ht="16" hidden="1" x14ac:dyDescent="0.2">
      <c r="A251" s="19" t="s">
        <v>672</v>
      </c>
      <c r="B251" s="20">
        <v>45215</v>
      </c>
      <c r="C251" s="19" t="str">
        <f>T("330239649:0830374247")</f>
        <v>330239649:0830374247</v>
      </c>
      <c r="D251" s="19" t="str">
        <f>T("C2309235 HYD 44BC")</f>
        <v>C2309235 HYD 44BC</v>
      </c>
      <c r="E251" s="19" t="str">
        <f>T("510146049")</f>
        <v>510146049</v>
      </c>
      <c r="F251" s="19" t="s">
        <v>16</v>
      </c>
      <c r="G251" s="19" t="s">
        <v>14</v>
      </c>
      <c r="H251" s="19" t="str">
        <f>T("607247725")</f>
        <v>607247725</v>
      </c>
      <c r="I251" s="19" t="s">
        <v>299</v>
      </c>
      <c r="J251" s="19" t="s">
        <v>673</v>
      </c>
      <c r="K251" s="19" t="str">
        <f>T("37303")</f>
        <v>37303</v>
      </c>
      <c r="L251" s="19" t="s">
        <v>19</v>
      </c>
      <c r="M251" s="21" t="s">
        <v>0</v>
      </c>
      <c r="N251" s="31">
        <v>45217</v>
      </c>
    </row>
    <row r="252" spans="1:15" ht="16" hidden="1" x14ac:dyDescent="0.2">
      <c r="A252" s="19" t="s">
        <v>674</v>
      </c>
      <c r="B252" s="20">
        <v>45215</v>
      </c>
      <c r="C252" s="19" t="str">
        <f>T("330239598:0830374283")</f>
        <v>330239598:0830374283</v>
      </c>
      <c r="D252" s="19" t="str">
        <f>T("PO-2667")</f>
        <v>PO-2667</v>
      </c>
      <c r="E252" s="19" t="str">
        <f>T("560021779")</f>
        <v>560021779</v>
      </c>
      <c r="F252" s="19" t="s">
        <v>17</v>
      </c>
      <c r="G252" s="19" t="s">
        <v>14</v>
      </c>
      <c r="H252" s="19" t="str">
        <f>T("607247742")</f>
        <v>607247742</v>
      </c>
      <c r="I252" s="19" t="s">
        <v>675</v>
      </c>
      <c r="J252" s="19" t="s">
        <v>676</v>
      </c>
      <c r="K252" s="19" t="str">
        <f>T("7000")</f>
        <v>7000</v>
      </c>
      <c r="L252" s="19" t="s">
        <v>634</v>
      </c>
      <c r="M252" s="21" t="s">
        <v>0</v>
      </c>
      <c r="N252" s="31">
        <v>45216</v>
      </c>
    </row>
    <row r="253" spans="1:15" ht="16" hidden="1" x14ac:dyDescent="0.2">
      <c r="A253" s="19" t="s">
        <v>677</v>
      </c>
      <c r="B253" s="20">
        <v>45215</v>
      </c>
      <c r="C253" s="19" t="str">
        <f>T("330239442:0830374118")</f>
        <v>330239442:0830374118</v>
      </c>
      <c r="D253" s="19" t="str">
        <f>T("350")</f>
        <v>350</v>
      </c>
      <c r="E253" s="19" t="str">
        <f>T("560021788")</f>
        <v>560021788</v>
      </c>
      <c r="F253" s="19" t="s">
        <v>16</v>
      </c>
      <c r="G253" s="19" t="s">
        <v>14</v>
      </c>
      <c r="H253" s="19" t="str">
        <f>T("607247756")</f>
        <v>607247756</v>
      </c>
      <c r="I253" s="19" t="s">
        <v>678</v>
      </c>
      <c r="J253" s="19" t="s">
        <v>679</v>
      </c>
      <c r="K253" s="19" t="str">
        <f>T("63821")</f>
        <v>63821</v>
      </c>
      <c r="L253" s="19" t="s">
        <v>18</v>
      </c>
      <c r="M253" s="21" t="s">
        <v>0</v>
      </c>
      <c r="N253" s="31">
        <v>45218</v>
      </c>
    </row>
    <row r="254" spans="1:15" ht="16" hidden="1" x14ac:dyDescent="0.2">
      <c r="A254" s="19" t="s">
        <v>680</v>
      </c>
      <c r="B254" s="20">
        <v>45215</v>
      </c>
      <c r="C254" s="19" t="str">
        <f>T("330239608:0830374291")</f>
        <v>330239608:0830374291</v>
      </c>
      <c r="D254" s="19" t="str">
        <f>T("66037934")</f>
        <v>66037934</v>
      </c>
      <c r="E254" s="19" t="str">
        <f>T("560021701")</f>
        <v>560021701</v>
      </c>
      <c r="F254" s="19" t="s">
        <v>17</v>
      </c>
      <c r="G254" s="19" t="s">
        <v>14</v>
      </c>
      <c r="H254" s="19" t="str">
        <f>T("607247773")</f>
        <v>607247773</v>
      </c>
      <c r="I254" s="19" t="s">
        <v>623</v>
      </c>
      <c r="J254" s="19" t="s">
        <v>624</v>
      </c>
      <c r="K254" s="19" t="str">
        <f>T("51216")</f>
        <v>51216</v>
      </c>
      <c r="L254" s="19" t="s">
        <v>625</v>
      </c>
      <c r="M254" s="21" t="s">
        <v>0</v>
      </c>
      <c r="N254" s="31">
        <v>45217</v>
      </c>
    </row>
    <row r="255" spans="1:15" ht="16" hidden="1" x14ac:dyDescent="0.2">
      <c r="A255" s="19" t="s">
        <v>681</v>
      </c>
      <c r="B255" s="20">
        <v>45215</v>
      </c>
      <c r="C255" s="19" t="str">
        <f>T("330239536:0830374188")</f>
        <v>330239536:0830374188</v>
      </c>
      <c r="D255" s="19" t="str">
        <f>T("CDC1277765 MB0008")</f>
        <v>CDC1277765 MB0008</v>
      </c>
      <c r="E255" s="19" t="str">
        <f>T("510146312")</f>
        <v>510146312</v>
      </c>
      <c r="F255" s="19" t="s">
        <v>17</v>
      </c>
      <c r="G255" s="19" t="s">
        <v>14</v>
      </c>
      <c r="H255" s="19" t="str">
        <f>T("607247787")</f>
        <v>607247787</v>
      </c>
      <c r="I255" s="19" t="s">
        <v>682</v>
      </c>
      <c r="J255" s="19" t="s">
        <v>683</v>
      </c>
      <c r="K255" s="19" t="str">
        <f>T("33340")</f>
        <v>33340</v>
      </c>
      <c r="L255" s="19" t="s">
        <v>19</v>
      </c>
      <c r="M255" s="21" t="s">
        <v>0</v>
      </c>
      <c r="N255" s="31">
        <v>45217</v>
      </c>
      <c r="O255" s="1" t="s">
        <v>66</v>
      </c>
    </row>
    <row r="256" spans="1:15" ht="16" hidden="1" x14ac:dyDescent="0.2">
      <c r="A256" s="19" t="s">
        <v>684</v>
      </c>
      <c r="B256" s="20">
        <v>45215</v>
      </c>
      <c r="C256" s="19" t="str">
        <f>T("330239522:0830374205")</f>
        <v>330239522:0830374205</v>
      </c>
      <c r="D256" s="19" t="str">
        <f>T("Ahlsell P.O. 3105")</f>
        <v>Ahlsell P.O. 3105</v>
      </c>
      <c r="E256" s="19" t="str">
        <f>T("540012315")</f>
        <v>540012315</v>
      </c>
      <c r="F256" s="19" t="s">
        <v>17</v>
      </c>
      <c r="G256" s="19" t="s">
        <v>14</v>
      </c>
      <c r="H256" s="19" t="str">
        <f>T("607247795")</f>
        <v>607247795</v>
      </c>
      <c r="I256" s="19" t="s">
        <v>685</v>
      </c>
      <c r="J256" s="19" t="s">
        <v>686</v>
      </c>
      <c r="K256" s="19" t="str">
        <f>T("421 31")</f>
        <v>421 31</v>
      </c>
      <c r="L256" s="19" t="s">
        <v>687</v>
      </c>
      <c r="M256" s="21" t="s">
        <v>0</v>
      </c>
      <c r="N256" s="31">
        <v>45216</v>
      </c>
    </row>
    <row r="257" spans="1:14" ht="16" hidden="1" x14ac:dyDescent="0.2">
      <c r="A257" s="19" t="s">
        <v>688</v>
      </c>
      <c r="B257" s="20">
        <v>45215</v>
      </c>
      <c r="C257" s="19" t="str">
        <f>T("330239658:0830374253")</f>
        <v>330239658:0830374253</v>
      </c>
      <c r="D257" s="19" t="str">
        <f>T("161640")</f>
        <v>161640</v>
      </c>
      <c r="E257" s="19" t="str">
        <f>T("510146639")</f>
        <v>510146639</v>
      </c>
      <c r="F257" s="19" t="s">
        <v>16</v>
      </c>
      <c r="G257" s="19" t="s">
        <v>14</v>
      </c>
      <c r="H257" s="19" t="str">
        <f>T("607247800")</f>
        <v>607247800</v>
      </c>
      <c r="I257" s="19" t="s">
        <v>670</v>
      </c>
      <c r="J257" s="19" t="s">
        <v>689</v>
      </c>
      <c r="K257" s="19" t="str">
        <f>T("20600")</f>
        <v>20600</v>
      </c>
      <c r="L257" s="19" t="s">
        <v>19</v>
      </c>
      <c r="M257" s="21" t="s">
        <v>0</v>
      </c>
      <c r="N257" s="31">
        <v>45218</v>
      </c>
    </row>
    <row r="258" spans="1:14" ht="16" hidden="1" x14ac:dyDescent="0.2">
      <c r="A258" s="19" t="s">
        <v>690</v>
      </c>
      <c r="B258" s="20">
        <v>45215</v>
      </c>
      <c r="C258" s="19" t="str">
        <f>T("330239560:0830374258")</f>
        <v>330239560:0830374258</v>
      </c>
      <c r="D258" s="19" t="str">
        <f>T("31107439")</f>
        <v>31107439</v>
      </c>
      <c r="E258" s="19" t="str">
        <f>T("540012355")</f>
        <v>540012355</v>
      </c>
      <c r="F258" s="19" t="s">
        <v>17</v>
      </c>
      <c r="G258" s="19" t="s">
        <v>14</v>
      </c>
      <c r="H258" s="19" t="str">
        <f>T("607247813")</f>
        <v>607247813</v>
      </c>
      <c r="I258" s="19" t="s">
        <v>691</v>
      </c>
      <c r="J258" s="19" t="s">
        <v>692</v>
      </c>
      <c r="K258" s="19" t="str">
        <f>T("694 35")</f>
        <v>694 35</v>
      </c>
      <c r="L258" s="19" t="s">
        <v>687</v>
      </c>
      <c r="M258" s="21" t="s">
        <v>0</v>
      </c>
      <c r="N258" s="31">
        <v>45216</v>
      </c>
    </row>
    <row r="259" spans="1:14" ht="16" hidden="1" x14ac:dyDescent="0.2">
      <c r="A259" s="19" t="s">
        <v>693</v>
      </c>
      <c r="B259" s="20">
        <v>45215</v>
      </c>
      <c r="C259" s="19" t="str">
        <f>T("330239470:0830374138")</f>
        <v>330239470:0830374138</v>
      </c>
      <c r="D259" s="19" t="str">
        <f>T("04102023")</f>
        <v>04102023</v>
      </c>
      <c r="E259" s="19" t="str">
        <f>T("560021857")</f>
        <v>560021857</v>
      </c>
      <c r="F259" s="19" t="s">
        <v>16</v>
      </c>
      <c r="G259" s="19" t="s">
        <v>14</v>
      </c>
      <c r="H259" s="19" t="str">
        <f>T("607247827")</f>
        <v>607247827</v>
      </c>
      <c r="I259" s="19" t="s">
        <v>694</v>
      </c>
      <c r="J259" s="19" t="s">
        <v>695</v>
      </c>
      <c r="K259" s="19" t="str">
        <f>T("42100")</f>
        <v>42100</v>
      </c>
      <c r="L259" s="19" t="s">
        <v>18</v>
      </c>
      <c r="M259" s="21" t="s">
        <v>0</v>
      </c>
      <c r="N259" s="31">
        <v>45217</v>
      </c>
    </row>
    <row r="260" spans="1:14" ht="16" hidden="1" x14ac:dyDescent="0.2">
      <c r="A260" s="19" t="s">
        <v>696</v>
      </c>
      <c r="B260" s="20">
        <v>45215</v>
      </c>
      <c r="C260" s="19" t="str">
        <f>T("330239639:0830374238")</f>
        <v>330239639:0830374238</v>
      </c>
      <c r="D260" s="19" t="str">
        <f>T("00100294-11316")</f>
        <v>00100294-11316</v>
      </c>
      <c r="E260" s="19" t="str">
        <f>T("510146296")</f>
        <v>510146296</v>
      </c>
      <c r="F260" s="19" t="s">
        <v>17</v>
      </c>
      <c r="G260" s="19" t="s">
        <v>14</v>
      </c>
      <c r="H260" s="19" t="str">
        <f>T("607247835")</f>
        <v>607247835</v>
      </c>
      <c r="I260" s="19" t="s">
        <v>697</v>
      </c>
      <c r="J260" s="19" t="s">
        <v>698</v>
      </c>
      <c r="K260" s="19" t="str">
        <f>T("28700")</f>
        <v>28700</v>
      </c>
      <c r="L260" s="19" t="s">
        <v>19</v>
      </c>
      <c r="M260" s="21" t="s">
        <v>0</v>
      </c>
      <c r="N260" s="31">
        <v>45218</v>
      </c>
    </row>
    <row r="261" spans="1:14" ht="16" hidden="1" x14ac:dyDescent="0.2">
      <c r="A261" s="19" t="s">
        <v>699</v>
      </c>
      <c r="B261" s="20">
        <v>45215</v>
      </c>
      <c r="C261" s="19" t="str">
        <f>T("330239652:0830374249")</f>
        <v>330239652:0830374249</v>
      </c>
      <c r="D261" s="19" t="str">
        <f>T("231004369")</f>
        <v>231004369</v>
      </c>
      <c r="E261" s="19" t="str">
        <f>T("510146599")</f>
        <v>510146599</v>
      </c>
      <c r="F261" s="19" t="s">
        <v>17</v>
      </c>
      <c r="G261" s="19" t="s">
        <v>14</v>
      </c>
      <c r="H261" s="19" t="str">
        <f>T("607247844")</f>
        <v>607247844</v>
      </c>
      <c r="I261" s="19" t="s">
        <v>700</v>
      </c>
      <c r="J261" s="19" t="s">
        <v>701</v>
      </c>
      <c r="K261" s="19" t="str">
        <f>T("31140")</f>
        <v>31140</v>
      </c>
      <c r="L261" s="19" t="s">
        <v>19</v>
      </c>
      <c r="M261" s="21" t="s">
        <v>0</v>
      </c>
      <c r="N261" s="31">
        <v>45216</v>
      </c>
    </row>
    <row r="262" spans="1:14" ht="16" hidden="1" x14ac:dyDescent="0.2">
      <c r="A262" s="19" t="s">
        <v>702</v>
      </c>
      <c r="B262" s="20">
        <v>45215</v>
      </c>
      <c r="C262" s="19" t="str">
        <f>T("330239532:0830374210")</f>
        <v>330239532:0830374210</v>
      </c>
      <c r="D262" s="19" t="str">
        <f>T("31015372")</f>
        <v>31015372</v>
      </c>
      <c r="E262" s="19" t="str">
        <f>T("540012300")</f>
        <v>540012300</v>
      </c>
      <c r="F262" s="19" t="s">
        <v>17</v>
      </c>
      <c r="G262" s="19" t="s">
        <v>14</v>
      </c>
      <c r="H262" s="19" t="str">
        <f>T("607247858")</f>
        <v>607247858</v>
      </c>
      <c r="I262" s="19" t="s">
        <v>703</v>
      </c>
      <c r="J262" s="19" t="s">
        <v>704</v>
      </c>
      <c r="K262" s="19" t="str">
        <f>T("602 28")</f>
        <v>602 28</v>
      </c>
      <c r="L262" s="19" t="s">
        <v>687</v>
      </c>
      <c r="M262" s="21" t="s">
        <v>0</v>
      </c>
      <c r="N262" s="31">
        <v>45216</v>
      </c>
    </row>
    <row r="263" spans="1:14" ht="16" hidden="1" x14ac:dyDescent="0.2">
      <c r="A263" s="19" t="s">
        <v>705</v>
      </c>
      <c r="B263" s="20">
        <v>45215</v>
      </c>
      <c r="C263" s="19" t="str">
        <f>T("330239531:0830374209")</f>
        <v>330239531:0830374209</v>
      </c>
      <c r="D263" s="19" t="str">
        <f>T("31008706")</f>
        <v>31008706</v>
      </c>
      <c r="E263" s="19" t="str">
        <f>T("540012301")</f>
        <v>540012301</v>
      </c>
      <c r="F263" s="19" t="s">
        <v>17</v>
      </c>
      <c r="G263" s="19" t="s">
        <v>14</v>
      </c>
      <c r="H263" s="19" t="str">
        <f>T("607247861")</f>
        <v>607247861</v>
      </c>
      <c r="I263" s="19" t="s">
        <v>706</v>
      </c>
      <c r="J263" s="19" t="s">
        <v>707</v>
      </c>
      <c r="K263" s="19" t="str">
        <f>T("2605")</f>
        <v>2605</v>
      </c>
      <c r="L263" s="19" t="s">
        <v>708</v>
      </c>
      <c r="M263" s="21" t="s">
        <v>0</v>
      </c>
      <c r="N263" s="31">
        <v>45216</v>
      </c>
    </row>
    <row r="264" spans="1:14" ht="16" hidden="1" x14ac:dyDescent="0.2">
      <c r="A264" s="19" t="s">
        <v>709</v>
      </c>
      <c r="B264" s="20">
        <v>45215</v>
      </c>
      <c r="C264" s="19" t="str">
        <f>T("330238564:0830372698")</f>
        <v>330238564:0830372698</v>
      </c>
      <c r="D264" s="19" t="str">
        <f>T("WC SUPERWOOD")</f>
        <v>WC SUPERWOOD</v>
      </c>
      <c r="E264" s="19" t="str">
        <f>T("510146434")</f>
        <v>510146434</v>
      </c>
      <c r="F264" s="19" t="s">
        <v>17</v>
      </c>
      <c r="G264" s="19" t="s">
        <v>14</v>
      </c>
      <c r="H264" s="19" t="str">
        <f>T("607247875")</f>
        <v>607247875</v>
      </c>
      <c r="I264" s="19" t="s">
        <v>710</v>
      </c>
      <c r="J264" s="19" t="s">
        <v>711</v>
      </c>
      <c r="K264" s="19" t="str">
        <f>T("65000")</f>
        <v>65000</v>
      </c>
      <c r="L264" s="19" t="s">
        <v>19</v>
      </c>
      <c r="M264" s="21" t="s">
        <v>0</v>
      </c>
      <c r="N264" s="31">
        <v>45217</v>
      </c>
    </row>
    <row r="265" spans="1:14" ht="16" hidden="1" x14ac:dyDescent="0.2">
      <c r="A265" s="19" t="s">
        <v>712</v>
      </c>
      <c r="B265" s="20">
        <v>45215</v>
      </c>
      <c r="C265" s="19" t="str">
        <f>T("330239544:0830374195")</f>
        <v>330239544:0830374195</v>
      </c>
      <c r="D265" s="19" t="str">
        <f>T("00100360-11326")</f>
        <v>00100360-11326</v>
      </c>
      <c r="E265" s="19" t="str">
        <f>T("510146515")</f>
        <v>510146515</v>
      </c>
      <c r="F265" s="19" t="s">
        <v>17</v>
      </c>
      <c r="G265" s="19" t="s">
        <v>14</v>
      </c>
      <c r="H265" s="19" t="str">
        <f>T("607247946")</f>
        <v>607247946</v>
      </c>
      <c r="I265" s="19" t="s">
        <v>713</v>
      </c>
      <c r="J265" s="19" t="s">
        <v>714</v>
      </c>
      <c r="K265" s="19" t="str">
        <f>T("28300")</f>
        <v>28300</v>
      </c>
      <c r="L265" s="19" t="s">
        <v>19</v>
      </c>
      <c r="M265" s="21" t="s">
        <v>0</v>
      </c>
      <c r="N265" s="31">
        <v>45217</v>
      </c>
    </row>
    <row r="266" spans="1:14" ht="16" hidden="1" x14ac:dyDescent="0.2">
      <c r="A266" s="19" t="s">
        <v>715</v>
      </c>
      <c r="B266" s="20">
        <v>45215</v>
      </c>
      <c r="C266" s="19" t="str">
        <f>T("330239552:0830374202")</f>
        <v>330239552:0830374202</v>
      </c>
      <c r="D266" s="19" t="str">
        <f>T("CF103847/CF103848")</f>
        <v>CF103847/CF103848</v>
      </c>
      <c r="E266" s="19" t="str">
        <f>T("510146436")</f>
        <v>510146436</v>
      </c>
      <c r="F266" s="19" t="s">
        <v>17</v>
      </c>
      <c r="G266" s="19" t="s">
        <v>14</v>
      </c>
      <c r="H266" s="19" t="str">
        <f>T("607247889")</f>
        <v>607247889</v>
      </c>
      <c r="I266" s="19" t="s">
        <v>34</v>
      </c>
      <c r="J266" s="19" t="s">
        <v>716</v>
      </c>
      <c r="K266" s="19" t="str">
        <f>T("63100")</f>
        <v>63100</v>
      </c>
      <c r="L266" s="19" t="s">
        <v>19</v>
      </c>
      <c r="M266" s="21" t="s">
        <v>0</v>
      </c>
      <c r="N266" s="31">
        <v>45217</v>
      </c>
    </row>
    <row r="267" spans="1:14" ht="16" hidden="1" x14ac:dyDescent="0.2">
      <c r="A267" s="19" t="s">
        <v>717</v>
      </c>
      <c r="B267" s="20">
        <v>45215</v>
      </c>
      <c r="C267" s="19" t="str">
        <f>T("330230775:0830373887")</f>
        <v>330230775:0830373887</v>
      </c>
      <c r="D267" s="19" t="str">
        <f>T("CDC127133 F0043 S")</f>
        <v>CDC127133 F0043 S</v>
      </c>
      <c r="E267" s="19" t="str">
        <f>T("7660223658")</f>
        <v>7660223658</v>
      </c>
      <c r="F267" s="19" t="s">
        <v>16</v>
      </c>
      <c r="G267" s="19" t="s">
        <v>14</v>
      </c>
      <c r="H267" s="19" t="str">
        <f>T("607247892")</f>
        <v>607247892</v>
      </c>
      <c r="I267" s="19" t="s">
        <v>718</v>
      </c>
      <c r="J267" s="19" t="s">
        <v>719</v>
      </c>
      <c r="K267" s="19" t="str">
        <f>T("64150")</f>
        <v>64150</v>
      </c>
      <c r="L267" s="19" t="s">
        <v>19</v>
      </c>
      <c r="M267" s="21" t="s">
        <v>0</v>
      </c>
      <c r="N267" s="31">
        <v>45218</v>
      </c>
    </row>
    <row r="268" spans="1:14" ht="16" hidden="1" x14ac:dyDescent="0.2">
      <c r="A268" s="19" t="s">
        <v>720</v>
      </c>
      <c r="B268" s="20">
        <v>45215</v>
      </c>
      <c r="C268" s="19" t="str">
        <f>T("330239634:0830374235")</f>
        <v>330239634:0830374235</v>
      </c>
      <c r="D268" s="19" t="str">
        <f>T("WC MANECO ENERGIE")</f>
        <v>WC MANECO ENERGIE</v>
      </c>
      <c r="E268" s="19" t="str">
        <f>T("510146540")</f>
        <v>510146540</v>
      </c>
      <c r="F268" s="19" t="s">
        <v>16</v>
      </c>
      <c r="G268" s="19" t="s">
        <v>14</v>
      </c>
      <c r="H268" s="19" t="str">
        <f>T("607247901")</f>
        <v>607247901</v>
      </c>
      <c r="I268" s="19" t="s">
        <v>721</v>
      </c>
      <c r="J268" s="19" t="s">
        <v>716</v>
      </c>
      <c r="K268" s="19" t="str">
        <f>T("63100")</f>
        <v>63100</v>
      </c>
      <c r="L268" s="19" t="s">
        <v>19</v>
      </c>
      <c r="M268" s="21" t="s">
        <v>0</v>
      </c>
      <c r="N268" s="31">
        <v>45217</v>
      </c>
    </row>
    <row r="269" spans="1:14" ht="16" hidden="1" x14ac:dyDescent="0.2">
      <c r="A269" s="19" t="s">
        <v>722</v>
      </c>
      <c r="B269" s="20">
        <v>45215</v>
      </c>
      <c r="C269" s="19" t="str">
        <f>T("330239525:0830374206")</f>
        <v>330239525:0830374206</v>
      </c>
      <c r="D269" s="19" t="str">
        <f>T("31025989")</f>
        <v>31025989</v>
      </c>
      <c r="E269" s="19" t="str">
        <f>T("540012310")</f>
        <v>540012310</v>
      </c>
      <c r="F269" s="19" t="s">
        <v>17</v>
      </c>
      <c r="G269" s="19" t="s">
        <v>14</v>
      </c>
      <c r="H269" s="19" t="str">
        <f>T("607247915")</f>
        <v>607247915</v>
      </c>
      <c r="I269" s="19" t="s">
        <v>706</v>
      </c>
      <c r="J269" s="19" t="s">
        <v>707</v>
      </c>
      <c r="K269" s="19" t="str">
        <f>T("2605")</f>
        <v>2605</v>
      </c>
      <c r="L269" s="19" t="s">
        <v>708</v>
      </c>
      <c r="M269" s="21" t="s">
        <v>0</v>
      </c>
      <c r="N269" s="31">
        <v>45216</v>
      </c>
    </row>
    <row r="270" spans="1:14" ht="16" hidden="1" x14ac:dyDescent="0.2">
      <c r="A270" s="19" t="s">
        <v>723</v>
      </c>
      <c r="B270" s="20">
        <v>45215</v>
      </c>
      <c r="C270" s="19" t="str">
        <f>T("330239542:0830374193")</f>
        <v>330239542:0830374193</v>
      </c>
      <c r="D270" s="19" t="str">
        <f>T("CF103823")</f>
        <v>CF103823</v>
      </c>
      <c r="E270" s="19" t="str">
        <f>T("510146529")</f>
        <v>510146529</v>
      </c>
      <c r="F270" s="19" t="s">
        <v>17</v>
      </c>
      <c r="G270" s="19" t="s">
        <v>14</v>
      </c>
      <c r="H270" s="19" t="str">
        <f>T("607247929")</f>
        <v>607247929</v>
      </c>
      <c r="I270" s="19" t="s">
        <v>34</v>
      </c>
      <c r="J270" s="19" t="s">
        <v>716</v>
      </c>
      <c r="K270" s="19" t="str">
        <f>T("63100")</f>
        <v>63100</v>
      </c>
      <c r="L270" s="19" t="s">
        <v>19</v>
      </c>
      <c r="M270" s="21" t="s">
        <v>0</v>
      </c>
      <c r="N270" s="31">
        <v>45217</v>
      </c>
    </row>
    <row r="271" spans="1:14" ht="16" hidden="1" x14ac:dyDescent="0.2">
      <c r="A271" s="19" t="s">
        <v>724</v>
      </c>
      <c r="B271" s="20">
        <v>45215</v>
      </c>
      <c r="C271" s="19" t="str">
        <f>T("330239433:0830374111")</f>
        <v>330239433:0830374111</v>
      </c>
      <c r="D271" s="19" t="str">
        <f>T("UNIESSE")</f>
        <v>UNIESSE</v>
      </c>
      <c r="E271" s="19" t="str">
        <f>T("560021764")</f>
        <v>560021764</v>
      </c>
      <c r="F271" s="19" t="s">
        <v>16</v>
      </c>
      <c r="G271" s="19" t="s">
        <v>14</v>
      </c>
      <c r="H271" s="19" t="str">
        <f>T("607247932")</f>
        <v>607247932</v>
      </c>
      <c r="I271" s="19" t="s">
        <v>725</v>
      </c>
      <c r="J271" s="19" t="s">
        <v>726</v>
      </c>
      <c r="K271" s="19" t="str">
        <f>T("20089")</f>
        <v>20089</v>
      </c>
      <c r="L271" s="19" t="s">
        <v>18</v>
      </c>
      <c r="M271" s="21" t="s">
        <v>0</v>
      </c>
      <c r="N271" s="31">
        <v>45217</v>
      </c>
    </row>
    <row r="272" spans="1:14" ht="16" hidden="1" x14ac:dyDescent="0.2">
      <c r="A272" s="19" t="s">
        <v>727</v>
      </c>
      <c r="B272" s="20">
        <v>45215</v>
      </c>
      <c r="C272" s="19" t="str">
        <f>T("330239500:0830374155")</f>
        <v>330239500:0830374155</v>
      </c>
      <c r="D272" s="19" t="str">
        <f>T("ROSATTI")</f>
        <v>ROSATTI</v>
      </c>
      <c r="E272" s="19" t="str">
        <f>T("560021720")</f>
        <v>560021720</v>
      </c>
      <c r="F272" s="19" t="s">
        <v>16</v>
      </c>
      <c r="G272" s="19" t="s">
        <v>14</v>
      </c>
      <c r="H272" s="19" t="str">
        <f>T("607247950")</f>
        <v>607247950</v>
      </c>
      <c r="I272" s="19" t="s">
        <v>728</v>
      </c>
      <c r="J272" s="19" t="s">
        <v>729</v>
      </c>
      <c r="K272" s="19" t="str">
        <f>T("38066")</f>
        <v>38066</v>
      </c>
      <c r="L272" s="19" t="s">
        <v>18</v>
      </c>
      <c r="M272" s="21" t="s">
        <v>0</v>
      </c>
      <c r="N272" s="31">
        <v>45218</v>
      </c>
    </row>
    <row r="273" spans="1:15" ht="16" hidden="1" x14ac:dyDescent="0.2">
      <c r="A273" s="19" t="s">
        <v>730</v>
      </c>
      <c r="B273" s="20">
        <v>45215</v>
      </c>
      <c r="C273" s="19" t="str">
        <f>T("330239626:0830374229")</f>
        <v>330239626:0830374229</v>
      </c>
      <c r="D273" s="19" t="str">
        <f>T("161659")</f>
        <v>161659</v>
      </c>
      <c r="E273" s="19" t="str">
        <f>T("510146494")</f>
        <v>510146494</v>
      </c>
      <c r="F273" s="19" t="s">
        <v>17</v>
      </c>
      <c r="G273" s="19" t="s">
        <v>14</v>
      </c>
      <c r="H273" s="19" t="str">
        <f>T("607247977")</f>
        <v>607247977</v>
      </c>
      <c r="I273" s="19" t="s">
        <v>731</v>
      </c>
      <c r="J273" s="19" t="s">
        <v>732</v>
      </c>
      <c r="K273" s="19" t="str">
        <f>T("29700")</f>
        <v>29700</v>
      </c>
      <c r="L273" s="19" t="s">
        <v>19</v>
      </c>
      <c r="M273" s="21" t="s">
        <v>0</v>
      </c>
      <c r="N273" s="31">
        <v>45217</v>
      </c>
    </row>
    <row r="274" spans="1:15" ht="16" hidden="1" x14ac:dyDescent="0.2">
      <c r="A274" s="19" t="s">
        <v>733</v>
      </c>
      <c r="B274" s="20">
        <v>45215</v>
      </c>
      <c r="C274" s="19" t="str">
        <f>T("330239601:0830374286")</f>
        <v>330239601:0830374286</v>
      </c>
      <c r="D274" s="19" t="str">
        <f>T("0927Schmidth")</f>
        <v>0927Schmidth</v>
      </c>
      <c r="E274" s="19" t="str">
        <f>T("560021769")</f>
        <v>560021769</v>
      </c>
      <c r="F274" s="19" t="s">
        <v>17</v>
      </c>
      <c r="G274" s="19" t="s">
        <v>14</v>
      </c>
      <c r="H274" s="19" t="str">
        <f>T("607248005")</f>
        <v>607248005</v>
      </c>
      <c r="I274" s="19" t="s">
        <v>42</v>
      </c>
      <c r="J274" s="19" t="s">
        <v>653</v>
      </c>
      <c r="K274" s="19" t="str">
        <f>T("1131")</f>
        <v>1131</v>
      </c>
      <c r="L274" s="19" t="s">
        <v>43</v>
      </c>
      <c r="M274" s="21" t="s">
        <v>0</v>
      </c>
      <c r="N274" s="31">
        <v>45216</v>
      </c>
    </row>
    <row r="275" spans="1:15" ht="16" hidden="1" x14ac:dyDescent="0.2">
      <c r="A275" s="19" t="s">
        <v>734</v>
      </c>
      <c r="B275" s="20">
        <v>45215</v>
      </c>
      <c r="C275" s="19" t="str">
        <f>T("330239563:0830374260")</f>
        <v>330239563:0830374260</v>
      </c>
      <c r="D275" s="19" t="str">
        <f>T("Ahlsell P.O. 3110")</f>
        <v>Ahlsell P.O. 3110</v>
      </c>
      <c r="E275" s="19" t="str">
        <f>T("540012352")</f>
        <v>540012352</v>
      </c>
      <c r="F275" s="19" t="s">
        <v>17</v>
      </c>
      <c r="G275" s="19" t="s">
        <v>14</v>
      </c>
      <c r="H275" s="19" t="str">
        <f>T("607247994")</f>
        <v>607247994</v>
      </c>
      <c r="I275" s="19" t="s">
        <v>735</v>
      </c>
      <c r="J275" s="19" t="s">
        <v>736</v>
      </c>
      <c r="K275" s="19" t="str">
        <f>T("973 45")</f>
        <v>973 45</v>
      </c>
      <c r="L275" s="19" t="s">
        <v>687</v>
      </c>
      <c r="M275" s="21" t="s">
        <v>0</v>
      </c>
      <c r="N275" s="31">
        <v>45217</v>
      </c>
    </row>
    <row r="276" spans="1:15" ht="16" hidden="1" x14ac:dyDescent="0.2">
      <c r="A276" s="19" t="s">
        <v>737</v>
      </c>
      <c r="B276" s="20">
        <v>45215</v>
      </c>
      <c r="C276" s="19" t="str">
        <f>T("330239647:0830374245")</f>
        <v>330239647:0830374245</v>
      </c>
      <c r="D276" s="19" t="str">
        <f>T("00100266-SAV 1403")</f>
        <v>00100266-SAV 1403</v>
      </c>
      <c r="E276" s="19" t="str">
        <f>T("510146250")</f>
        <v>510146250</v>
      </c>
      <c r="F276" s="19" t="s">
        <v>17</v>
      </c>
      <c r="G276" s="19" t="s">
        <v>14</v>
      </c>
      <c r="H276" s="19" t="str">
        <f>T("607248014")</f>
        <v>607248014</v>
      </c>
      <c r="I276" s="19" t="s">
        <v>738</v>
      </c>
      <c r="J276" s="19" t="s">
        <v>739</v>
      </c>
      <c r="K276" s="19" t="str">
        <f>T("32190")</f>
        <v>32190</v>
      </c>
      <c r="L276" s="19" t="s">
        <v>19</v>
      </c>
      <c r="M276" s="21" t="s">
        <v>0</v>
      </c>
      <c r="N276" s="31">
        <v>45216</v>
      </c>
    </row>
    <row r="277" spans="1:15" ht="16" hidden="1" x14ac:dyDescent="0.2">
      <c r="A277" s="19" t="s">
        <v>740</v>
      </c>
      <c r="B277" s="20">
        <v>45215</v>
      </c>
      <c r="C277" s="19" t="str">
        <f>T("330239588:0830374277")</f>
        <v>330239588:0830374277</v>
      </c>
      <c r="D277" s="19" t="str">
        <f>T("66037934")</f>
        <v>66037934</v>
      </c>
      <c r="E277" s="19" t="str">
        <f>T("560021701")</f>
        <v>560021701</v>
      </c>
      <c r="F277" s="19" t="s">
        <v>17</v>
      </c>
      <c r="G277" s="19" t="s">
        <v>14</v>
      </c>
      <c r="H277" s="19" t="str">
        <f>T("607248028")</f>
        <v>607248028</v>
      </c>
      <c r="I277" s="19" t="s">
        <v>623</v>
      </c>
      <c r="J277" s="19" t="s">
        <v>624</v>
      </c>
      <c r="K277" s="19" t="str">
        <f>T("51216")</f>
        <v>51216</v>
      </c>
      <c r="L277" s="19" t="s">
        <v>625</v>
      </c>
      <c r="M277" s="21" t="s">
        <v>0</v>
      </c>
      <c r="N277" s="31">
        <v>45217</v>
      </c>
    </row>
    <row r="278" spans="1:15" ht="16" hidden="1" x14ac:dyDescent="0.2">
      <c r="A278" s="19" t="s">
        <v>741</v>
      </c>
      <c r="B278" s="20">
        <v>45215</v>
      </c>
      <c r="C278" s="19" t="str">
        <f>T("330238614:0830377131")</f>
        <v>330238614:0830377131</v>
      </c>
      <c r="D278" s="19" t="str">
        <f>T("A2309943")</f>
        <v>A2309943</v>
      </c>
      <c r="E278" s="19" t="str">
        <f>T("510146089")</f>
        <v>510146089</v>
      </c>
      <c r="F278" s="19" t="s">
        <v>17</v>
      </c>
      <c r="G278" s="19" t="s">
        <v>14</v>
      </c>
      <c r="H278" s="19" t="str">
        <f>T("607248031")</f>
        <v>607248031</v>
      </c>
      <c r="I278" s="19" t="s">
        <v>742</v>
      </c>
      <c r="J278" s="19" t="s">
        <v>743</v>
      </c>
      <c r="K278" s="19" t="str">
        <f>T("21000")</f>
        <v>21000</v>
      </c>
      <c r="L278" s="19" t="s">
        <v>19</v>
      </c>
      <c r="M278" s="21" t="s">
        <v>0</v>
      </c>
      <c r="N278" s="31">
        <v>45216</v>
      </c>
    </row>
    <row r="279" spans="1:15" ht="16" hidden="1" x14ac:dyDescent="0.2">
      <c r="A279" s="19" t="s">
        <v>744</v>
      </c>
      <c r="B279" s="20">
        <v>45215</v>
      </c>
      <c r="C279" s="19" t="str">
        <f>T("330239571:0830374265")</f>
        <v>330239571:0830374265</v>
      </c>
      <c r="D279" s="19" t="str">
        <f>T("31077159")</f>
        <v>31077159</v>
      </c>
      <c r="E279" s="19" t="str">
        <f>T("540012337")</f>
        <v>540012337</v>
      </c>
      <c r="F279" s="19" t="s">
        <v>17</v>
      </c>
      <c r="G279" s="19" t="s">
        <v>14</v>
      </c>
      <c r="H279" s="19" t="str">
        <f>T("607248059")</f>
        <v>607248059</v>
      </c>
      <c r="I279" s="19" t="s">
        <v>706</v>
      </c>
      <c r="J279" s="19" t="s">
        <v>707</v>
      </c>
      <c r="K279" s="19" t="str">
        <f>T("2605")</f>
        <v>2605</v>
      </c>
      <c r="L279" s="19" t="s">
        <v>708</v>
      </c>
      <c r="M279" s="21" t="s">
        <v>0</v>
      </c>
      <c r="N279" s="31">
        <v>45216</v>
      </c>
    </row>
    <row r="280" spans="1:15" ht="16" hidden="1" x14ac:dyDescent="0.2">
      <c r="A280" s="19" t="s">
        <v>745</v>
      </c>
      <c r="B280" s="20">
        <v>45215</v>
      </c>
      <c r="C280" s="19" t="str">
        <f>T("330239628:0830374231")</f>
        <v>330239628:0830374231</v>
      </c>
      <c r="D280" s="19" t="str">
        <f>T("161633")</f>
        <v>161633</v>
      </c>
      <c r="E280" s="19" t="str">
        <f>T("510146491")</f>
        <v>510146491</v>
      </c>
      <c r="F280" s="19" t="s">
        <v>17</v>
      </c>
      <c r="G280" s="19" t="s">
        <v>14</v>
      </c>
      <c r="H280" s="19" t="str">
        <f>T("607248062")</f>
        <v>607248062</v>
      </c>
      <c r="I280" s="19" t="s">
        <v>746</v>
      </c>
      <c r="J280" s="19" t="s">
        <v>747</v>
      </c>
      <c r="K280" s="19" t="str">
        <f>T("77830")</f>
        <v>77830</v>
      </c>
      <c r="L280" s="19" t="s">
        <v>19</v>
      </c>
      <c r="M280" s="21" t="s">
        <v>0</v>
      </c>
      <c r="N280" s="31">
        <v>45216</v>
      </c>
    </row>
    <row r="281" spans="1:15" ht="16" hidden="1" x14ac:dyDescent="0.2">
      <c r="A281" s="19" t="s">
        <v>748</v>
      </c>
      <c r="B281" s="20">
        <v>45215</v>
      </c>
      <c r="C281" s="19" t="str">
        <f>T("330239632:0830374234")</f>
        <v>330239632:0830374234</v>
      </c>
      <c r="D281" s="19" t="str">
        <f>T("WC246486 KYRIAD O")</f>
        <v>WC246486 KYRIAD O</v>
      </c>
      <c r="E281" s="19" t="str">
        <f>T("510146545")</f>
        <v>510146545</v>
      </c>
      <c r="F281" s="19" t="s">
        <v>17</v>
      </c>
      <c r="G281" s="19" t="s">
        <v>14</v>
      </c>
      <c r="H281" s="19" t="str">
        <f>T("607248076")</f>
        <v>607248076</v>
      </c>
      <c r="I281" s="19" t="s">
        <v>749</v>
      </c>
      <c r="J281" s="19" t="s">
        <v>750</v>
      </c>
      <c r="K281" s="19" t="str">
        <f>T("40180")</f>
        <v>40180</v>
      </c>
      <c r="L281" s="19" t="s">
        <v>19</v>
      </c>
      <c r="M281" s="21" t="s">
        <v>0</v>
      </c>
      <c r="N281" s="31">
        <v>45217</v>
      </c>
    </row>
    <row r="282" spans="1:15" ht="16" hidden="1" x14ac:dyDescent="0.2">
      <c r="A282" s="19" t="s">
        <v>751</v>
      </c>
      <c r="B282" s="20">
        <v>45215</v>
      </c>
      <c r="C282" s="19" t="str">
        <f>T("330239547:0830374198")</f>
        <v>330239547:0830374198</v>
      </c>
      <c r="D282" s="19" t="str">
        <f>T("CDC127936 TB0010")</f>
        <v>CDC127936 TB0010</v>
      </c>
      <c r="E282" s="19" t="str">
        <f>T("510146472")</f>
        <v>510146472</v>
      </c>
      <c r="F282" s="19" t="s">
        <v>17</v>
      </c>
      <c r="G282" s="19" t="s">
        <v>14</v>
      </c>
      <c r="H282" s="19" t="str">
        <f>T("607248080")</f>
        <v>607248080</v>
      </c>
      <c r="I282" s="19" t="s">
        <v>26</v>
      </c>
      <c r="J282" s="19" t="s">
        <v>752</v>
      </c>
      <c r="K282" s="19" t="str">
        <f>T("16340")</f>
        <v>16340</v>
      </c>
      <c r="L282" s="19" t="s">
        <v>19</v>
      </c>
      <c r="M282" s="21" t="s">
        <v>0</v>
      </c>
      <c r="N282" s="31">
        <v>45217</v>
      </c>
    </row>
    <row r="283" spans="1:15" ht="16" hidden="1" x14ac:dyDescent="0.2">
      <c r="A283" s="19" t="s">
        <v>753</v>
      </c>
      <c r="B283" s="20">
        <v>45215</v>
      </c>
      <c r="C283" s="19" t="str">
        <f>T("330239580:0830374271")</f>
        <v>330239580:0830374271</v>
      </c>
      <c r="D283" s="19" t="str">
        <f>T("Finanzamt Peine A")</f>
        <v>Finanzamt Peine A</v>
      </c>
      <c r="E283" s="19" t="str">
        <f>T("540012325")</f>
        <v>540012325</v>
      </c>
      <c r="F283" s="19" t="s">
        <v>16</v>
      </c>
      <c r="G283" s="19" t="s">
        <v>14</v>
      </c>
      <c r="H283" s="21">
        <v>607248195</v>
      </c>
      <c r="I283" s="19" t="s">
        <v>754</v>
      </c>
      <c r="J283" s="19" t="s">
        <v>755</v>
      </c>
      <c r="K283" s="19" t="str">
        <f>T("38106")</f>
        <v>38106</v>
      </c>
      <c r="L283" s="19" t="s">
        <v>35</v>
      </c>
      <c r="M283" s="21" t="s">
        <v>0</v>
      </c>
      <c r="N283" s="31">
        <v>45217</v>
      </c>
      <c r="O283" s="1" t="s">
        <v>60</v>
      </c>
    </row>
    <row r="284" spans="1:15" ht="16" hidden="1" x14ac:dyDescent="0.2">
      <c r="A284" s="19" t="s">
        <v>756</v>
      </c>
      <c r="B284" s="20">
        <v>45215</v>
      </c>
      <c r="C284" s="19" t="str">
        <f>T("330239644:0830377108")</f>
        <v>330239644:0830377108</v>
      </c>
      <c r="D284" s="19" t="str">
        <f>T("CDC127649 A0060 S")</f>
        <v>CDC127649 A0060 S</v>
      </c>
      <c r="E284" s="19" t="str">
        <f>T("510146257")</f>
        <v>510146257</v>
      </c>
      <c r="F284" s="19" t="s">
        <v>17</v>
      </c>
      <c r="G284" s="19" t="s">
        <v>14</v>
      </c>
      <c r="H284" s="19" t="str">
        <f>T("607248093")</f>
        <v>607248093</v>
      </c>
      <c r="I284" s="19" t="s">
        <v>26</v>
      </c>
      <c r="J284" s="19" t="s">
        <v>757</v>
      </c>
      <c r="K284" s="19" t="str">
        <f>T("64600")</f>
        <v>64600</v>
      </c>
      <c r="L284" s="19" t="s">
        <v>19</v>
      </c>
      <c r="M284" s="21" t="s">
        <v>0</v>
      </c>
      <c r="N284" s="31">
        <v>45218</v>
      </c>
    </row>
    <row r="285" spans="1:15" ht="16" hidden="1" x14ac:dyDescent="0.2">
      <c r="A285" s="19" t="s">
        <v>758</v>
      </c>
      <c r="B285" s="20">
        <v>45215</v>
      </c>
      <c r="C285" s="19" t="str">
        <f>T("330238568:0830377120")</f>
        <v>330238568:0830377120</v>
      </c>
      <c r="D285" s="19" t="str">
        <f>T("WC-panetier")</f>
        <v>WC-panetier</v>
      </c>
      <c r="E285" s="19" t="str">
        <f>T("510146438")</f>
        <v>510146438</v>
      </c>
      <c r="F285" s="19" t="s">
        <v>17</v>
      </c>
      <c r="G285" s="19" t="s">
        <v>14</v>
      </c>
      <c r="H285" s="19" t="str">
        <f>T("607248102")</f>
        <v>607248102</v>
      </c>
      <c r="I285" s="19" t="s">
        <v>47</v>
      </c>
      <c r="J285" s="19" t="s">
        <v>185</v>
      </c>
      <c r="K285" s="19" t="str">
        <f>T("45140")</f>
        <v>45140</v>
      </c>
      <c r="L285" s="19" t="s">
        <v>19</v>
      </c>
      <c r="M285" s="21" t="s">
        <v>0</v>
      </c>
      <c r="N285" s="31">
        <v>45216</v>
      </c>
    </row>
    <row r="286" spans="1:15" ht="16" hidden="1" x14ac:dyDescent="0.2">
      <c r="A286" s="19" t="s">
        <v>759</v>
      </c>
      <c r="B286" s="20">
        <v>45215</v>
      </c>
      <c r="C286" s="19" t="str">
        <f>T("330239553:0830374203")</f>
        <v>330239553:0830374203</v>
      </c>
      <c r="D286" s="19" t="str">
        <f>T("161688")</f>
        <v>161688</v>
      </c>
      <c r="E286" s="19" t="str">
        <f>T("510146498")</f>
        <v>510146498</v>
      </c>
      <c r="F286" s="19" t="s">
        <v>16</v>
      </c>
      <c r="G286" s="19" t="s">
        <v>14</v>
      </c>
      <c r="H286" s="19" t="str">
        <f>T("607248116")</f>
        <v>607248116</v>
      </c>
      <c r="I286" s="19" t="s">
        <v>670</v>
      </c>
      <c r="J286" s="19" t="s">
        <v>689</v>
      </c>
      <c r="K286" s="19" t="str">
        <f>T("20600")</f>
        <v>20600</v>
      </c>
      <c r="L286" s="19" t="s">
        <v>19</v>
      </c>
      <c r="M286" s="21" t="s">
        <v>0</v>
      </c>
      <c r="N286" s="31">
        <v>45218</v>
      </c>
    </row>
    <row r="287" spans="1:15" ht="16" hidden="1" x14ac:dyDescent="0.2">
      <c r="A287" s="19" t="s">
        <v>760</v>
      </c>
      <c r="B287" s="20">
        <v>45215</v>
      </c>
      <c r="C287" s="19" t="str">
        <f>T("330239659:0830374254")</f>
        <v>330239659:0830374254</v>
      </c>
      <c r="D287" s="19" t="str">
        <f>T("BASTIEN")</f>
        <v>BASTIEN</v>
      </c>
      <c r="E287" s="19" t="str">
        <f>T("510146645")</f>
        <v>510146645</v>
      </c>
      <c r="F287" s="19" t="s">
        <v>17</v>
      </c>
      <c r="G287" s="19" t="s">
        <v>14</v>
      </c>
      <c r="H287" s="19" t="str">
        <f>T("607248120")</f>
        <v>607248120</v>
      </c>
      <c r="I287" s="19" t="s">
        <v>761</v>
      </c>
      <c r="J287" s="19" t="s">
        <v>762</v>
      </c>
      <c r="K287" s="19" t="str">
        <f>T("61250")</f>
        <v>61250</v>
      </c>
      <c r="L287" s="19" t="s">
        <v>19</v>
      </c>
      <c r="M287" s="21" t="s">
        <v>0</v>
      </c>
      <c r="N287" s="31">
        <v>45216</v>
      </c>
    </row>
    <row r="288" spans="1:15" ht="16" hidden="1" x14ac:dyDescent="0.2">
      <c r="A288" s="19" t="s">
        <v>763</v>
      </c>
      <c r="B288" s="20">
        <v>45215</v>
      </c>
      <c r="C288" s="19" t="str">
        <f>T("330239450:0830374123")</f>
        <v>330239450:0830374123</v>
      </c>
      <c r="D288" s="19" t="str">
        <f>T("02102023")</f>
        <v>02102023</v>
      </c>
      <c r="E288" s="19" t="str">
        <f>T("560021829")</f>
        <v>560021829</v>
      </c>
      <c r="F288" s="19" t="s">
        <v>16</v>
      </c>
      <c r="G288" s="19" t="s">
        <v>14</v>
      </c>
      <c r="H288" s="19" t="str">
        <f>T("607248133")</f>
        <v>607248133</v>
      </c>
      <c r="I288" s="19" t="s">
        <v>694</v>
      </c>
      <c r="J288" s="19" t="s">
        <v>695</v>
      </c>
      <c r="K288" s="19" t="str">
        <f>T("42100")</f>
        <v>42100</v>
      </c>
      <c r="L288" s="19" t="s">
        <v>18</v>
      </c>
      <c r="M288" s="21" t="s">
        <v>0</v>
      </c>
      <c r="N288" s="31">
        <v>45218</v>
      </c>
      <c r="O288" s="1" t="s">
        <v>66</v>
      </c>
    </row>
    <row r="289" spans="1:14" ht="16" hidden="1" x14ac:dyDescent="0.2">
      <c r="A289" s="19" t="s">
        <v>764</v>
      </c>
      <c r="B289" s="20">
        <v>45215</v>
      </c>
      <c r="C289" s="19" t="str">
        <f>T("330238701:0830377132")</f>
        <v>330238701:0830377132</v>
      </c>
      <c r="D289" s="19" t="str">
        <f>T("CDC127538 C0144 S")</f>
        <v>CDC127538 C0144 S</v>
      </c>
      <c r="E289" s="19" t="str">
        <f>T("510146234")</f>
        <v>510146234</v>
      </c>
      <c r="F289" s="19" t="s">
        <v>17</v>
      </c>
      <c r="G289" s="19" t="s">
        <v>14</v>
      </c>
      <c r="H289" s="19" t="str">
        <f>T("607248147")</f>
        <v>607248147</v>
      </c>
      <c r="I289" s="19" t="s">
        <v>765</v>
      </c>
      <c r="J289" s="19" t="s">
        <v>766</v>
      </c>
      <c r="K289" s="19" t="str">
        <f>T("40230")</f>
        <v>40230</v>
      </c>
      <c r="L289" s="19" t="s">
        <v>19</v>
      </c>
      <c r="M289" s="21" t="s">
        <v>0</v>
      </c>
      <c r="N289" s="31">
        <v>45218</v>
      </c>
    </row>
    <row r="290" spans="1:14" ht="16" hidden="1" x14ac:dyDescent="0.2">
      <c r="A290" s="19" t="s">
        <v>767</v>
      </c>
      <c r="B290" s="20">
        <v>45215</v>
      </c>
      <c r="C290" s="19" t="str">
        <f>T("330238707:0830377133")</f>
        <v>330238707:0830377133</v>
      </c>
      <c r="D290" s="19" t="str">
        <f>T("WC Hotel Police")</f>
        <v>WC Hotel Police</v>
      </c>
      <c r="E290" s="19" t="str">
        <f>T("510146471")</f>
        <v>510146471</v>
      </c>
      <c r="F290" s="19" t="s">
        <v>17</v>
      </c>
      <c r="G290" s="19" t="s">
        <v>14</v>
      </c>
      <c r="H290" s="19" t="str">
        <f>T("607248155")</f>
        <v>607248155</v>
      </c>
      <c r="I290" s="19" t="s">
        <v>768</v>
      </c>
      <c r="J290" s="19" t="s">
        <v>769</v>
      </c>
      <c r="K290" s="19" t="str">
        <f>T("31100")</f>
        <v>31100</v>
      </c>
      <c r="L290" s="19" t="s">
        <v>19</v>
      </c>
      <c r="M290" s="21" t="s">
        <v>0</v>
      </c>
      <c r="N290" s="31">
        <v>45216</v>
      </c>
    </row>
    <row r="291" spans="1:14" ht="16" x14ac:dyDescent="0.2">
      <c r="A291" s="19" t="s">
        <v>770</v>
      </c>
      <c r="B291" s="20">
        <v>45215</v>
      </c>
      <c r="C291" s="19" t="str">
        <f>T("330239645:0830374243")</f>
        <v>330239645:0830374243</v>
      </c>
      <c r="D291" s="19" t="str">
        <f>T("CDC127643 V0004 S")</f>
        <v>CDC127643 V0004 S</v>
      </c>
      <c r="E291" s="19" t="str">
        <f>T("510146255")</f>
        <v>510146255</v>
      </c>
      <c r="F291" s="19" t="s">
        <v>17</v>
      </c>
      <c r="G291" s="19" t="s">
        <v>14</v>
      </c>
      <c r="H291" s="19" t="str">
        <f>T("607248164")</f>
        <v>607248164</v>
      </c>
      <c r="I291" s="19" t="s">
        <v>620</v>
      </c>
      <c r="J291" s="19" t="s">
        <v>621</v>
      </c>
      <c r="K291" s="19" t="str">
        <f>T("64990")</f>
        <v>64990</v>
      </c>
      <c r="L291" s="19" t="s">
        <v>19</v>
      </c>
      <c r="M291" s="21" t="s">
        <v>1</v>
      </c>
      <c r="N291" s="21"/>
    </row>
    <row r="292" spans="1:14" ht="16" hidden="1" x14ac:dyDescent="0.2">
      <c r="A292" s="19" t="s">
        <v>771</v>
      </c>
      <c r="B292" s="20">
        <v>45215</v>
      </c>
      <c r="C292" s="19" t="str">
        <f>T("330238603:0830377129")</f>
        <v>330238603:0830377129</v>
      </c>
      <c r="D292" s="19" t="str">
        <f>T("W008842")</f>
        <v>W008842</v>
      </c>
      <c r="E292" s="19" t="str">
        <f>T("510146035")</f>
        <v>510146035</v>
      </c>
      <c r="F292" s="19" t="s">
        <v>17</v>
      </c>
      <c r="G292" s="19" t="s">
        <v>14</v>
      </c>
      <c r="H292" s="19" t="str">
        <f>T("607248178")</f>
        <v>607248178</v>
      </c>
      <c r="I292" s="19" t="s">
        <v>772</v>
      </c>
      <c r="J292" s="19" t="s">
        <v>773</v>
      </c>
      <c r="K292" s="19" t="str">
        <f>T("35510")</f>
        <v>35510</v>
      </c>
      <c r="L292" s="19" t="s">
        <v>19</v>
      </c>
      <c r="M292" s="21" t="s">
        <v>0</v>
      </c>
      <c r="N292" s="31">
        <v>45216</v>
      </c>
    </row>
    <row r="293" spans="1:14" ht="16" hidden="1" x14ac:dyDescent="0.2">
      <c r="A293" s="19" t="s">
        <v>774</v>
      </c>
      <c r="B293" s="20">
        <v>45215</v>
      </c>
      <c r="C293" s="19" t="str">
        <f>T("330238584:0830377126")</f>
        <v>330238584:0830377126</v>
      </c>
      <c r="D293" s="19" t="str">
        <f>T("00100204-SAV 13S1")</f>
        <v>00100204-SAV 13S1</v>
      </c>
      <c r="E293" s="19" t="str">
        <f>T("510146106")</f>
        <v>510146106</v>
      </c>
      <c r="F293" s="19" t="s">
        <v>17</v>
      </c>
      <c r="G293" s="19" t="s">
        <v>14</v>
      </c>
      <c r="H293" s="19" t="str">
        <f>T("607248181")</f>
        <v>607248181</v>
      </c>
      <c r="I293" s="19" t="s">
        <v>55</v>
      </c>
      <c r="J293" s="19" t="s">
        <v>775</v>
      </c>
      <c r="K293" s="19" t="str">
        <f>T("13580")</f>
        <v>13580</v>
      </c>
      <c r="L293" s="19" t="s">
        <v>19</v>
      </c>
      <c r="M293" s="21" t="s">
        <v>0</v>
      </c>
      <c r="N293" s="31">
        <v>45217</v>
      </c>
    </row>
    <row r="294" spans="1:14" ht="16" hidden="1" x14ac:dyDescent="0.2">
      <c r="A294" s="19" t="s">
        <v>776</v>
      </c>
      <c r="B294" s="20">
        <v>45215</v>
      </c>
      <c r="C294" s="19" t="str">
        <f>T("330238559:0830377117")</f>
        <v>330238559:0830377117</v>
      </c>
      <c r="D294" s="19" t="str">
        <f>T("WC-ROYA CHAUFFAGE")</f>
        <v>WC-ROYA CHAUFFAGE</v>
      </c>
      <c r="E294" s="19" t="str">
        <f>T("510146428")</f>
        <v>510146428</v>
      </c>
      <c r="F294" s="19" t="s">
        <v>17</v>
      </c>
      <c r="G294" s="19" t="s">
        <v>14</v>
      </c>
      <c r="H294" s="19" t="str">
        <f>T("607248204")</f>
        <v>607248204</v>
      </c>
      <c r="I294" s="19" t="s">
        <v>47</v>
      </c>
      <c r="J294" s="19" t="s">
        <v>180</v>
      </c>
      <c r="K294" s="19" t="str">
        <f>T("06370")</f>
        <v>06370</v>
      </c>
      <c r="L294" s="19" t="s">
        <v>19</v>
      </c>
      <c r="M294" s="21" t="s">
        <v>0</v>
      </c>
      <c r="N294" s="31">
        <v>45216</v>
      </c>
    </row>
    <row r="295" spans="1:14" ht="16" hidden="1" x14ac:dyDescent="0.2">
      <c r="A295" s="19" t="s">
        <v>777</v>
      </c>
      <c r="B295" s="20">
        <v>45215</v>
      </c>
      <c r="C295" s="19" t="str">
        <f>T("330239646:0830374244")</f>
        <v>330239646:0830374244</v>
      </c>
      <c r="D295" s="19" t="str">
        <f>T("CDC127647 DIV33LA")</f>
        <v>CDC127647 DIV33LA</v>
      </c>
      <c r="E295" s="19" t="str">
        <f>T("510146249")</f>
        <v>510146249</v>
      </c>
      <c r="F295" s="19" t="s">
        <v>17</v>
      </c>
      <c r="G295" s="19" t="s">
        <v>14</v>
      </c>
      <c r="H295" s="19" t="str">
        <f>T("607248218")</f>
        <v>607248218</v>
      </c>
      <c r="I295" s="19" t="s">
        <v>778</v>
      </c>
      <c r="J295" s="19" t="s">
        <v>779</v>
      </c>
      <c r="K295" s="19" t="str">
        <f>T("19240")</f>
        <v>19240</v>
      </c>
      <c r="L295" s="19" t="s">
        <v>19</v>
      </c>
      <c r="M295" s="21" t="s">
        <v>0</v>
      </c>
      <c r="N295" s="31">
        <v>45217</v>
      </c>
    </row>
    <row r="296" spans="1:14" ht="16" hidden="1" x14ac:dyDescent="0.2">
      <c r="A296" s="19" t="s">
        <v>780</v>
      </c>
      <c r="B296" s="20">
        <v>45215</v>
      </c>
      <c r="C296" s="19" t="str">
        <f>T("330238714:0830377136")</f>
        <v>330238714:0830377136</v>
      </c>
      <c r="D296" s="19" t="str">
        <f>T("WC LE ROI SOLAIRE")</f>
        <v>WC LE ROI SOLAIRE</v>
      </c>
      <c r="E296" s="19" t="str">
        <f>T("510146481")</f>
        <v>510146481</v>
      </c>
      <c r="F296" s="19" t="s">
        <v>17</v>
      </c>
      <c r="G296" s="19" t="s">
        <v>14</v>
      </c>
      <c r="H296" s="19" t="str">
        <f>T("607248221")</f>
        <v>607248221</v>
      </c>
      <c r="I296" s="19" t="s">
        <v>22</v>
      </c>
      <c r="J296" s="19" t="s">
        <v>24</v>
      </c>
      <c r="K296" s="19" t="str">
        <f>T("26200")</f>
        <v>26200</v>
      </c>
      <c r="L296" s="19" t="s">
        <v>19</v>
      </c>
      <c r="M296" s="21" t="s">
        <v>0</v>
      </c>
      <c r="N296" s="31">
        <v>45216</v>
      </c>
    </row>
    <row r="297" spans="1:14" ht="16" hidden="1" x14ac:dyDescent="0.2">
      <c r="A297" s="19" t="s">
        <v>781</v>
      </c>
      <c r="B297" s="20">
        <v>45215</v>
      </c>
      <c r="C297" s="19" t="str">
        <f>T("330239585:0830374275")</f>
        <v>330239585:0830374275</v>
      </c>
      <c r="D297" s="19" t="str">
        <f>T("Seniorenstift Erk")</f>
        <v>Seniorenstift Erk</v>
      </c>
      <c r="E297" s="19" t="str">
        <f>T("540012319")</f>
        <v>540012319</v>
      </c>
      <c r="F297" s="19" t="s">
        <v>16</v>
      </c>
      <c r="G297" s="19" t="s">
        <v>14</v>
      </c>
      <c r="H297" s="19" t="str">
        <f>T("607248235")</f>
        <v>607248235</v>
      </c>
      <c r="I297" s="19" t="s">
        <v>782</v>
      </c>
      <c r="J297" s="19" t="s">
        <v>783</v>
      </c>
      <c r="K297" s="19" t="str">
        <f>T("45665")</f>
        <v>45665</v>
      </c>
      <c r="L297" s="19" t="s">
        <v>35</v>
      </c>
      <c r="M297" s="21" t="s">
        <v>0</v>
      </c>
      <c r="N297" s="31">
        <v>45217</v>
      </c>
    </row>
    <row r="298" spans="1:14" ht="16" hidden="1" x14ac:dyDescent="0.2">
      <c r="A298" s="19" t="s">
        <v>784</v>
      </c>
      <c r="B298" s="20">
        <v>45215</v>
      </c>
      <c r="C298" s="19" t="str">
        <f>T("330238710:0830377134")</f>
        <v>330238710:0830377134</v>
      </c>
      <c r="D298" s="19" t="str">
        <f>T("WC BOUCHER")</f>
        <v>WC BOUCHER</v>
      </c>
      <c r="E298" s="19" t="str">
        <f>T("510146479")</f>
        <v>510146479</v>
      </c>
      <c r="F298" s="19" t="s">
        <v>17</v>
      </c>
      <c r="G298" s="19" t="s">
        <v>14</v>
      </c>
      <c r="H298" s="19" t="str">
        <f>T("607248249")</f>
        <v>607248249</v>
      </c>
      <c r="I298" s="19" t="s">
        <v>785</v>
      </c>
      <c r="J298" s="19" t="s">
        <v>786</v>
      </c>
      <c r="K298" s="19" t="str">
        <f>T("10150")</f>
        <v>10150</v>
      </c>
      <c r="L298" s="19" t="s">
        <v>19</v>
      </c>
      <c r="M298" s="21" t="s">
        <v>0</v>
      </c>
      <c r="N298" s="31">
        <v>45216</v>
      </c>
    </row>
    <row r="299" spans="1:14" ht="16" hidden="1" x14ac:dyDescent="0.2">
      <c r="A299" s="19" t="s">
        <v>787</v>
      </c>
      <c r="B299" s="20">
        <v>45215</v>
      </c>
      <c r="C299" s="19" t="str">
        <f>T("330238574:0830377124")</f>
        <v>330238574:0830377124</v>
      </c>
      <c r="D299" s="19" t="str">
        <f>T("WC-ROYA CHAUFFAGE")</f>
        <v>WC-ROYA CHAUFFAGE</v>
      </c>
      <c r="E299" s="19" t="str">
        <f>T("510146453")</f>
        <v>510146453</v>
      </c>
      <c r="F299" s="19" t="s">
        <v>17</v>
      </c>
      <c r="G299" s="19" t="s">
        <v>14</v>
      </c>
      <c r="H299" s="19" t="str">
        <f>T("607248252")</f>
        <v>607248252</v>
      </c>
      <c r="I299" s="19" t="s">
        <v>47</v>
      </c>
      <c r="J299" s="19" t="s">
        <v>180</v>
      </c>
      <c r="K299" s="19" t="str">
        <f>T("06370")</f>
        <v>06370</v>
      </c>
      <c r="L299" s="19" t="s">
        <v>19</v>
      </c>
      <c r="M299" s="21" t="s">
        <v>0</v>
      </c>
      <c r="N299" s="31">
        <v>45216</v>
      </c>
    </row>
    <row r="300" spans="1:14" ht="16" hidden="1" x14ac:dyDescent="0.2">
      <c r="A300" s="19" t="s">
        <v>788</v>
      </c>
      <c r="B300" s="20">
        <v>45215</v>
      </c>
      <c r="C300" s="19" t="str">
        <f>T("330238573:0830377123")</f>
        <v>330238573:0830377123</v>
      </c>
      <c r="D300" s="19" t="str">
        <f>T("WC-BARRIER")</f>
        <v>WC-BARRIER</v>
      </c>
      <c r="E300" s="19" t="str">
        <f>T("510146449")</f>
        <v>510146449</v>
      </c>
      <c r="F300" s="19" t="s">
        <v>17</v>
      </c>
      <c r="G300" s="19" t="s">
        <v>14</v>
      </c>
      <c r="H300" s="19" t="str">
        <f>T("607248266")</f>
        <v>607248266</v>
      </c>
      <c r="I300" s="19" t="s">
        <v>47</v>
      </c>
      <c r="J300" s="19" t="s">
        <v>435</v>
      </c>
      <c r="K300" s="19" t="str">
        <f>T("83160")</f>
        <v>83160</v>
      </c>
      <c r="L300" s="19" t="s">
        <v>19</v>
      </c>
      <c r="M300" s="21" t="s">
        <v>0</v>
      </c>
      <c r="N300" s="31">
        <v>45217</v>
      </c>
    </row>
    <row r="301" spans="1:14" ht="16" hidden="1" x14ac:dyDescent="0.2">
      <c r="A301" s="19" t="s">
        <v>789</v>
      </c>
      <c r="B301" s="20">
        <v>45215</v>
      </c>
      <c r="C301" s="19" t="str">
        <f>T("330239592:0830374279")</f>
        <v>330239592:0830374279</v>
      </c>
      <c r="D301" s="19" t="str">
        <f>T("Nikolai Nikolov 1")</f>
        <v>Nikolai Nikolov 1</v>
      </c>
      <c r="E301" s="19" t="str">
        <f>T("560021814")</f>
        <v>560021814</v>
      </c>
      <c r="F301" s="19" t="s">
        <v>16</v>
      </c>
      <c r="G301" s="19" t="s">
        <v>14</v>
      </c>
      <c r="H301" s="19" t="str">
        <f>T("607248270")</f>
        <v>607248270</v>
      </c>
      <c r="I301" s="19" t="s">
        <v>632</v>
      </c>
      <c r="J301" s="19" t="s">
        <v>633</v>
      </c>
      <c r="K301" s="19" t="str">
        <f>T("1784")</f>
        <v>1784</v>
      </c>
      <c r="L301" s="19" t="s">
        <v>634</v>
      </c>
      <c r="M301" s="21" t="s">
        <v>0</v>
      </c>
      <c r="N301" s="31">
        <v>45222</v>
      </c>
    </row>
    <row r="302" spans="1:14" ht="16" hidden="1" x14ac:dyDescent="0.2">
      <c r="A302" s="19" t="s">
        <v>790</v>
      </c>
      <c r="B302" s="20">
        <v>45215</v>
      </c>
      <c r="C302" s="19" t="str">
        <f>T("330238580:0830377125")</f>
        <v>330238580:0830377125</v>
      </c>
      <c r="D302" s="19" t="str">
        <f>T("C2309251 HYD 59BC")</f>
        <v>C2309251 HYD 59BC</v>
      </c>
      <c r="E302" s="19" t="str">
        <f>T("510146093")</f>
        <v>510146093</v>
      </c>
      <c r="F302" s="19" t="s">
        <v>17</v>
      </c>
      <c r="G302" s="19" t="s">
        <v>14</v>
      </c>
      <c r="H302" s="19" t="str">
        <f>T("607248283")</f>
        <v>607248283</v>
      </c>
      <c r="I302" s="19" t="s">
        <v>260</v>
      </c>
      <c r="J302" s="19" t="s">
        <v>261</v>
      </c>
      <c r="K302" s="19" t="str">
        <f>T("59650")</f>
        <v>59650</v>
      </c>
      <c r="L302" s="19" t="s">
        <v>19</v>
      </c>
      <c r="M302" s="21" t="s">
        <v>0</v>
      </c>
      <c r="N302" s="31">
        <v>45216</v>
      </c>
    </row>
    <row r="303" spans="1:14" ht="16" hidden="1" x14ac:dyDescent="0.2">
      <c r="A303" s="19" t="s">
        <v>791</v>
      </c>
      <c r="B303" s="20">
        <v>45215</v>
      </c>
      <c r="C303" s="19" t="str">
        <f>T("330239635:0830374236")</f>
        <v>330239635:0830374236</v>
      </c>
      <c r="D303" s="19" t="str">
        <f>T("WC-ASSELINEAU")</f>
        <v>WC-ASSELINEAU</v>
      </c>
      <c r="E303" s="19" t="str">
        <f>T("510146536")</f>
        <v>510146536</v>
      </c>
      <c r="F303" s="19" t="s">
        <v>17</v>
      </c>
      <c r="G303" s="19" t="s">
        <v>14</v>
      </c>
      <c r="H303" s="19" t="str">
        <f>T("607248297")</f>
        <v>607248297</v>
      </c>
      <c r="I303" s="19" t="s">
        <v>792</v>
      </c>
      <c r="J303" s="19" t="s">
        <v>793</v>
      </c>
      <c r="K303" s="19" t="str">
        <f>T("45140")</f>
        <v>45140</v>
      </c>
      <c r="L303" s="19" t="s">
        <v>19</v>
      </c>
      <c r="M303" s="21" t="s">
        <v>0</v>
      </c>
      <c r="N303" s="31">
        <v>45216</v>
      </c>
    </row>
    <row r="304" spans="1:14" ht="16" hidden="1" x14ac:dyDescent="0.2">
      <c r="A304" s="19" t="s">
        <v>794</v>
      </c>
      <c r="B304" s="20">
        <v>45215</v>
      </c>
      <c r="C304" s="19" t="str">
        <f>T("330239629:0830374232")</f>
        <v>330239629:0830374232</v>
      </c>
      <c r="D304" s="19" t="str">
        <f>T("161628")</f>
        <v>161628</v>
      </c>
      <c r="E304" s="19" t="str">
        <f>T("510146490")</f>
        <v>510146490</v>
      </c>
      <c r="F304" s="19" t="s">
        <v>17</v>
      </c>
      <c r="G304" s="19" t="s">
        <v>14</v>
      </c>
      <c r="H304" s="19" t="str">
        <f>T("607248371")</f>
        <v>607248371</v>
      </c>
      <c r="I304" s="19" t="s">
        <v>795</v>
      </c>
      <c r="J304" s="19" t="s">
        <v>796</v>
      </c>
      <c r="K304" s="19" t="str">
        <f>T("60510")</f>
        <v>60510</v>
      </c>
      <c r="L304" s="19" t="s">
        <v>19</v>
      </c>
      <c r="M304" s="21" t="s">
        <v>0</v>
      </c>
      <c r="N304" s="31">
        <v>45216</v>
      </c>
    </row>
    <row r="305" spans="1:15" ht="16" hidden="1" x14ac:dyDescent="0.2">
      <c r="A305" s="19" t="s">
        <v>797</v>
      </c>
      <c r="B305" s="20">
        <v>45215</v>
      </c>
      <c r="C305" s="19" t="str">
        <f>T("330239550:0830374200")</f>
        <v>330239550:0830374200</v>
      </c>
      <c r="D305" s="19" t="str">
        <f>T("ENGIE ST EGREVE")</f>
        <v>ENGIE ST EGREVE</v>
      </c>
      <c r="E305" s="19" t="str">
        <f>T("510146441")</f>
        <v>510146441</v>
      </c>
      <c r="F305" s="19" t="s">
        <v>17</v>
      </c>
      <c r="G305" s="19" t="s">
        <v>14</v>
      </c>
      <c r="H305" s="19" t="str">
        <f>T("607248473")</f>
        <v>607248473</v>
      </c>
      <c r="I305" s="19" t="s">
        <v>798</v>
      </c>
      <c r="J305" s="19" t="s">
        <v>799</v>
      </c>
      <c r="K305" s="19" t="str">
        <f>T("38120")</f>
        <v>38120</v>
      </c>
      <c r="L305" s="19" t="s">
        <v>19</v>
      </c>
      <c r="M305" s="21" t="s">
        <v>0</v>
      </c>
      <c r="N305" s="31">
        <v>45216</v>
      </c>
    </row>
    <row r="306" spans="1:15" ht="16" hidden="1" x14ac:dyDescent="0.2">
      <c r="A306" s="19" t="s">
        <v>800</v>
      </c>
      <c r="B306" s="20">
        <v>45215</v>
      </c>
      <c r="C306" s="19" t="str">
        <f>T("330239472:0830374139")</f>
        <v>330239472:0830374139</v>
      </c>
      <c r="D306" s="19" t="str">
        <f>T("ENJOY IMMOBILIARE")</f>
        <v>ENJOY IMMOBILIARE</v>
      </c>
      <c r="E306" s="19" t="str">
        <f>T("560021757")</f>
        <v>560021757</v>
      </c>
      <c r="F306" s="19" t="s">
        <v>16</v>
      </c>
      <c r="G306" s="19" t="s">
        <v>14</v>
      </c>
      <c r="H306" s="19" t="str">
        <f>T("607248310")</f>
        <v>607248310</v>
      </c>
      <c r="I306" s="19" t="s">
        <v>801</v>
      </c>
      <c r="J306" s="19" t="s">
        <v>802</v>
      </c>
      <c r="K306" s="19" t="str">
        <f>T("37060")</f>
        <v>37060</v>
      </c>
      <c r="L306" s="19" t="s">
        <v>18</v>
      </c>
      <c r="M306" s="21" t="s">
        <v>0</v>
      </c>
      <c r="N306" s="31">
        <v>45217</v>
      </c>
    </row>
    <row r="307" spans="1:15" ht="16" hidden="1" x14ac:dyDescent="0.2">
      <c r="A307" s="19" t="s">
        <v>803</v>
      </c>
      <c r="B307" s="20">
        <v>45215</v>
      </c>
      <c r="C307" s="19" t="str">
        <f>T("330239590:0830374278")</f>
        <v>330239590:0830374278</v>
      </c>
      <c r="D307" s="19" t="str">
        <f>T("1002Ozon")</f>
        <v>1002Ozon</v>
      </c>
      <c r="E307" s="19" t="str">
        <f>T("560021823")</f>
        <v>560021823</v>
      </c>
      <c r="F307" s="19" t="s">
        <v>17</v>
      </c>
      <c r="G307" s="19" t="s">
        <v>14</v>
      </c>
      <c r="H307" s="19" t="str">
        <f>T("607248354")</f>
        <v>607248354</v>
      </c>
      <c r="I307" s="19" t="s">
        <v>42</v>
      </c>
      <c r="J307" s="19" t="s">
        <v>653</v>
      </c>
      <c r="K307" s="19" t="str">
        <f>T("1131")</f>
        <v>1131</v>
      </c>
      <c r="L307" s="19" t="s">
        <v>43</v>
      </c>
      <c r="M307" s="21" t="s">
        <v>0</v>
      </c>
      <c r="N307" s="31">
        <v>45216</v>
      </c>
    </row>
    <row r="308" spans="1:15" ht="16" hidden="1" x14ac:dyDescent="0.2">
      <c r="A308" s="19" t="s">
        <v>804</v>
      </c>
      <c r="B308" s="20">
        <v>45215</v>
      </c>
      <c r="C308" s="19" t="str">
        <f>T("330239627:0830374230")</f>
        <v>330239627:0830374230</v>
      </c>
      <c r="D308" s="19" t="str">
        <f>T("161658")</f>
        <v>161658</v>
      </c>
      <c r="E308" s="19" t="str">
        <f>T("510146493")</f>
        <v>510146493</v>
      </c>
      <c r="F308" s="19" t="s">
        <v>17</v>
      </c>
      <c r="G308" s="19" t="s">
        <v>14</v>
      </c>
      <c r="H308" s="19" t="str">
        <f>T("607248337")</f>
        <v>607248337</v>
      </c>
      <c r="I308" s="19" t="s">
        <v>805</v>
      </c>
      <c r="J308" s="19" t="s">
        <v>806</v>
      </c>
      <c r="K308" s="19" t="str">
        <f>T("91190")</f>
        <v>91190</v>
      </c>
      <c r="L308" s="19" t="s">
        <v>19</v>
      </c>
      <c r="M308" s="21" t="s">
        <v>0</v>
      </c>
      <c r="N308" s="31">
        <v>45216</v>
      </c>
    </row>
    <row r="309" spans="1:15" ht="16" x14ac:dyDescent="0.2">
      <c r="A309" s="19" t="s">
        <v>807</v>
      </c>
      <c r="B309" s="20">
        <v>45215</v>
      </c>
      <c r="C309" s="19" t="str">
        <f>T("330238563:0830377119")</f>
        <v>330238563:0830377119</v>
      </c>
      <c r="D309" s="19" t="str">
        <f>T("WC GSE REIMS ARE")</f>
        <v>WC GSE REIMS ARE</v>
      </c>
      <c r="E309" s="19" t="str">
        <f>T("510146433")</f>
        <v>510146433</v>
      </c>
      <c r="F309" s="19" t="s">
        <v>17</v>
      </c>
      <c r="G309" s="19" t="s">
        <v>14</v>
      </c>
      <c r="H309" s="19" t="str">
        <f>T("607248368")</f>
        <v>607248368</v>
      </c>
      <c r="I309" s="19" t="s">
        <v>808</v>
      </c>
      <c r="J309" s="19" t="s">
        <v>809</v>
      </c>
      <c r="K309" s="19" t="str">
        <f>T("51000")</f>
        <v>51000</v>
      </c>
      <c r="L309" s="19" t="s">
        <v>19</v>
      </c>
      <c r="M309" s="21" t="s">
        <v>1</v>
      </c>
      <c r="N309" s="21"/>
    </row>
    <row r="310" spans="1:15" ht="16" hidden="1" x14ac:dyDescent="0.2">
      <c r="A310" s="19" t="s">
        <v>810</v>
      </c>
      <c r="B310" s="20">
        <v>45215</v>
      </c>
      <c r="C310" s="19" t="str">
        <f>T("330238711:0830377135")</f>
        <v>330238711:0830377135</v>
      </c>
      <c r="D310" s="19" t="str">
        <f>T("WC Villeneuve les")</f>
        <v>WC Villeneuve les</v>
      </c>
      <c r="E310" s="19" t="str">
        <f>T("510146468")</f>
        <v>510146468</v>
      </c>
      <c r="F310" s="19" t="s">
        <v>17</v>
      </c>
      <c r="G310" s="19" t="s">
        <v>14</v>
      </c>
      <c r="H310" s="19" t="str">
        <f>T("607248385")</f>
        <v>607248385</v>
      </c>
      <c r="I310" s="19" t="s">
        <v>811</v>
      </c>
      <c r="J310" s="19" t="s">
        <v>812</v>
      </c>
      <c r="K310" s="19" t="str">
        <f>T("31100")</f>
        <v>31100</v>
      </c>
      <c r="L310" s="19" t="s">
        <v>19</v>
      </c>
      <c r="M310" s="21" t="s">
        <v>0</v>
      </c>
      <c r="N310" s="31">
        <v>45216</v>
      </c>
    </row>
    <row r="311" spans="1:15" ht="16" x14ac:dyDescent="0.2">
      <c r="A311" s="19" t="s">
        <v>813</v>
      </c>
      <c r="B311" s="20">
        <v>45215</v>
      </c>
      <c r="C311" s="19" t="str">
        <f>T("330238719:0830377138")</f>
        <v>330238719:0830377138</v>
      </c>
      <c r="D311" s="19" t="str">
        <f>T("WC Mairie Montaub")</f>
        <v>WC Mairie Montaub</v>
      </c>
      <c r="E311" s="19" t="str">
        <f>T("510146492")</f>
        <v>510146492</v>
      </c>
      <c r="F311" s="19" t="s">
        <v>17</v>
      </c>
      <c r="G311" s="19" t="s">
        <v>14</v>
      </c>
      <c r="H311" s="19" t="str">
        <f>T("607248399")</f>
        <v>607248399</v>
      </c>
      <c r="I311" s="19" t="s">
        <v>814</v>
      </c>
      <c r="J311" s="19" t="s">
        <v>815</v>
      </c>
      <c r="K311" s="19" t="str">
        <f>T("82000")</f>
        <v>82000</v>
      </c>
      <c r="L311" s="19" t="s">
        <v>19</v>
      </c>
      <c r="M311" s="21" t="s">
        <v>1</v>
      </c>
      <c r="N311" s="31" t="s">
        <v>66</v>
      </c>
    </row>
    <row r="312" spans="1:15" ht="16" hidden="1" x14ac:dyDescent="0.2">
      <c r="A312" s="19" t="s">
        <v>816</v>
      </c>
      <c r="B312" s="20">
        <v>45215</v>
      </c>
      <c r="C312" s="19" t="str">
        <f>T("330239496:0830374152")</f>
        <v>330239496:0830374152</v>
      </c>
      <c r="D312" s="19" t="str">
        <f>T("CSC")</f>
        <v>CSC</v>
      </c>
      <c r="E312" s="19" t="str">
        <f>T("560021916")</f>
        <v>560021916</v>
      </c>
      <c r="F312" s="19" t="s">
        <v>16</v>
      </c>
      <c r="G312" s="19" t="s">
        <v>14</v>
      </c>
      <c r="H312" s="19" t="str">
        <f>T("607248456")</f>
        <v>607248456</v>
      </c>
      <c r="I312" s="19" t="s">
        <v>817</v>
      </c>
      <c r="J312" s="19" t="s">
        <v>818</v>
      </c>
      <c r="K312" s="19" t="str">
        <f>T("27027")</f>
        <v>27027</v>
      </c>
      <c r="L312" s="19" t="s">
        <v>18</v>
      </c>
      <c r="M312" s="21" t="s">
        <v>0</v>
      </c>
      <c r="N312" s="31">
        <v>45217</v>
      </c>
    </row>
    <row r="313" spans="1:15" ht="16" hidden="1" x14ac:dyDescent="0.2">
      <c r="A313" s="19" t="s">
        <v>819</v>
      </c>
      <c r="B313" s="20">
        <v>45215</v>
      </c>
      <c r="C313" s="19" t="str">
        <f>T("330238570:0830377121")</f>
        <v>330238570:0830377121</v>
      </c>
      <c r="D313" s="19" t="str">
        <f>T("WC-MR BRUNO")</f>
        <v>WC-MR BRUNO</v>
      </c>
      <c r="E313" s="19" t="str">
        <f>T("510146442")</f>
        <v>510146442</v>
      </c>
      <c r="F313" s="19" t="s">
        <v>17</v>
      </c>
      <c r="G313" s="19" t="s">
        <v>14</v>
      </c>
      <c r="H313" s="19" t="str">
        <f>T("607248411")</f>
        <v>607248411</v>
      </c>
      <c r="I313" s="19" t="s">
        <v>47</v>
      </c>
      <c r="J313" s="19" t="s">
        <v>185</v>
      </c>
      <c r="K313" s="19" t="str">
        <f>T("45140")</f>
        <v>45140</v>
      </c>
      <c r="L313" s="19" t="s">
        <v>19</v>
      </c>
      <c r="M313" s="21" t="s">
        <v>0</v>
      </c>
      <c r="N313" s="31">
        <v>45216</v>
      </c>
    </row>
    <row r="314" spans="1:15" ht="16" hidden="1" x14ac:dyDescent="0.2">
      <c r="A314" s="19" t="s">
        <v>820</v>
      </c>
      <c r="B314" s="20">
        <v>45215</v>
      </c>
      <c r="C314" s="19" t="str">
        <f>T("330238763:0830377142")</f>
        <v>330238763:0830377142</v>
      </c>
      <c r="D314" s="19" t="str">
        <f>T("WC")</f>
        <v>WC</v>
      </c>
      <c r="E314" s="19" t="str">
        <f>T("510146412")</f>
        <v>510146412</v>
      </c>
      <c r="F314" s="19" t="s">
        <v>17</v>
      </c>
      <c r="G314" s="19" t="s">
        <v>14</v>
      </c>
      <c r="H314" s="19" t="str">
        <f>T("607248425")</f>
        <v>607248425</v>
      </c>
      <c r="I314" s="19" t="s">
        <v>821</v>
      </c>
      <c r="J314" s="19" t="s">
        <v>822</v>
      </c>
      <c r="K314" s="19" t="str">
        <f>T("41100")</f>
        <v>41100</v>
      </c>
      <c r="L314" s="19" t="s">
        <v>19</v>
      </c>
      <c r="M314" s="21" t="s">
        <v>0</v>
      </c>
      <c r="N314" s="31">
        <v>45216</v>
      </c>
    </row>
    <row r="315" spans="1:15" ht="16" hidden="1" x14ac:dyDescent="0.2">
      <c r="A315" s="19" t="s">
        <v>823</v>
      </c>
      <c r="B315" s="20">
        <v>45215</v>
      </c>
      <c r="C315" s="19" t="str">
        <f>T("330239656:0830374251")</f>
        <v>330239656:0830374251</v>
      </c>
      <c r="D315" s="19" t="str">
        <f>T("230904296")</f>
        <v>230904296</v>
      </c>
      <c r="E315" s="19" t="str">
        <f>T("510145946")</f>
        <v>510145946</v>
      </c>
      <c r="F315" s="19" t="s">
        <v>17</v>
      </c>
      <c r="G315" s="19" t="s">
        <v>14</v>
      </c>
      <c r="H315" s="19" t="str">
        <f>T("607248439")</f>
        <v>607248439</v>
      </c>
      <c r="I315" s="19" t="s">
        <v>700</v>
      </c>
      <c r="J315" s="19" t="s">
        <v>701</v>
      </c>
      <c r="K315" s="19" t="str">
        <f>T("31140")</f>
        <v>31140</v>
      </c>
      <c r="L315" s="19" t="s">
        <v>19</v>
      </c>
      <c r="M315" s="21" t="s">
        <v>0</v>
      </c>
      <c r="N315" s="31">
        <v>45216</v>
      </c>
    </row>
    <row r="316" spans="1:15" ht="16" hidden="1" x14ac:dyDescent="0.2">
      <c r="A316" s="19" t="s">
        <v>824</v>
      </c>
      <c r="B316" s="20">
        <v>45215</v>
      </c>
      <c r="C316" s="19" t="str">
        <f>T("330239636:0830377147")</f>
        <v>330239636:0830377147</v>
      </c>
      <c r="D316" s="19" t="str">
        <f>T("WC244834 FLOCON/")</f>
        <v>WC244834 FLOCON/</v>
      </c>
      <c r="E316" s="19" t="str">
        <f>T("510146528")</f>
        <v>510146528</v>
      </c>
      <c r="F316" s="19" t="s">
        <v>17</v>
      </c>
      <c r="G316" s="19" t="s">
        <v>14</v>
      </c>
      <c r="H316" s="19" t="str">
        <f>T("607248442")</f>
        <v>607248442</v>
      </c>
      <c r="I316" s="19" t="s">
        <v>21</v>
      </c>
      <c r="J316" s="19" t="s">
        <v>825</v>
      </c>
      <c r="K316" s="19" t="str">
        <f>T("25220")</f>
        <v>25220</v>
      </c>
      <c r="L316" s="19" t="s">
        <v>19</v>
      </c>
      <c r="M316" s="21" t="s">
        <v>0</v>
      </c>
      <c r="N316" s="31">
        <v>45216</v>
      </c>
    </row>
    <row r="317" spans="1:15" ht="16" hidden="1" x14ac:dyDescent="0.2">
      <c r="A317" s="19" t="s">
        <v>826</v>
      </c>
      <c r="B317" s="20">
        <v>45215</v>
      </c>
      <c r="C317" s="19" t="str">
        <f>T("330239637:0830377148")</f>
        <v>330239637:0830377148</v>
      </c>
      <c r="D317" s="19" t="str">
        <f>T("WC GOLLANDIERES")</f>
        <v>WC GOLLANDIERES</v>
      </c>
      <c r="E317" s="19" t="str">
        <f>T("510146504")</f>
        <v>510146504</v>
      </c>
      <c r="F317" s="19" t="s">
        <v>17</v>
      </c>
      <c r="G317" s="19" t="s">
        <v>14</v>
      </c>
      <c r="H317" s="19" t="str">
        <f>T("607248460")</f>
        <v>607248460</v>
      </c>
      <c r="I317" s="19" t="s">
        <v>827</v>
      </c>
      <c r="J317" s="19" t="s">
        <v>828</v>
      </c>
      <c r="K317" s="19" t="str">
        <f>T("17100")</f>
        <v>17100</v>
      </c>
      <c r="L317" s="19" t="s">
        <v>19</v>
      </c>
      <c r="M317" s="21" t="s">
        <v>0</v>
      </c>
      <c r="N317" s="31">
        <v>45217</v>
      </c>
    </row>
    <row r="318" spans="1:15" ht="16" x14ac:dyDescent="0.2">
      <c r="A318" s="19" t="s">
        <v>829</v>
      </c>
      <c r="B318" s="20">
        <v>45215</v>
      </c>
      <c r="C318" s="19" t="str">
        <f>T("330238746:0830377141")</f>
        <v>330238746:0830377141</v>
      </c>
      <c r="D318" s="19" t="str">
        <f>T("00100251-RWM6 SAV")</f>
        <v>00100251-RWM6 SAV</v>
      </c>
      <c r="E318" s="19" t="str">
        <f>T("510146200")</f>
        <v>510146200</v>
      </c>
      <c r="F318" s="19" t="s">
        <v>17</v>
      </c>
      <c r="G318" s="19" t="s">
        <v>14</v>
      </c>
      <c r="H318" s="19" t="str">
        <f>T("607248487")</f>
        <v>607248487</v>
      </c>
      <c r="I318" s="19" t="s">
        <v>830</v>
      </c>
      <c r="J318" s="19" t="s">
        <v>831</v>
      </c>
      <c r="K318" s="19" t="str">
        <f>T("91600")</f>
        <v>91600</v>
      </c>
      <c r="L318" s="19" t="s">
        <v>19</v>
      </c>
      <c r="M318" s="21" t="s">
        <v>61</v>
      </c>
      <c r="N318" s="21"/>
      <c r="O318" s="1" t="s">
        <v>1055</v>
      </c>
    </row>
    <row r="319" spans="1:15" ht="16" hidden="1" x14ac:dyDescent="0.2">
      <c r="A319" s="19" t="s">
        <v>832</v>
      </c>
      <c r="B319" s="20">
        <v>45215</v>
      </c>
      <c r="C319" s="19" t="str">
        <f>T("330238720:0830377139")</f>
        <v>330238720:0830377139</v>
      </c>
      <c r="D319" s="19" t="str">
        <f>T("WC")</f>
        <v>WC</v>
      </c>
      <c r="E319" s="19" t="str">
        <f>T("510146496")</f>
        <v>510146496</v>
      </c>
      <c r="F319" s="19" t="s">
        <v>17</v>
      </c>
      <c r="G319" s="19" t="s">
        <v>14</v>
      </c>
      <c r="H319" s="19" t="str">
        <f>T("607248495")</f>
        <v>607248495</v>
      </c>
      <c r="I319" s="19" t="s">
        <v>833</v>
      </c>
      <c r="J319" s="19" t="s">
        <v>834</v>
      </c>
      <c r="K319" s="19" t="str">
        <f>T("57970")</f>
        <v>57970</v>
      </c>
      <c r="L319" s="19" t="s">
        <v>19</v>
      </c>
      <c r="M319" s="21" t="s">
        <v>0</v>
      </c>
      <c r="N319" s="31">
        <v>45216</v>
      </c>
    </row>
    <row r="320" spans="1:15" ht="16" hidden="1" x14ac:dyDescent="0.2">
      <c r="A320" s="19" t="s">
        <v>835</v>
      </c>
      <c r="B320" s="20">
        <v>45215</v>
      </c>
      <c r="C320" s="19" t="str">
        <f>T("330238571:0830377122")</f>
        <v>330238571:0830377122</v>
      </c>
      <c r="D320" s="19" t="str">
        <f>T("WC-ENGIE")</f>
        <v>WC-ENGIE</v>
      </c>
      <c r="E320" s="19" t="str">
        <f>T("510146443")</f>
        <v>510146443</v>
      </c>
      <c r="F320" s="19" t="s">
        <v>17</v>
      </c>
      <c r="G320" s="19" t="s">
        <v>14</v>
      </c>
      <c r="H320" s="19" t="str">
        <f>T("607248500")</f>
        <v>607248500</v>
      </c>
      <c r="I320" s="19" t="s">
        <v>47</v>
      </c>
      <c r="J320" s="19" t="s">
        <v>180</v>
      </c>
      <c r="K320" s="19" t="str">
        <f>T("06370")</f>
        <v>06370</v>
      </c>
      <c r="L320" s="19" t="s">
        <v>19</v>
      </c>
      <c r="M320" s="21" t="s">
        <v>0</v>
      </c>
      <c r="N320" s="31">
        <v>45216</v>
      </c>
    </row>
    <row r="321" spans="1:15" ht="16" hidden="1" x14ac:dyDescent="0.2">
      <c r="A321" s="19" t="s">
        <v>836</v>
      </c>
      <c r="B321" s="20">
        <v>45215</v>
      </c>
      <c r="C321" s="19" t="str">
        <f>T("330239586:0830374276")</f>
        <v>330239586:0830374276</v>
      </c>
      <c r="D321" s="19" t="str">
        <f>T("Jet J05966 Ettenh")</f>
        <v>Jet J05966 Ettenh</v>
      </c>
      <c r="E321" s="19" t="str">
        <f>T("540012317")</f>
        <v>540012317</v>
      </c>
      <c r="F321" s="19" t="s">
        <v>16</v>
      </c>
      <c r="G321" s="19" t="s">
        <v>14</v>
      </c>
      <c r="H321" s="19" t="str">
        <f>T("607248527")</f>
        <v>607248527</v>
      </c>
      <c r="I321" s="19" t="s">
        <v>837</v>
      </c>
      <c r="J321" s="19" t="s">
        <v>838</v>
      </c>
      <c r="K321" s="19" t="str">
        <f>T("79232")</f>
        <v>79232</v>
      </c>
      <c r="L321" s="19" t="s">
        <v>35</v>
      </c>
      <c r="M321" s="21" t="s">
        <v>0</v>
      </c>
      <c r="N321" s="31">
        <v>45217</v>
      </c>
      <c r="O321" s="1" t="s">
        <v>66</v>
      </c>
    </row>
    <row r="322" spans="1:15" ht="16" hidden="1" x14ac:dyDescent="0.2">
      <c r="A322" s="19" t="s">
        <v>839</v>
      </c>
      <c r="B322" s="20">
        <v>45215</v>
      </c>
      <c r="C322" s="19" t="str">
        <f>T("330238610:0830377130")</f>
        <v>330238610:0830377130</v>
      </c>
      <c r="D322" s="19" t="str">
        <f>T("CLIENT PELLEGRIN")</f>
        <v>CLIENT PELLEGRIN</v>
      </c>
      <c r="E322" s="19" t="str">
        <f>T("510146056")</f>
        <v>510146056</v>
      </c>
      <c r="F322" s="19" t="s">
        <v>16</v>
      </c>
      <c r="G322" s="19" t="s">
        <v>14</v>
      </c>
      <c r="H322" s="19" t="str">
        <f>T("607248535")</f>
        <v>607248535</v>
      </c>
      <c r="I322" s="19" t="s">
        <v>840</v>
      </c>
      <c r="J322" s="19" t="s">
        <v>841</v>
      </c>
      <c r="K322" s="19" t="str">
        <f>T("13190")</f>
        <v>13190</v>
      </c>
      <c r="L322" s="19" t="s">
        <v>19</v>
      </c>
      <c r="M322" s="21" t="s">
        <v>0</v>
      </c>
      <c r="N322" s="31">
        <v>45216</v>
      </c>
      <c r="O322" s="1" t="s">
        <v>60</v>
      </c>
    </row>
    <row r="323" spans="1:15" ht="16" hidden="1" x14ac:dyDescent="0.2">
      <c r="A323" s="19" t="s">
        <v>842</v>
      </c>
      <c r="B323" s="20">
        <v>45215</v>
      </c>
      <c r="C323" s="19" t="str">
        <f>T("330239434:0830374112")</f>
        <v>330239434:0830374112</v>
      </c>
      <c r="D323" s="19" t="str">
        <f>T("UNIESSE")</f>
        <v>UNIESSE</v>
      </c>
      <c r="E323" s="19" t="str">
        <f>T("560021765")</f>
        <v>560021765</v>
      </c>
      <c r="F323" s="19" t="s">
        <v>16</v>
      </c>
      <c r="G323" s="19" t="s">
        <v>14</v>
      </c>
      <c r="H323" s="19" t="str">
        <f>T("607248544")</f>
        <v>607248544</v>
      </c>
      <c r="I323" s="19" t="s">
        <v>725</v>
      </c>
      <c r="J323" s="19" t="s">
        <v>726</v>
      </c>
      <c r="K323" s="19" t="str">
        <f>T("20089")</f>
        <v>20089</v>
      </c>
      <c r="L323" s="19" t="s">
        <v>18</v>
      </c>
      <c r="M323" s="21" t="s">
        <v>0</v>
      </c>
      <c r="N323" s="31">
        <v>45217</v>
      </c>
    </row>
    <row r="324" spans="1:15" ht="16" hidden="1" x14ac:dyDescent="0.2">
      <c r="A324" s="19" t="s">
        <v>843</v>
      </c>
      <c r="B324" s="20">
        <v>45215</v>
      </c>
      <c r="C324" s="19" t="str">
        <f>T("330238600:0830377128")</f>
        <v>330238600:0830377128</v>
      </c>
      <c r="D324" s="19" t="str">
        <f>T("SAV stock")</f>
        <v>SAV stock</v>
      </c>
      <c r="E324" s="19" t="str">
        <f>T("510146010")</f>
        <v>510146010</v>
      </c>
      <c r="F324" s="19" t="s">
        <v>17</v>
      </c>
      <c r="G324" s="19" t="s">
        <v>14</v>
      </c>
      <c r="H324" s="19" t="str">
        <f>T("607248558")</f>
        <v>607248558</v>
      </c>
      <c r="I324" s="19" t="s">
        <v>48</v>
      </c>
      <c r="J324" s="19" t="s">
        <v>417</v>
      </c>
      <c r="K324" s="19" t="str">
        <f>T("50700")</f>
        <v>50700</v>
      </c>
      <c r="L324" s="19" t="s">
        <v>19</v>
      </c>
      <c r="M324" s="21" t="s">
        <v>0</v>
      </c>
      <c r="N324" s="31">
        <v>45217</v>
      </c>
    </row>
    <row r="325" spans="1:15" ht="16" hidden="1" x14ac:dyDescent="0.2">
      <c r="A325" s="19" t="s">
        <v>844</v>
      </c>
      <c r="B325" s="20">
        <v>45215</v>
      </c>
      <c r="C325" s="19" t="str">
        <f>T("330239631:0830377146")</f>
        <v>330239631:0830377146</v>
      </c>
      <c r="D325" s="19" t="str">
        <f>T("161614")</f>
        <v>161614</v>
      </c>
      <c r="E325" s="19" t="str">
        <f>T("510146480")</f>
        <v>510146480</v>
      </c>
      <c r="F325" s="19" t="s">
        <v>17</v>
      </c>
      <c r="G325" s="19" t="s">
        <v>14</v>
      </c>
      <c r="H325" s="19" t="str">
        <f>T("607248561")</f>
        <v>607248561</v>
      </c>
      <c r="I325" s="19" t="s">
        <v>845</v>
      </c>
      <c r="J325" s="19" t="s">
        <v>846</v>
      </c>
      <c r="K325" s="19" t="str">
        <f>T("93290")</f>
        <v>93290</v>
      </c>
      <c r="L325" s="19" t="s">
        <v>19</v>
      </c>
      <c r="M325" s="21" t="s">
        <v>0</v>
      </c>
      <c r="N325" s="31">
        <v>45216</v>
      </c>
    </row>
    <row r="326" spans="1:15" ht="16" hidden="1" x14ac:dyDescent="0.2">
      <c r="A326" s="19" t="s">
        <v>847</v>
      </c>
      <c r="B326" s="20">
        <v>45215</v>
      </c>
      <c r="C326" s="19" t="str">
        <f>T("330239641:0830374240")</f>
        <v>330239641:0830374240</v>
      </c>
      <c r="D326" s="19" t="str">
        <f>T("C2310028HYD 44BC0")</f>
        <v>C2310028HYD 44BC0</v>
      </c>
      <c r="E326" s="19" t="str">
        <f>T("510146279")</f>
        <v>510146279</v>
      </c>
      <c r="F326" s="19" t="s">
        <v>17</v>
      </c>
      <c r="G326" s="19" t="s">
        <v>14</v>
      </c>
      <c r="H326" s="19" t="str">
        <f>T("607248575")</f>
        <v>607248575</v>
      </c>
      <c r="I326" s="19" t="s">
        <v>848</v>
      </c>
      <c r="J326" s="19" t="s">
        <v>849</v>
      </c>
      <c r="K326" s="19" t="str">
        <f>T("12000")</f>
        <v>12000</v>
      </c>
      <c r="L326" s="19" t="s">
        <v>19</v>
      </c>
      <c r="M326" s="21" t="s">
        <v>0</v>
      </c>
      <c r="N326" s="31">
        <v>45218</v>
      </c>
    </row>
    <row r="327" spans="1:15" ht="16" hidden="1" x14ac:dyDescent="0.2">
      <c r="A327" s="19" t="s">
        <v>850</v>
      </c>
      <c r="B327" s="20">
        <v>45215</v>
      </c>
      <c r="C327" s="19" t="str">
        <f>T("330239610:0830377225")</f>
        <v>330239610:0830377225</v>
      </c>
      <c r="D327" s="19" t="str">
        <f>T("WC PATRICK CUVILL")</f>
        <v>WC PATRICK CUVILL</v>
      </c>
      <c r="E327" s="19" t="str">
        <f>T("510146562")</f>
        <v>510146562</v>
      </c>
      <c r="F327" s="19" t="s">
        <v>17</v>
      </c>
      <c r="G327" s="19" t="s">
        <v>14</v>
      </c>
      <c r="H327" s="19" t="str">
        <f>T("607248592")</f>
        <v>607248592</v>
      </c>
      <c r="I327" s="19" t="s">
        <v>851</v>
      </c>
      <c r="J327" s="19" t="s">
        <v>852</v>
      </c>
      <c r="K327" s="19" t="str">
        <f>T("54180")</f>
        <v>54180</v>
      </c>
      <c r="L327" s="19" t="s">
        <v>19</v>
      </c>
      <c r="M327" s="21" t="s">
        <v>0</v>
      </c>
      <c r="N327" s="31">
        <v>45217</v>
      </c>
    </row>
    <row r="328" spans="1:15" ht="16" hidden="1" x14ac:dyDescent="0.2">
      <c r="A328" s="19" t="s">
        <v>853</v>
      </c>
      <c r="B328" s="20">
        <v>45215</v>
      </c>
      <c r="C328" s="19" t="str">
        <f>T("330239600:0830374285")</f>
        <v>330239600:0830374285</v>
      </c>
      <c r="D328" s="19" t="str">
        <f>T("Ruvex 155")</f>
        <v>Ruvex 155</v>
      </c>
      <c r="E328" s="19" t="str">
        <f>T("560021770")</f>
        <v>560021770</v>
      </c>
      <c r="F328" s="19" t="s">
        <v>17</v>
      </c>
      <c r="G328" s="19" t="s">
        <v>14</v>
      </c>
      <c r="H328" s="19" t="str">
        <f>T("607248601")</f>
        <v>607248601</v>
      </c>
      <c r="I328" s="19" t="s">
        <v>632</v>
      </c>
      <c r="J328" s="19" t="s">
        <v>854</v>
      </c>
      <c r="K328" s="19" t="str">
        <f>T("1784")</f>
        <v>1784</v>
      </c>
      <c r="L328" s="19" t="s">
        <v>634</v>
      </c>
      <c r="M328" s="21" t="s">
        <v>0</v>
      </c>
      <c r="N328" s="31">
        <v>45216</v>
      </c>
    </row>
    <row r="329" spans="1:15" ht="16" hidden="1" x14ac:dyDescent="0.2">
      <c r="A329" s="19" t="s">
        <v>855</v>
      </c>
      <c r="B329" s="20">
        <v>45215</v>
      </c>
      <c r="C329" s="19" t="str">
        <f>T("330239546:0830374197")</f>
        <v>330239546:0830374197</v>
      </c>
      <c r="D329" s="19" t="str">
        <f>T("FL ENERGIES")</f>
        <v>FL ENERGIES</v>
      </c>
      <c r="E329" s="19" t="str">
        <f>T("510146393")</f>
        <v>510146393</v>
      </c>
      <c r="F329" s="19" t="s">
        <v>17</v>
      </c>
      <c r="G329" s="19" t="s">
        <v>14</v>
      </c>
      <c r="H329" s="19" t="str">
        <f>T("607248615")</f>
        <v>607248615</v>
      </c>
      <c r="I329" s="19" t="s">
        <v>856</v>
      </c>
      <c r="J329" s="19" t="s">
        <v>857</v>
      </c>
      <c r="K329" s="19" t="str">
        <f>T("26110")</f>
        <v>26110</v>
      </c>
      <c r="L329" s="19" t="s">
        <v>19</v>
      </c>
      <c r="M329" s="21" t="s">
        <v>0</v>
      </c>
      <c r="N329" s="31">
        <v>45216</v>
      </c>
    </row>
    <row r="330" spans="1:15" ht="16" hidden="1" x14ac:dyDescent="0.2">
      <c r="A330" s="19" t="s">
        <v>858</v>
      </c>
      <c r="B330" s="20">
        <v>45215</v>
      </c>
      <c r="C330" s="19" t="str">
        <f>T("330239613:0830374228")</f>
        <v>330239613:0830374228</v>
      </c>
      <c r="D330" s="19" t="str">
        <f>T("WC ACLIMGELEC/S")</f>
        <v>WC ACLIMGELEC/S</v>
      </c>
      <c r="E330" s="19" t="str">
        <f>T("510146559")</f>
        <v>510146559</v>
      </c>
      <c r="F330" s="19" t="s">
        <v>17</v>
      </c>
      <c r="G330" s="19" t="s">
        <v>14</v>
      </c>
      <c r="H330" s="19" t="str">
        <f>T("607248629")</f>
        <v>607248629</v>
      </c>
      <c r="I330" s="19" t="s">
        <v>851</v>
      </c>
      <c r="J330" s="19" t="s">
        <v>859</v>
      </c>
      <c r="K330" s="19" t="str">
        <f>T("54180")</f>
        <v>54180</v>
      </c>
      <c r="L330" s="19" t="s">
        <v>19</v>
      </c>
      <c r="M330" s="21" t="s">
        <v>0</v>
      </c>
      <c r="N330" s="31">
        <v>45217</v>
      </c>
    </row>
    <row r="331" spans="1:15" ht="16" hidden="1" x14ac:dyDescent="0.2">
      <c r="A331" s="19" t="s">
        <v>860</v>
      </c>
      <c r="B331" s="20">
        <v>45215</v>
      </c>
      <c r="C331" s="19" t="str">
        <f>T("330239498:0830377211")</f>
        <v>330239498:0830377211</v>
      </c>
      <c r="D331" s="19" t="str">
        <f>T("May-23")</f>
        <v>May-23</v>
      </c>
      <c r="E331" s="19" t="str">
        <f>T("560021853")</f>
        <v>560021853</v>
      </c>
      <c r="F331" s="19" t="s">
        <v>16</v>
      </c>
      <c r="G331" s="19" t="s">
        <v>14</v>
      </c>
      <c r="H331" s="19" t="str">
        <f>T("607248632")</f>
        <v>607248632</v>
      </c>
      <c r="I331" s="19" t="s">
        <v>861</v>
      </c>
      <c r="J331" s="19" t="s">
        <v>862</v>
      </c>
      <c r="K331" s="19" t="str">
        <f>T("22100")</f>
        <v>22100</v>
      </c>
      <c r="L331" s="19" t="s">
        <v>18</v>
      </c>
      <c r="M331" s="21" t="s">
        <v>0</v>
      </c>
      <c r="N331" s="31">
        <v>45217</v>
      </c>
    </row>
    <row r="332" spans="1:15" ht="16" hidden="1" x14ac:dyDescent="0.2">
      <c r="A332" s="19" t="s">
        <v>863</v>
      </c>
      <c r="B332" s="20">
        <v>45215</v>
      </c>
      <c r="C332" s="19" t="str">
        <f>T("330239611:0830377226")</f>
        <v>330239611:0830377226</v>
      </c>
      <c r="D332" s="19" t="str">
        <f>T("WC MR RUIZ")</f>
        <v>WC MR RUIZ</v>
      </c>
      <c r="E332" s="19" t="str">
        <f>T("510146561")</f>
        <v>510146561</v>
      </c>
      <c r="F332" s="19" t="s">
        <v>16</v>
      </c>
      <c r="G332" s="19" t="s">
        <v>14</v>
      </c>
      <c r="H332" s="19" t="str">
        <f>T("607248650")</f>
        <v>607248650</v>
      </c>
      <c r="I332" s="19" t="s">
        <v>22</v>
      </c>
      <c r="J332" s="19" t="s">
        <v>639</v>
      </c>
      <c r="K332" s="19" t="str">
        <f>T("26000")</f>
        <v>26000</v>
      </c>
      <c r="L332" s="19" t="s">
        <v>19</v>
      </c>
      <c r="M332" s="21" t="s">
        <v>0</v>
      </c>
      <c r="N332" s="31">
        <v>45216</v>
      </c>
    </row>
    <row r="333" spans="1:15" ht="16" hidden="1" x14ac:dyDescent="0.2">
      <c r="A333" s="19" t="s">
        <v>864</v>
      </c>
      <c r="B333" s="20">
        <v>45215</v>
      </c>
      <c r="C333" s="19" t="str">
        <f>T("330239617:0830377190")</f>
        <v>330239617:0830377190</v>
      </c>
      <c r="D333" s="19" t="str">
        <f>T("WC GREEN HOME")</f>
        <v>WC GREEN HOME</v>
      </c>
      <c r="E333" s="19" t="str">
        <f>T("510146555")</f>
        <v>510146555</v>
      </c>
      <c r="F333" s="19" t="s">
        <v>17</v>
      </c>
      <c r="G333" s="19" t="s">
        <v>14</v>
      </c>
      <c r="H333" s="19" t="str">
        <f>T("607248663")</f>
        <v>607248663</v>
      </c>
      <c r="I333" s="19" t="s">
        <v>851</v>
      </c>
      <c r="J333" s="19" t="s">
        <v>859</v>
      </c>
      <c r="K333" s="19" t="str">
        <f>T("54180")</f>
        <v>54180</v>
      </c>
      <c r="L333" s="19" t="s">
        <v>19</v>
      </c>
      <c r="M333" s="21" t="s">
        <v>0</v>
      </c>
      <c r="N333" s="31">
        <v>45217</v>
      </c>
    </row>
    <row r="334" spans="1:15" ht="16" hidden="1" x14ac:dyDescent="0.2">
      <c r="A334" s="19" t="s">
        <v>865</v>
      </c>
      <c r="B334" s="20">
        <v>45215</v>
      </c>
      <c r="C334" s="19" t="str">
        <f>T("330239621:0830377194")</f>
        <v>330239621:0830377194</v>
      </c>
      <c r="D334" s="19" t="str">
        <f>T("WC-DIFF")</f>
        <v>WC-DIFF</v>
      </c>
      <c r="E334" s="19" t="str">
        <f>T("510146548")</f>
        <v>510146548</v>
      </c>
      <c r="F334" s="19" t="s">
        <v>17</v>
      </c>
      <c r="G334" s="19" t="s">
        <v>14</v>
      </c>
      <c r="H334" s="19" t="str">
        <f>T("607248677")</f>
        <v>607248677</v>
      </c>
      <c r="I334" s="19" t="s">
        <v>866</v>
      </c>
      <c r="J334" s="19" t="s">
        <v>867</v>
      </c>
      <c r="K334" s="19" t="str">
        <f>T("14123")</f>
        <v>14123</v>
      </c>
      <c r="L334" s="19" t="s">
        <v>19</v>
      </c>
      <c r="M334" s="21" t="s">
        <v>0</v>
      </c>
      <c r="N334" s="31">
        <v>45216</v>
      </c>
    </row>
    <row r="335" spans="1:15" ht="16" hidden="1" x14ac:dyDescent="0.2">
      <c r="A335" s="19" t="s">
        <v>868</v>
      </c>
      <c r="B335" s="20">
        <v>45215</v>
      </c>
      <c r="C335" s="19" t="str">
        <f>T("330239650:0830374248")</f>
        <v>330239650:0830374248</v>
      </c>
      <c r="D335" s="19" t="str">
        <f>T("15789")</f>
        <v>15789</v>
      </c>
      <c r="E335" s="19" t="str">
        <f>T("510146406")</f>
        <v>510146406</v>
      </c>
      <c r="F335" s="19" t="s">
        <v>17</v>
      </c>
      <c r="G335" s="19" t="s">
        <v>14</v>
      </c>
      <c r="H335" s="19" t="str">
        <f>T("607248685")</f>
        <v>607248685</v>
      </c>
      <c r="I335" s="19" t="s">
        <v>869</v>
      </c>
      <c r="J335" s="19" t="s">
        <v>869</v>
      </c>
      <c r="K335" s="19" t="str">
        <f>T("33187")</f>
        <v>33187</v>
      </c>
      <c r="L335" s="19" t="s">
        <v>19</v>
      </c>
      <c r="M335" s="21" t="s">
        <v>0</v>
      </c>
      <c r="N335" s="31">
        <v>45216</v>
      </c>
    </row>
    <row r="336" spans="1:15" ht="16" hidden="1" x14ac:dyDescent="0.2">
      <c r="A336" s="19" t="s">
        <v>870</v>
      </c>
      <c r="B336" s="20">
        <v>45215</v>
      </c>
      <c r="C336" s="19" t="str">
        <f>T("330239624:0830377197")</f>
        <v>330239624:0830377197</v>
      </c>
      <c r="D336" s="19" t="str">
        <f>T("CDC127689 S0053 S")</f>
        <v>CDC127689 S0053 S</v>
      </c>
      <c r="E336" s="19" t="str">
        <f>T("510146220")</f>
        <v>510146220</v>
      </c>
      <c r="F336" s="19" t="s">
        <v>17</v>
      </c>
      <c r="G336" s="19" t="s">
        <v>14</v>
      </c>
      <c r="H336" s="19" t="str">
        <f>T("607248694")</f>
        <v>607248694</v>
      </c>
      <c r="I336" s="19" t="s">
        <v>56</v>
      </c>
      <c r="J336" s="19" t="s">
        <v>440</v>
      </c>
      <c r="K336" s="19" t="str">
        <f>T("64390")</f>
        <v>64390</v>
      </c>
      <c r="L336" s="19" t="s">
        <v>19</v>
      </c>
      <c r="M336" s="21" t="s">
        <v>0</v>
      </c>
      <c r="N336" s="31">
        <v>45218</v>
      </c>
    </row>
    <row r="337" spans="1:14" ht="16" hidden="1" x14ac:dyDescent="0.2">
      <c r="A337" s="19" t="s">
        <v>871</v>
      </c>
      <c r="B337" s="20">
        <v>45215</v>
      </c>
      <c r="C337" s="19" t="str">
        <f>T("330239614:0830377187")</f>
        <v>330239614:0830377187</v>
      </c>
      <c r="D337" s="19" t="str">
        <f>T("WCGT CLIMATIQUE")</f>
        <v>WCGT CLIMATIQUE</v>
      </c>
      <c r="E337" s="19" t="str">
        <f>T("510146558")</f>
        <v>510146558</v>
      </c>
      <c r="F337" s="19" t="s">
        <v>17</v>
      </c>
      <c r="G337" s="19" t="s">
        <v>14</v>
      </c>
      <c r="H337" s="19" t="str">
        <f>T("607248703")</f>
        <v>607248703</v>
      </c>
      <c r="I337" s="19" t="s">
        <v>851</v>
      </c>
      <c r="J337" s="19" t="s">
        <v>859</v>
      </c>
      <c r="K337" s="19" t="str">
        <f>T("54180")</f>
        <v>54180</v>
      </c>
      <c r="L337" s="19" t="s">
        <v>19</v>
      </c>
      <c r="M337" s="21" t="s">
        <v>0</v>
      </c>
      <c r="N337" s="31">
        <v>45217</v>
      </c>
    </row>
    <row r="338" spans="1:14" ht="16" hidden="1" x14ac:dyDescent="0.2">
      <c r="A338" s="19" t="s">
        <v>872</v>
      </c>
      <c r="B338" s="20">
        <v>45215</v>
      </c>
      <c r="C338" s="19" t="str">
        <f>T("330239623:0830377196")</f>
        <v>330239623:0830377196</v>
      </c>
      <c r="D338" s="19" t="str">
        <f>T("WC-Ferme elevage")</f>
        <v>WC-Ferme elevage</v>
      </c>
      <c r="E338" s="19" t="str">
        <f>T("510146546")</f>
        <v>510146546</v>
      </c>
      <c r="F338" s="19" t="s">
        <v>17</v>
      </c>
      <c r="G338" s="19" t="s">
        <v>14</v>
      </c>
      <c r="H338" s="19" t="str">
        <f>T("607248717")</f>
        <v>607248717</v>
      </c>
      <c r="I338" s="19" t="s">
        <v>866</v>
      </c>
      <c r="J338" s="19" t="s">
        <v>873</v>
      </c>
      <c r="K338" s="19" t="str">
        <f>T("14123")</f>
        <v>14123</v>
      </c>
      <c r="L338" s="19" t="s">
        <v>19</v>
      </c>
      <c r="M338" s="21" t="s">
        <v>0</v>
      </c>
      <c r="N338" s="31">
        <v>45216</v>
      </c>
    </row>
    <row r="339" spans="1:14" ht="16" hidden="1" x14ac:dyDescent="0.2">
      <c r="A339" s="19" t="s">
        <v>874</v>
      </c>
      <c r="B339" s="20">
        <v>45215</v>
      </c>
      <c r="C339" s="19" t="str">
        <f>T("330239622:0830377195")</f>
        <v>330239622:0830377195</v>
      </c>
      <c r="D339" s="19" t="str">
        <f>T("WC-VOISIN")</f>
        <v>WC-VOISIN</v>
      </c>
      <c r="E339" s="19" t="str">
        <f>T("510146547")</f>
        <v>510146547</v>
      </c>
      <c r="F339" s="19" t="s">
        <v>17</v>
      </c>
      <c r="G339" s="19" t="s">
        <v>14</v>
      </c>
      <c r="H339" s="19" t="str">
        <f>T("607248725")</f>
        <v>607248725</v>
      </c>
      <c r="I339" s="19" t="s">
        <v>875</v>
      </c>
      <c r="J339" s="19" t="s">
        <v>876</v>
      </c>
      <c r="K339" s="19" t="str">
        <f>T("14570")</f>
        <v>14570</v>
      </c>
      <c r="L339" s="19" t="s">
        <v>19</v>
      </c>
      <c r="M339" s="21" t="s">
        <v>0</v>
      </c>
      <c r="N339" s="31">
        <v>45217</v>
      </c>
    </row>
    <row r="340" spans="1:14" ht="16" hidden="1" x14ac:dyDescent="0.2">
      <c r="A340" s="19" t="s">
        <v>877</v>
      </c>
      <c r="B340" s="20">
        <v>45215</v>
      </c>
      <c r="C340" s="19" t="str">
        <f>T("330239616:0830377189")</f>
        <v>330239616:0830377189</v>
      </c>
      <c r="D340" s="19" t="str">
        <f>T("WC GS-3 ENERGIES")</f>
        <v>WC GS-3 ENERGIES</v>
      </c>
      <c r="E340" s="19" t="str">
        <f>T("510146556")</f>
        <v>510146556</v>
      </c>
      <c r="F340" s="19" t="s">
        <v>17</v>
      </c>
      <c r="G340" s="19" t="s">
        <v>14</v>
      </c>
      <c r="H340" s="19" t="str">
        <f>T("607248734")</f>
        <v>607248734</v>
      </c>
      <c r="I340" s="19" t="s">
        <v>851</v>
      </c>
      <c r="J340" s="19" t="s">
        <v>859</v>
      </c>
      <c r="K340" s="19" t="str">
        <f>T("54180")</f>
        <v>54180</v>
      </c>
      <c r="L340" s="19" t="s">
        <v>19</v>
      </c>
      <c r="M340" s="21" t="s">
        <v>0</v>
      </c>
      <c r="N340" s="31">
        <v>45217</v>
      </c>
    </row>
    <row r="341" spans="1:14" ht="16" hidden="1" x14ac:dyDescent="0.2">
      <c r="A341" s="19" t="s">
        <v>878</v>
      </c>
      <c r="B341" s="20">
        <v>45215</v>
      </c>
      <c r="C341" s="19" t="str">
        <f>T("330239620:0830377193")</f>
        <v>330239620:0830377193</v>
      </c>
      <c r="D341" s="19" t="str">
        <f>T("WC-CHEVALIER")</f>
        <v>WC-CHEVALIER</v>
      </c>
      <c r="E341" s="19" t="str">
        <f>T("510146549")</f>
        <v>510146549</v>
      </c>
      <c r="F341" s="19" t="s">
        <v>17</v>
      </c>
      <c r="G341" s="19" t="s">
        <v>14</v>
      </c>
      <c r="H341" s="19" t="str">
        <f>T("607248748")</f>
        <v>607248748</v>
      </c>
      <c r="I341" s="19" t="s">
        <v>879</v>
      </c>
      <c r="J341" s="19" t="s">
        <v>880</v>
      </c>
      <c r="K341" s="19" t="str">
        <f>T("27140")</f>
        <v>27140</v>
      </c>
      <c r="L341" s="19" t="s">
        <v>19</v>
      </c>
      <c r="M341" s="21" t="s">
        <v>0</v>
      </c>
      <c r="N341" s="31">
        <v>45216</v>
      </c>
    </row>
    <row r="342" spans="1:14" ht="16" hidden="1" x14ac:dyDescent="0.2">
      <c r="A342" s="19" t="s">
        <v>881</v>
      </c>
      <c r="B342" s="20">
        <v>45215</v>
      </c>
      <c r="C342" s="19" t="str">
        <f>T("330239612:0830377186")</f>
        <v>330239612:0830377186</v>
      </c>
      <c r="D342" s="19" t="str">
        <f>T("WC HIRSHAUER/STO")</f>
        <v>WC HIRSHAUER/STO</v>
      </c>
      <c r="E342" s="19" t="str">
        <f>T("510146560")</f>
        <v>510146560</v>
      </c>
      <c r="F342" s="19" t="s">
        <v>17</v>
      </c>
      <c r="G342" s="19" t="s">
        <v>14</v>
      </c>
      <c r="H342" s="19" t="str">
        <f>T("607248751")</f>
        <v>607248751</v>
      </c>
      <c r="I342" s="19" t="s">
        <v>851</v>
      </c>
      <c r="J342" s="19" t="s">
        <v>852</v>
      </c>
      <c r="K342" s="19" t="str">
        <f>T("54180")</f>
        <v>54180</v>
      </c>
      <c r="L342" s="19" t="s">
        <v>19</v>
      </c>
      <c r="M342" s="21" t="s">
        <v>0</v>
      </c>
      <c r="N342" s="31">
        <v>45216</v>
      </c>
    </row>
    <row r="343" spans="1:14" ht="16" hidden="1" x14ac:dyDescent="0.2">
      <c r="A343" s="19" t="s">
        <v>882</v>
      </c>
      <c r="B343" s="20">
        <v>45215</v>
      </c>
      <c r="C343" s="19" t="str">
        <f>T("330239448:0830377184")</f>
        <v>330239448:0830377184</v>
      </c>
      <c r="D343" s="19" t="str">
        <f>T("Hotel Victoria")</f>
        <v>Hotel Victoria</v>
      </c>
      <c r="E343" s="19" t="str">
        <f>T("560021821")</f>
        <v>560021821</v>
      </c>
      <c r="F343" s="19" t="s">
        <v>16</v>
      </c>
      <c r="G343" s="19" t="s">
        <v>14</v>
      </c>
      <c r="H343" s="19" t="str">
        <f>T("607248765")</f>
        <v>607248765</v>
      </c>
      <c r="I343" s="19" t="s">
        <v>883</v>
      </c>
      <c r="J343" s="19" t="s">
        <v>884</v>
      </c>
      <c r="K343" s="19" t="str">
        <f>T("66020")</f>
        <v>66020</v>
      </c>
      <c r="L343" s="19" t="s">
        <v>18</v>
      </c>
      <c r="M343" s="21" t="s">
        <v>0</v>
      </c>
      <c r="N343" s="31">
        <v>45218</v>
      </c>
    </row>
    <row r="344" spans="1:14" ht="16" hidden="1" x14ac:dyDescent="0.2">
      <c r="A344" s="19" t="s">
        <v>885</v>
      </c>
      <c r="B344" s="20">
        <v>45215</v>
      </c>
      <c r="C344" s="19" t="str">
        <f>T("330239609:0830377224")</f>
        <v>330239609:0830377224</v>
      </c>
      <c r="D344" s="19" t="str">
        <f>T("WC DELANGE")</f>
        <v>WC DELANGE</v>
      </c>
      <c r="E344" s="19" t="str">
        <f>T("510146564")</f>
        <v>510146564</v>
      </c>
      <c r="F344" s="19" t="s">
        <v>17</v>
      </c>
      <c r="G344" s="19" t="s">
        <v>14</v>
      </c>
      <c r="H344" s="19" t="str">
        <f>T("607248782")</f>
        <v>607248782</v>
      </c>
      <c r="I344" s="19" t="s">
        <v>886</v>
      </c>
      <c r="J344" s="19" t="s">
        <v>887</v>
      </c>
      <c r="K344" s="19" t="str">
        <f>T("79290")</f>
        <v>79290</v>
      </c>
      <c r="L344" s="19" t="s">
        <v>19</v>
      </c>
      <c r="M344" s="21" t="s">
        <v>0</v>
      </c>
      <c r="N344" s="31">
        <v>45216</v>
      </c>
    </row>
    <row r="345" spans="1:14" ht="16" hidden="1" x14ac:dyDescent="0.2">
      <c r="A345" s="19" t="s">
        <v>888</v>
      </c>
      <c r="B345" s="20">
        <v>45215</v>
      </c>
      <c r="C345" s="19" t="str">
        <f>T("330239618:0830377191")</f>
        <v>330239618:0830377191</v>
      </c>
      <c r="D345" s="19" t="str">
        <f>T("WC NOYER")</f>
        <v>WC NOYER</v>
      </c>
      <c r="E345" s="19" t="str">
        <f>T("510146554")</f>
        <v>510146554</v>
      </c>
      <c r="F345" s="19" t="s">
        <v>17</v>
      </c>
      <c r="G345" s="19" t="s">
        <v>14</v>
      </c>
      <c r="H345" s="19" t="str">
        <f>T("607248805")</f>
        <v>607248805</v>
      </c>
      <c r="I345" s="19" t="s">
        <v>22</v>
      </c>
      <c r="J345" s="19" t="s">
        <v>24</v>
      </c>
      <c r="K345" s="19" t="str">
        <f>T("26200")</f>
        <v>26200</v>
      </c>
      <c r="L345" s="19" t="s">
        <v>19</v>
      </c>
      <c r="M345" s="21" t="s">
        <v>0</v>
      </c>
      <c r="N345" s="31">
        <v>45216</v>
      </c>
    </row>
    <row r="346" spans="1:14" ht="16" hidden="1" x14ac:dyDescent="0.2">
      <c r="A346" s="19" t="s">
        <v>889</v>
      </c>
      <c r="B346" s="20">
        <v>45215</v>
      </c>
      <c r="C346" s="19" t="str">
        <f>T("330238783:0830377144")</f>
        <v>330238783:0830377144</v>
      </c>
      <c r="D346" s="19" t="str">
        <f>T("BOULANGERIE VERS")</f>
        <v>BOULANGERIE VERS</v>
      </c>
      <c r="E346" s="19" t="str">
        <f>T("510146084")</f>
        <v>510146084</v>
      </c>
      <c r="F346" s="19" t="s">
        <v>17</v>
      </c>
      <c r="G346" s="19" t="s">
        <v>14</v>
      </c>
      <c r="H346" s="19" t="str">
        <f>T("607248819")</f>
        <v>607248819</v>
      </c>
      <c r="I346" s="19" t="s">
        <v>890</v>
      </c>
      <c r="J346" s="19" t="s">
        <v>891</v>
      </c>
      <c r="K346" s="19" t="str">
        <f>T("30210")</f>
        <v>30210</v>
      </c>
      <c r="L346" s="19" t="s">
        <v>19</v>
      </c>
      <c r="M346" s="21" t="s">
        <v>0</v>
      </c>
      <c r="N346" s="31">
        <v>45216</v>
      </c>
    </row>
    <row r="347" spans="1:14" ht="16" hidden="1" x14ac:dyDescent="0.2">
      <c r="A347" s="19" t="s">
        <v>892</v>
      </c>
      <c r="B347" s="20">
        <v>45215</v>
      </c>
      <c r="C347" s="19" t="str">
        <f>T("330239543:0830374194")</f>
        <v>330239543:0830374194</v>
      </c>
      <c r="D347" s="19" t="str">
        <f>T("CF103825")</f>
        <v>CF103825</v>
      </c>
      <c r="E347" s="19" t="str">
        <f>T("510146522")</f>
        <v>510146522</v>
      </c>
      <c r="F347" s="19" t="s">
        <v>17</v>
      </c>
      <c r="G347" s="19" t="s">
        <v>14</v>
      </c>
      <c r="H347" s="19" t="str">
        <f>T("607248822")</f>
        <v>607248822</v>
      </c>
      <c r="I347" s="19" t="s">
        <v>34</v>
      </c>
      <c r="J347" s="19" t="s">
        <v>716</v>
      </c>
      <c r="K347" s="19" t="str">
        <f>T("63100")</f>
        <v>63100</v>
      </c>
      <c r="L347" s="19" t="s">
        <v>19</v>
      </c>
      <c r="M347" s="21" t="s">
        <v>0</v>
      </c>
      <c r="N347" s="31">
        <v>45217</v>
      </c>
    </row>
    <row r="348" spans="1:14" ht="16" hidden="1" x14ac:dyDescent="0.2">
      <c r="A348" s="19" t="s">
        <v>893</v>
      </c>
      <c r="B348" s="20">
        <v>45215</v>
      </c>
      <c r="C348" s="19" t="str">
        <f>T("330239534:0830377220")</f>
        <v>330239534:0830377220</v>
      </c>
      <c r="D348" s="19" t="str">
        <f>T("23000361")</f>
        <v>23000361</v>
      </c>
      <c r="E348" s="19" t="str">
        <f>T("540012298")</f>
        <v>540012298</v>
      </c>
      <c r="F348" s="19" t="s">
        <v>16</v>
      </c>
      <c r="G348" s="19" t="s">
        <v>14</v>
      </c>
      <c r="H348" s="19" t="str">
        <f>T("607248836")</f>
        <v>607248836</v>
      </c>
      <c r="I348" s="19" t="s">
        <v>613</v>
      </c>
      <c r="J348" s="19" t="s">
        <v>49</v>
      </c>
      <c r="K348" s="19" t="str">
        <f>T("3316 KC")</f>
        <v>3316 KC</v>
      </c>
      <c r="L348" s="19" t="s">
        <v>31</v>
      </c>
      <c r="M348" s="21" t="s">
        <v>0</v>
      </c>
      <c r="N348" s="31">
        <v>45217</v>
      </c>
    </row>
    <row r="349" spans="1:14" ht="16" hidden="1" x14ac:dyDescent="0.2">
      <c r="A349" s="19" t="s">
        <v>894</v>
      </c>
      <c r="B349" s="20">
        <v>45215</v>
      </c>
      <c r="C349" s="19" t="str">
        <f>T("330239654:0830377149")</f>
        <v>330239654:0830377149</v>
      </c>
      <c r="D349" s="19" t="str">
        <f>T("231004367")</f>
        <v>231004367</v>
      </c>
      <c r="E349" s="19" t="str">
        <f>T("510146320")</f>
        <v>510146320</v>
      </c>
      <c r="F349" s="19" t="s">
        <v>17</v>
      </c>
      <c r="G349" s="19" t="s">
        <v>14</v>
      </c>
      <c r="H349" s="19" t="str">
        <f>T("607248853")</f>
        <v>607248853</v>
      </c>
      <c r="I349" s="19" t="s">
        <v>700</v>
      </c>
      <c r="J349" s="19" t="s">
        <v>701</v>
      </c>
      <c r="K349" s="19" t="str">
        <f>T("31140")</f>
        <v>31140</v>
      </c>
      <c r="L349" s="19" t="s">
        <v>19</v>
      </c>
      <c r="M349" s="21" t="s">
        <v>0</v>
      </c>
      <c r="N349" s="31">
        <v>45216</v>
      </c>
    </row>
    <row r="350" spans="1:14" ht="16" hidden="1" x14ac:dyDescent="0.2">
      <c r="A350" s="19" t="s">
        <v>895</v>
      </c>
      <c r="B350" s="20">
        <v>45215</v>
      </c>
      <c r="C350" s="19" t="str">
        <f>T("330239615:0830377188")</f>
        <v>330239615:0830377188</v>
      </c>
      <c r="D350" s="19" t="str">
        <f>T("WC FASO/S")</f>
        <v>WC FASO/S</v>
      </c>
      <c r="E350" s="19" t="str">
        <f>T("510146557")</f>
        <v>510146557</v>
      </c>
      <c r="F350" s="19" t="s">
        <v>17</v>
      </c>
      <c r="G350" s="19" t="s">
        <v>14</v>
      </c>
      <c r="H350" s="19" t="str">
        <f>T("607248867")</f>
        <v>607248867</v>
      </c>
      <c r="I350" s="19" t="s">
        <v>851</v>
      </c>
      <c r="J350" s="19" t="s">
        <v>859</v>
      </c>
      <c r="K350" s="19" t="str">
        <f>T("54180")</f>
        <v>54180</v>
      </c>
      <c r="L350" s="19" t="s">
        <v>19</v>
      </c>
      <c r="M350" s="21" t="s">
        <v>0</v>
      </c>
      <c r="N350" s="31">
        <v>45217</v>
      </c>
    </row>
    <row r="351" spans="1:14" ht="16" hidden="1" x14ac:dyDescent="0.2">
      <c r="A351" s="19" t="s">
        <v>896</v>
      </c>
      <c r="B351" s="20">
        <v>45215</v>
      </c>
      <c r="C351" s="19" t="str">
        <f>T("330239460:0830374130")</f>
        <v>330239460:0830374130</v>
      </c>
      <c r="D351" s="19" t="str">
        <f>T("SAVASTANO")</f>
        <v>SAVASTANO</v>
      </c>
      <c r="E351" s="19" t="str">
        <f>T("560021851")</f>
        <v>560021851</v>
      </c>
      <c r="F351" s="19" t="s">
        <v>17</v>
      </c>
      <c r="G351" s="19" t="s">
        <v>15</v>
      </c>
      <c r="H351" s="19" t="str">
        <f>T("1Z1V47910444845389")</f>
        <v>1Z1V47910444845389</v>
      </c>
      <c r="I351" s="19" t="s">
        <v>897</v>
      </c>
      <c r="J351" s="19" t="s">
        <v>898</v>
      </c>
      <c r="K351" s="19" t="str">
        <f>T("80065")</f>
        <v>80065</v>
      </c>
      <c r="L351" s="19" t="s">
        <v>18</v>
      </c>
      <c r="M351" s="21" t="s">
        <v>0</v>
      </c>
      <c r="N351" s="31">
        <v>45217</v>
      </c>
    </row>
    <row r="352" spans="1:14" ht="16" hidden="1" x14ac:dyDescent="0.2">
      <c r="A352" s="19" t="s">
        <v>899</v>
      </c>
      <c r="B352" s="20">
        <v>45215</v>
      </c>
      <c r="C352" s="19" t="str">
        <f>T("330239528:0830374207")</f>
        <v>330239528:0830374207</v>
      </c>
      <c r="D352" s="19" t="str">
        <f>T("TCK001313, Dr. Wo")</f>
        <v>TCK001313, Dr. Wo</v>
      </c>
      <c r="E352" s="19" t="str">
        <f>T("540012305")</f>
        <v>540012305</v>
      </c>
      <c r="F352" s="19" t="s">
        <v>17</v>
      </c>
      <c r="G352" s="19" t="s">
        <v>15</v>
      </c>
      <c r="H352" s="19" t="str">
        <f>T("1Z1V47910444167997")</f>
        <v>1Z1V47910444167997</v>
      </c>
      <c r="I352" s="19" t="s">
        <v>900</v>
      </c>
      <c r="J352" s="19" t="s">
        <v>901</v>
      </c>
      <c r="K352" s="19" t="str">
        <f>T("63512")</f>
        <v>63512</v>
      </c>
      <c r="L352" s="19" t="s">
        <v>35</v>
      </c>
      <c r="M352" s="21" t="s">
        <v>0</v>
      </c>
      <c r="N352" s="31">
        <v>45216</v>
      </c>
    </row>
    <row r="353" spans="1:15" ht="16" hidden="1" x14ac:dyDescent="0.2">
      <c r="A353" s="19" t="s">
        <v>902</v>
      </c>
      <c r="B353" s="20">
        <v>45215</v>
      </c>
      <c r="C353" s="19" t="str">
        <f>T("330239501:0830374156")</f>
        <v>330239501:0830374156</v>
      </c>
      <c r="D353" s="19" t="str">
        <f>T("ROMEI 2209")</f>
        <v>ROMEI 2209</v>
      </c>
      <c r="E353" s="19" t="str">
        <f>T("560021727")</f>
        <v>560021727</v>
      </c>
      <c r="F353" s="19" t="s">
        <v>17</v>
      </c>
      <c r="G353" s="19" t="s">
        <v>15</v>
      </c>
      <c r="H353" s="19" t="str">
        <f>T("1Z1V47910445971606")</f>
        <v>1Z1V47910445971606</v>
      </c>
      <c r="I353" s="19" t="s">
        <v>903</v>
      </c>
      <c r="J353" s="19" t="s">
        <v>904</v>
      </c>
      <c r="K353" s="19" t="str">
        <f>T("50141")</f>
        <v>50141</v>
      </c>
      <c r="L353" s="19" t="s">
        <v>18</v>
      </c>
      <c r="M353" s="21" t="s">
        <v>0</v>
      </c>
      <c r="N353" s="31">
        <v>45216</v>
      </c>
    </row>
    <row r="354" spans="1:15" ht="16" hidden="1" x14ac:dyDescent="0.2">
      <c r="A354" s="19" t="s">
        <v>905</v>
      </c>
      <c r="B354" s="20">
        <v>45215</v>
      </c>
      <c r="C354" s="19" t="str">
        <f>T("330239455:0830374125")</f>
        <v>330239455:0830374125</v>
      </c>
      <c r="D354" s="19" t="str">
        <f>T("Cintoli")</f>
        <v>Cintoli</v>
      </c>
      <c r="E354" s="19" t="str">
        <f>T("560021838")</f>
        <v>560021838</v>
      </c>
      <c r="F354" s="19" t="s">
        <v>17</v>
      </c>
      <c r="G354" s="19" t="s">
        <v>15</v>
      </c>
      <c r="H354" s="19" t="str">
        <f>T("1Z1V47910443356212")</f>
        <v>1Z1V47910443356212</v>
      </c>
      <c r="I354" s="19" t="s">
        <v>906</v>
      </c>
      <c r="J354" s="19" t="s">
        <v>907</v>
      </c>
      <c r="K354" s="19" t="str">
        <f>T("18100")</f>
        <v>18100</v>
      </c>
      <c r="L354" s="19" t="s">
        <v>18</v>
      </c>
      <c r="M354" s="21" t="s">
        <v>0</v>
      </c>
      <c r="N354" s="31">
        <v>45216</v>
      </c>
    </row>
    <row r="355" spans="1:15" ht="16" hidden="1" x14ac:dyDescent="0.2">
      <c r="A355" s="19" t="s">
        <v>908</v>
      </c>
      <c r="B355" s="20">
        <v>45215</v>
      </c>
      <c r="C355" s="19" t="str">
        <f>T("330239456:0830374126")</f>
        <v>330239456:0830374126</v>
      </c>
      <c r="D355" s="19" t="str">
        <f>T("00")</f>
        <v>00</v>
      </c>
      <c r="E355" s="19" t="str">
        <f>T("560021841")</f>
        <v>560021841</v>
      </c>
      <c r="F355" s="19" t="s">
        <v>17</v>
      </c>
      <c r="G355" s="19" t="s">
        <v>15</v>
      </c>
      <c r="H355" s="19" t="str">
        <f>T("1Z1V47910444421827")</f>
        <v>1Z1V47910444421827</v>
      </c>
      <c r="I355" s="19" t="s">
        <v>909</v>
      </c>
      <c r="J355" s="19" t="s">
        <v>910</v>
      </c>
      <c r="K355" s="19" t="str">
        <f>T("04011")</f>
        <v>04011</v>
      </c>
      <c r="L355" s="19" t="s">
        <v>18</v>
      </c>
      <c r="M355" s="21" t="s">
        <v>0</v>
      </c>
      <c r="N355" s="31">
        <v>45216</v>
      </c>
    </row>
    <row r="356" spans="1:15" ht="16" hidden="1" x14ac:dyDescent="0.2">
      <c r="A356" s="19" t="s">
        <v>911</v>
      </c>
      <c r="B356" s="20">
        <v>45215</v>
      </c>
      <c r="C356" s="19" t="str">
        <f>T("330239459:0830374129")</f>
        <v>330239459:0830374129</v>
      </c>
      <c r="D356" s="19" t="str">
        <f>T("ENGIE")</f>
        <v>ENGIE</v>
      </c>
      <c r="E356" s="19" t="str">
        <f>T("560021849")</f>
        <v>560021849</v>
      </c>
      <c r="F356" s="19" t="s">
        <v>17</v>
      </c>
      <c r="G356" s="19" t="s">
        <v>15</v>
      </c>
      <c r="H356" s="19" t="str">
        <f>T("1Z1V47910445268439")</f>
        <v>1Z1V47910445268439</v>
      </c>
      <c r="I356" s="19" t="s">
        <v>912</v>
      </c>
      <c r="J356" s="19" t="s">
        <v>913</v>
      </c>
      <c r="K356" s="19" t="str">
        <f>T("10095")</f>
        <v>10095</v>
      </c>
      <c r="L356" s="19" t="s">
        <v>18</v>
      </c>
      <c r="M356" s="21" t="s">
        <v>0</v>
      </c>
      <c r="N356" s="31">
        <v>45216</v>
      </c>
    </row>
    <row r="357" spans="1:15" ht="16" hidden="1" x14ac:dyDescent="0.2">
      <c r="A357" s="19" t="s">
        <v>914</v>
      </c>
      <c r="B357" s="20">
        <v>45215</v>
      </c>
      <c r="C357" s="19" t="str">
        <f>T("330239508:0830374159")</f>
        <v>330239508:0830374159</v>
      </c>
      <c r="D357" s="19" t="str">
        <f>T("28092023")</f>
        <v>28092023</v>
      </c>
      <c r="E357" s="19" t="str">
        <f>T("560021739")</f>
        <v>560021739</v>
      </c>
      <c r="F357" s="19" t="s">
        <v>17</v>
      </c>
      <c r="G357" s="19" t="s">
        <v>15</v>
      </c>
      <c r="H357" s="19" t="str">
        <f>T("1Z1V47910444996047")</f>
        <v>1Z1V47910444996047</v>
      </c>
      <c r="I357" s="19" t="s">
        <v>915</v>
      </c>
      <c r="J357" s="19" t="s">
        <v>916</v>
      </c>
      <c r="K357" s="19" t="str">
        <f>T("60025")</f>
        <v>60025</v>
      </c>
      <c r="L357" s="19" t="s">
        <v>18</v>
      </c>
      <c r="M357" s="21" t="s">
        <v>0</v>
      </c>
      <c r="N357" s="31">
        <v>45216</v>
      </c>
    </row>
    <row r="358" spans="1:15" ht="16" hidden="1" x14ac:dyDescent="0.2">
      <c r="A358" s="19" t="s">
        <v>917</v>
      </c>
      <c r="B358" s="20">
        <v>45215</v>
      </c>
      <c r="C358" s="19" t="str">
        <f>T("330239575:0830374267")</f>
        <v>330239575:0830374267</v>
      </c>
      <c r="D358" s="19" t="str">
        <f>T("TCK001320 - REWE")</f>
        <v>TCK001320 - REWE</v>
      </c>
      <c r="E358" s="19" t="str">
        <f>T("540012332")</f>
        <v>540012332</v>
      </c>
      <c r="F358" s="19" t="s">
        <v>17</v>
      </c>
      <c r="G358" s="19" t="s">
        <v>15</v>
      </c>
      <c r="H358" s="19" t="str">
        <f>T("1Z1V47910445704654")</f>
        <v>1Z1V47910445704654</v>
      </c>
      <c r="I358" s="19" t="s">
        <v>918</v>
      </c>
      <c r="J358" s="19" t="s">
        <v>919</v>
      </c>
      <c r="K358" s="19" t="str">
        <f>T("16792")</f>
        <v>16792</v>
      </c>
      <c r="L358" s="19" t="s">
        <v>35</v>
      </c>
      <c r="M358" s="21" t="s">
        <v>0</v>
      </c>
      <c r="N358" s="31">
        <v>45216</v>
      </c>
    </row>
    <row r="359" spans="1:15" ht="16" hidden="1" x14ac:dyDescent="0.2">
      <c r="A359" s="19" t="s">
        <v>920</v>
      </c>
      <c r="B359" s="20">
        <v>45215</v>
      </c>
      <c r="C359" s="19" t="str">
        <f>T("330239091:0830373922")</f>
        <v>330239091:0830373922</v>
      </c>
      <c r="D359" s="19" t="str">
        <f>T("-19519")</f>
        <v>-19519</v>
      </c>
      <c r="E359" s="19" t="str">
        <f>T("560021792")</f>
        <v>560021792</v>
      </c>
      <c r="F359" s="19" t="s">
        <v>17</v>
      </c>
      <c r="G359" s="19" t="s">
        <v>15</v>
      </c>
      <c r="H359" s="19" t="str">
        <f>T("1Z1V47910443494260")</f>
        <v>1Z1V47910443494260</v>
      </c>
      <c r="I359" s="19" t="s">
        <v>921</v>
      </c>
      <c r="J359" s="19" t="s">
        <v>922</v>
      </c>
      <c r="K359" s="19" t="str">
        <f>T("47042")</f>
        <v>47042</v>
      </c>
      <c r="L359" s="19" t="s">
        <v>18</v>
      </c>
      <c r="M359" s="21" t="s">
        <v>0</v>
      </c>
      <c r="N359" s="31">
        <v>45216</v>
      </c>
    </row>
    <row r="360" spans="1:15" ht="16" hidden="1" x14ac:dyDescent="0.2">
      <c r="A360" s="19" t="s">
        <v>923</v>
      </c>
      <c r="B360" s="20">
        <v>45215</v>
      </c>
      <c r="C360" s="19" t="str">
        <f>T("330239468:0830374136")</f>
        <v>330239468:0830374136</v>
      </c>
      <c r="D360" s="19" t="str">
        <f>T("WC 62-2023")</f>
        <v>WC 62-2023</v>
      </c>
      <c r="E360" s="19" t="str">
        <f>T("560021955")</f>
        <v>560021955</v>
      </c>
      <c r="F360" s="19" t="s">
        <v>17</v>
      </c>
      <c r="G360" s="19" t="s">
        <v>15</v>
      </c>
      <c r="H360" s="19" t="str">
        <f>T("1Z1V47910443464873")</f>
        <v>1Z1V47910443464873</v>
      </c>
      <c r="I360" s="19" t="s">
        <v>644</v>
      </c>
      <c r="J360" s="19" t="s">
        <v>644</v>
      </c>
      <c r="K360" s="19" t="str">
        <f>T("00043")</f>
        <v>00043</v>
      </c>
      <c r="L360" s="19" t="s">
        <v>18</v>
      </c>
      <c r="M360" s="21" t="s">
        <v>0</v>
      </c>
      <c r="N360" s="31">
        <v>45216</v>
      </c>
    </row>
    <row r="361" spans="1:15" ht="16" hidden="1" x14ac:dyDescent="0.2">
      <c r="A361" s="19" t="s">
        <v>924</v>
      </c>
      <c r="B361" s="20">
        <v>45215</v>
      </c>
      <c r="C361" s="19" t="str">
        <f>T("330239489:0830374147")</f>
        <v>330239489:0830374147</v>
      </c>
      <c r="D361" s="19" t="str">
        <f>T("hotelnani")</f>
        <v>hotelnani</v>
      </c>
      <c r="E361" s="19" t="str">
        <f>T("560021899")</f>
        <v>560021899</v>
      </c>
      <c r="F361" s="19" t="s">
        <v>17</v>
      </c>
      <c r="G361" s="19" t="s">
        <v>15</v>
      </c>
      <c r="H361" s="19" t="str">
        <f>T("1Z1V47910444716483")</f>
        <v>1Z1V47910444716483</v>
      </c>
      <c r="I361" s="19" t="s">
        <v>925</v>
      </c>
      <c r="J361" s="19" t="s">
        <v>926</v>
      </c>
      <c r="K361" s="19" t="str">
        <f>T("60033")</f>
        <v>60033</v>
      </c>
      <c r="L361" s="19" t="s">
        <v>18</v>
      </c>
      <c r="M361" s="21" t="s">
        <v>0</v>
      </c>
      <c r="N361" s="31">
        <v>45217</v>
      </c>
      <c r="O361" s="1" t="s">
        <v>66</v>
      </c>
    </row>
    <row r="362" spans="1:15" ht="16" hidden="1" x14ac:dyDescent="0.2">
      <c r="A362" s="19" t="s">
        <v>927</v>
      </c>
      <c r="B362" s="20">
        <v>45215</v>
      </c>
      <c r="C362" s="19" t="str">
        <f>T("330239503:0830374157")</f>
        <v>330239503:0830374157</v>
      </c>
      <c r="D362" s="19" t="str">
        <f>T("15")</f>
        <v>15</v>
      </c>
      <c r="E362" s="19" t="str">
        <f>T("560021731")</f>
        <v>560021731</v>
      </c>
      <c r="F362" s="19" t="s">
        <v>17</v>
      </c>
      <c r="G362" s="19" t="s">
        <v>15</v>
      </c>
      <c r="H362" s="19" t="str">
        <f>T("1Z1V47910443349097")</f>
        <v>1Z1V47910443349097</v>
      </c>
      <c r="I362" s="19" t="s">
        <v>928</v>
      </c>
      <c r="J362" s="19" t="s">
        <v>929</v>
      </c>
      <c r="K362" s="19" t="str">
        <f>T("61040")</f>
        <v>61040</v>
      </c>
      <c r="L362" s="19" t="s">
        <v>18</v>
      </c>
      <c r="M362" s="21" t="s">
        <v>0</v>
      </c>
      <c r="N362" s="31">
        <v>45217</v>
      </c>
    </row>
    <row r="363" spans="1:15" ht="16" hidden="1" x14ac:dyDescent="0.2">
      <c r="A363" s="19" t="s">
        <v>930</v>
      </c>
      <c r="B363" s="20">
        <v>45215</v>
      </c>
      <c r="C363" s="19" t="str">
        <f>T("330239490:0830374148")</f>
        <v>330239490:0830374148</v>
      </c>
      <c r="D363" s="19" t="str">
        <f>T("WC 9723")</f>
        <v>WC 9723</v>
      </c>
      <c r="E363" s="19" t="str">
        <f>T("560021902")</f>
        <v>560021902</v>
      </c>
      <c r="F363" s="19" t="s">
        <v>17</v>
      </c>
      <c r="G363" s="19" t="s">
        <v>15</v>
      </c>
      <c r="H363" s="19" t="str">
        <f>T("1Z1V47910444462702")</f>
        <v>1Z1V47910444462702</v>
      </c>
      <c r="I363" s="19" t="s">
        <v>644</v>
      </c>
      <c r="J363" s="19" t="s">
        <v>931</v>
      </c>
      <c r="K363" s="19" t="str">
        <f>T("00043")</f>
        <v>00043</v>
      </c>
      <c r="L363" s="19" t="s">
        <v>18</v>
      </c>
      <c r="M363" s="21" t="s">
        <v>0</v>
      </c>
      <c r="N363" s="31">
        <v>45216</v>
      </c>
    </row>
    <row r="364" spans="1:15" ht="16" hidden="1" x14ac:dyDescent="0.2">
      <c r="A364" s="19" t="s">
        <v>932</v>
      </c>
      <c r="B364" s="20">
        <v>45215</v>
      </c>
      <c r="C364" s="19" t="str">
        <f>T("330239511:0830374161")</f>
        <v>330239511:0830374161</v>
      </c>
      <c r="D364" s="19" t="str">
        <f>T("23/00530")</f>
        <v>23/00530</v>
      </c>
      <c r="E364" s="19" t="str">
        <f>T("560021748")</f>
        <v>560021748</v>
      </c>
      <c r="F364" s="19" t="s">
        <v>17</v>
      </c>
      <c r="G364" s="19" t="s">
        <v>15</v>
      </c>
      <c r="H364" s="19" t="str">
        <f>T("1Z1V47910444157319")</f>
        <v>1Z1V47910444157319</v>
      </c>
      <c r="I364" s="19" t="s">
        <v>933</v>
      </c>
      <c r="J364" s="19" t="s">
        <v>934</v>
      </c>
      <c r="K364" s="19" t="str">
        <f>T("30030")</f>
        <v>30030</v>
      </c>
      <c r="L364" s="19" t="s">
        <v>18</v>
      </c>
      <c r="M364" s="21" t="s">
        <v>0</v>
      </c>
      <c r="N364" s="31">
        <v>45216</v>
      </c>
    </row>
    <row r="365" spans="1:15" ht="16" hidden="1" x14ac:dyDescent="0.2">
      <c r="A365" s="19" t="s">
        <v>935</v>
      </c>
      <c r="B365" s="20">
        <v>45215</v>
      </c>
      <c r="C365" s="19" t="str">
        <f>T("330239574:0830374266")</f>
        <v>330239574:0830374266</v>
      </c>
      <c r="D365" s="19" t="str">
        <f>T("TCK001317 - Lager")</f>
        <v>TCK001317 - Lager</v>
      </c>
      <c r="E365" s="19" t="str">
        <f>T("540012333")</f>
        <v>540012333</v>
      </c>
      <c r="F365" s="19" t="s">
        <v>17</v>
      </c>
      <c r="G365" s="19" t="s">
        <v>15</v>
      </c>
      <c r="H365" s="19" t="str">
        <f>T("1Z1V47910444532921")</f>
        <v>1Z1V47910444532921</v>
      </c>
      <c r="I365" s="19" t="s">
        <v>936</v>
      </c>
      <c r="J365" s="19" t="s">
        <v>937</v>
      </c>
      <c r="K365" s="19" t="str">
        <f>T("66299")</f>
        <v>66299</v>
      </c>
      <c r="L365" s="19" t="s">
        <v>35</v>
      </c>
      <c r="M365" s="21" t="s">
        <v>0</v>
      </c>
      <c r="N365" s="31">
        <v>45216</v>
      </c>
    </row>
    <row r="366" spans="1:15" ht="16" hidden="1" x14ac:dyDescent="0.2">
      <c r="A366" s="19" t="s">
        <v>938</v>
      </c>
      <c r="B366" s="20">
        <v>45215</v>
      </c>
      <c r="C366" s="19" t="str">
        <f>T("330239457:0830374127")</f>
        <v>330239457:0830374127</v>
      </c>
      <c r="D366" s="19" t="str">
        <f>T("60-2023")</f>
        <v>60-2023</v>
      </c>
      <c r="E366" s="19" t="str">
        <f>T("560021842")</f>
        <v>560021842</v>
      </c>
      <c r="F366" s="19" t="s">
        <v>17</v>
      </c>
      <c r="G366" s="19" t="s">
        <v>15</v>
      </c>
      <c r="H366" s="19" t="str">
        <f>T("1Z1V47910444689530")</f>
        <v>1Z1V47910444689530</v>
      </c>
      <c r="I366" s="19" t="s">
        <v>939</v>
      </c>
      <c r="J366" s="19" t="s">
        <v>940</v>
      </c>
      <c r="K366" s="19" t="str">
        <f>T("00043")</f>
        <v>00043</v>
      </c>
      <c r="L366" s="19" t="s">
        <v>18</v>
      </c>
      <c r="M366" s="21" t="s">
        <v>0</v>
      </c>
      <c r="N366" s="31">
        <v>45216</v>
      </c>
    </row>
    <row r="367" spans="1:15" ht="16" hidden="1" x14ac:dyDescent="0.2">
      <c r="A367" s="19" t="s">
        <v>941</v>
      </c>
      <c r="B367" s="20">
        <v>45215</v>
      </c>
      <c r="C367" s="19" t="str">
        <f>T("330239435:0830374113")</f>
        <v>330239435:0830374113</v>
      </c>
      <c r="D367" s="19" t="str">
        <f>T("Climant 2")</f>
        <v>Climant 2</v>
      </c>
      <c r="E367" s="19" t="str">
        <f>T("560021766")</f>
        <v>560021766</v>
      </c>
      <c r="F367" s="19" t="s">
        <v>17</v>
      </c>
      <c r="G367" s="19" t="s">
        <v>15</v>
      </c>
      <c r="H367" s="19" t="str">
        <f>T("1Z1V47910443727142")</f>
        <v>1Z1V47910443727142</v>
      </c>
      <c r="I367" s="19" t="s">
        <v>942</v>
      </c>
      <c r="J367" s="19" t="s">
        <v>943</v>
      </c>
      <c r="K367" s="19" t="str">
        <f>T("39012")</f>
        <v>39012</v>
      </c>
      <c r="L367" s="19" t="s">
        <v>18</v>
      </c>
      <c r="M367" s="21" t="s">
        <v>0</v>
      </c>
      <c r="N367" s="31">
        <v>45216</v>
      </c>
    </row>
    <row r="368" spans="1:15" ht="16" hidden="1" x14ac:dyDescent="0.2">
      <c r="A368" s="19" t="s">
        <v>944</v>
      </c>
      <c r="B368" s="20">
        <v>45215</v>
      </c>
      <c r="C368" s="19" t="str">
        <f>T("330239535:0830374212")</f>
        <v>330239535:0830374212</v>
      </c>
      <c r="D368" s="19" t="str">
        <f>T("DB Dessau - FB RA")</f>
        <v>DB Dessau - FB RA</v>
      </c>
      <c r="E368" s="19" t="str">
        <f>T("540012295")</f>
        <v>540012295</v>
      </c>
      <c r="F368" s="19" t="s">
        <v>17</v>
      </c>
      <c r="G368" s="19" t="s">
        <v>15</v>
      </c>
      <c r="H368" s="19" t="str">
        <f>T("1Z1V47910443745757")</f>
        <v>1Z1V47910443745757</v>
      </c>
      <c r="I368" s="19" t="s">
        <v>945</v>
      </c>
      <c r="J368" s="19" t="s">
        <v>946</v>
      </c>
      <c r="K368" s="19" t="str">
        <f>T("37359")</f>
        <v>37359</v>
      </c>
      <c r="L368" s="19" t="s">
        <v>35</v>
      </c>
      <c r="M368" s="21" t="s">
        <v>0</v>
      </c>
      <c r="N368" s="31">
        <v>45216</v>
      </c>
    </row>
    <row r="369" spans="1:15" ht="16" hidden="1" x14ac:dyDescent="0.2">
      <c r="A369" s="19" t="s">
        <v>947</v>
      </c>
      <c r="B369" s="20">
        <v>45215</v>
      </c>
      <c r="C369" s="19" t="str">
        <f>T("330239507:0830374158")</f>
        <v>330239507:0830374158</v>
      </c>
      <c r="D369" s="19" t="str">
        <f>T("ARCH. CURATO")</f>
        <v>ARCH. CURATO</v>
      </c>
      <c r="E369" s="19" t="str">
        <f>T("560021738")</f>
        <v>560021738</v>
      </c>
      <c r="F369" s="19" t="s">
        <v>17</v>
      </c>
      <c r="G369" s="19" t="s">
        <v>15</v>
      </c>
      <c r="H369" s="19" t="str">
        <f>T("1Z1V47910443845363")</f>
        <v>1Z1V47910443845363</v>
      </c>
      <c r="I369" s="19" t="s">
        <v>948</v>
      </c>
      <c r="J369" s="19" t="s">
        <v>949</v>
      </c>
      <c r="K369" s="19" t="str">
        <f>T("71010")</f>
        <v>71010</v>
      </c>
      <c r="L369" s="19" t="s">
        <v>18</v>
      </c>
      <c r="M369" s="21" t="s">
        <v>0</v>
      </c>
      <c r="N369" s="31">
        <v>45218</v>
      </c>
      <c r="O369" s="1" t="s">
        <v>1054</v>
      </c>
    </row>
    <row r="370" spans="1:15" ht="16" hidden="1" x14ac:dyDescent="0.2">
      <c r="A370" s="19" t="s">
        <v>950</v>
      </c>
      <c r="B370" s="20">
        <v>45215</v>
      </c>
      <c r="C370" s="19" t="str">
        <f>T("330239559:0830374257")</f>
        <v>330239559:0830374257</v>
      </c>
      <c r="D370" s="19" t="str">
        <f>T("10/3047/302735 Av")</f>
        <v>10/3047/302735 Av</v>
      </c>
      <c r="E370" s="19" t="str">
        <f>T("540012357")</f>
        <v>540012357</v>
      </c>
      <c r="F370" s="19" t="s">
        <v>17</v>
      </c>
      <c r="G370" s="19" t="s">
        <v>15</v>
      </c>
      <c r="H370" s="19" t="str">
        <f>T("1Z1V47910443125971")</f>
        <v>1Z1V47910443125971</v>
      </c>
      <c r="I370" s="19" t="s">
        <v>951</v>
      </c>
      <c r="J370" s="19" t="s">
        <v>952</v>
      </c>
      <c r="K370" s="19" t="str">
        <f>T("30916")</f>
        <v>30916</v>
      </c>
      <c r="L370" s="19" t="s">
        <v>35</v>
      </c>
      <c r="M370" s="21" t="s">
        <v>0</v>
      </c>
      <c r="N370" s="31">
        <v>45218</v>
      </c>
    </row>
    <row r="371" spans="1:15" ht="16" hidden="1" x14ac:dyDescent="0.2">
      <c r="A371" s="19" t="s">
        <v>953</v>
      </c>
      <c r="B371" s="20">
        <v>45215</v>
      </c>
      <c r="C371" s="19" t="str">
        <f>T("330239578:0830374269")</f>
        <v>330239578:0830374269</v>
      </c>
      <c r="D371" s="19" t="str">
        <f>T("Wasabi Filter")</f>
        <v>Wasabi Filter</v>
      </c>
      <c r="E371" s="19" t="str">
        <f>T("540012327")</f>
        <v>540012327</v>
      </c>
      <c r="F371" s="19" t="s">
        <v>17</v>
      </c>
      <c r="G371" s="19" t="s">
        <v>15</v>
      </c>
      <c r="H371" s="19" t="str">
        <f>T("1Z1V47910444630191")</f>
        <v>1Z1V47910444630191</v>
      </c>
      <c r="I371" s="19" t="s">
        <v>954</v>
      </c>
      <c r="J371" s="19" t="s">
        <v>955</v>
      </c>
      <c r="K371" s="19" t="str">
        <f>T("64646")</f>
        <v>64646</v>
      </c>
      <c r="L371" s="19" t="s">
        <v>35</v>
      </c>
      <c r="M371" s="21" t="s">
        <v>0</v>
      </c>
      <c r="N371" s="31">
        <v>45216</v>
      </c>
    </row>
    <row r="372" spans="1:15" ht="16" hidden="1" x14ac:dyDescent="0.2">
      <c r="A372" s="19" t="s">
        <v>956</v>
      </c>
      <c r="B372" s="20">
        <v>45215</v>
      </c>
      <c r="C372" s="19" t="str">
        <f>T("330239461:0830374131")</f>
        <v>330239461:0830374131</v>
      </c>
      <c r="D372" s="19" t="str">
        <f>T("15227/4186")</f>
        <v>15227/4186</v>
      </c>
      <c r="E372" s="19" t="str">
        <f>T("560021854")</f>
        <v>560021854</v>
      </c>
      <c r="F372" s="19" t="s">
        <v>17</v>
      </c>
      <c r="G372" s="19" t="s">
        <v>15</v>
      </c>
      <c r="H372" s="19" t="str">
        <f>T("1Z1V47910445053803")</f>
        <v>1Z1V47910445053803</v>
      </c>
      <c r="I372" s="19" t="s">
        <v>957</v>
      </c>
      <c r="J372" s="19" t="s">
        <v>958</v>
      </c>
      <c r="K372" s="19" t="str">
        <f>T("31015")</f>
        <v>31015</v>
      </c>
      <c r="L372" s="19" t="s">
        <v>18</v>
      </c>
      <c r="M372" s="21" t="s">
        <v>0</v>
      </c>
      <c r="N372" s="31">
        <v>45216</v>
      </c>
    </row>
    <row r="373" spans="1:15" ht="16" hidden="1" x14ac:dyDescent="0.2">
      <c r="A373" s="19" t="s">
        <v>959</v>
      </c>
      <c r="B373" s="20">
        <v>45215</v>
      </c>
      <c r="C373" s="19" t="str">
        <f>T("330239458:0830374128")</f>
        <v>330239458:0830374128</v>
      </c>
      <c r="D373" s="19" t="str">
        <f>T("4500659083")</f>
        <v>4500659083</v>
      </c>
      <c r="E373" s="19" t="str">
        <f>T("560021848")</f>
        <v>560021848</v>
      </c>
      <c r="F373" s="19" t="s">
        <v>17</v>
      </c>
      <c r="G373" s="19" t="s">
        <v>15</v>
      </c>
      <c r="H373" s="19" t="str">
        <f>T("1Z1V47910444058417")</f>
        <v>1Z1V47910444058417</v>
      </c>
      <c r="I373" s="19" t="s">
        <v>960</v>
      </c>
      <c r="J373" s="19" t="s">
        <v>961</v>
      </c>
      <c r="K373" s="19" t="str">
        <f>T("27015")</f>
        <v>27015</v>
      </c>
      <c r="L373" s="19" t="s">
        <v>18</v>
      </c>
      <c r="M373" s="21" t="s">
        <v>0</v>
      </c>
      <c r="N373" s="31">
        <v>45216</v>
      </c>
    </row>
    <row r="374" spans="1:15" ht="16" hidden="1" x14ac:dyDescent="0.2">
      <c r="A374" s="19" t="s">
        <v>962</v>
      </c>
      <c r="B374" s="20">
        <v>45215</v>
      </c>
      <c r="C374" s="19" t="str">
        <f>T("330239583:0830374273")</f>
        <v>330239583:0830374273</v>
      </c>
      <c r="D374" s="19" t="str">
        <f>T("Luefter fuer RCIM")</f>
        <v>Luefter fuer RCIM</v>
      </c>
      <c r="E374" s="19" t="str">
        <f>T("540012321")</f>
        <v>540012321</v>
      </c>
      <c r="F374" s="19" t="s">
        <v>17</v>
      </c>
      <c r="G374" s="19" t="s">
        <v>15</v>
      </c>
      <c r="H374" s="19" t="str">
        <f>T("1Z1V47910443744025")</f>
        <v>1Z1V47910443744025</v>
      </c>
      <c r="I374" s="19" t="s">
        <v>963</v>
      </c>
      <c r="J374" s="19" t="s">
        <v>964</v>
      </c>
      <c r="K374" s="19" t="str">
        <f>T("28844")</f>
        <v>28844</v>
      </c>
      <c r="L374" s="19" t="s">
        <v>35</v>
      </c>
      <c r="M374" s="21" t="s">
        <v>0</v>
      </c>
      <c r="N374" s="31">
        <v>45216</v>
      </c>
    </row>
    <row r="375" spans="1:15" ht="16" hidden="1" x14ac:dyDescent="0.2">
      <c r="A375" s="19" t="s">
        <v>965</v>
      </c>
      <c r="B375" s="20">
        <v>45215</v>
      </c>
      <c r="C375" s="19" t="str">
        <f>T("330239443:0830374119")</f>
        <v>330239443:0830374119</v>
      </c>
      <c r="D375" s="19" t="str">
        <f>T("151-23")</f>
        <v>151-23</v>
      </c>
      <c r="E375" s="19" t="str">
        <f>T("560021790")</f>
        <v>560021790</v>
      </c>
      <c r="F375" s="19" t="s">
        <v>17</v>
      </c>
      <c r="G375" s="19" t="s">
        <v>15</v>
      </c>
      <c r="H375" s="19" t="str">
        <f>T("1Z1V47910444558243")</f>
        <v>1Z1V47910444558243</v>
      </c>
      <c r="I375" s="19" t="s">
        <v>966</v>
      </c>
      <c r="J375" s="19" t="s">
        <v>967</v>
      </c>
      <c r="K375" s="19" t="str">
        <f>T("07026")</f>
        <v>07026</v>
      </c>
      <c r="L375" s="19" t="s">
        <v>18</v>
      </c>
      <c r="M375" s="21" t="s">
        <v>0</v>
      </c>
      <c r="N375" s="31">
        <v>45218</v>
      </c>
    </row>
    <row r="376" spans="1:15" ht="16" hidden="1" x14ac:dyDescent="0.2">
      <c r="A376" s="19" t="s">
        <v>968</v>
      </c>
      <c r="B376" s="20">
        <v>45215</v>
      </c>
      <c r="C376" s="19" t="str">
        <f>T("330239469:0830374137")</f>
        <v>330239469:0830374137</v>
      </c>
      <c r="D376" s="19" t="str">
        <f>T("0910/CARONNO")</f>
        <v>0910/CARONNO</v>
      </c>
      <c r="E376" s="19" t="str">
        <f>T("560021959")</f>
        <v>560021959</v>
      </c>
      <c r="F376" s="19" t="s">
        <v>17</v>
      </c>
      <c r="G376" s="19" t="s">
        <v>15</v>
      </c>
      <c r="H376" s="19" t="str">
        <f>T("1Z1V47910443886855")</f>
        <v>1Z1V47910443886855</v>
      </c>
      <c r="I376" s="19" t="s">
        <v>969</v>
      </c>
      <c r="J376" s="19" t="s">
        <v>970</v>
      </c>
      <c r="K376" s="19" t="str">
        <f>T("21052")</f>
        <v>21052</v>
      </c>
      <c r="L376" s="19" t="s">
        <v>18</v>
      </c>
      <c r="M376" s="21" t="s">
        <v>0</v>
      </c>
      <c r="N376" s="31">
        <v>45216</v>
      </c>
    </row>
    <row r="377" spans="1:15" ht="16" hidden="1" x14ac:dyDescent="0.2">
      <c r="A377" s="19" t="s">
        <v>971</v>
      </c>
      <c r="B377" s="20">
        <v>45215</v>
      </c>
      <c r="C377" s="19" t="str">
        <f>T("330239497:0830374153")</f>
        <v>330239497:0830374153</v>
      </c>
      <c r="D377" s="19" t="str">
        <f>T("Frigido")</f>
        <v>Frigido</v>
      </c>
      <c r="E377" s="19" t="str">
        <f>T("560021919")</f>
        <v>560021919</v>
      </c>
      <c r="F377" s="19" t="s">
        <v>17</v>
      </c>
      <c r="G377" s="19" t="s">
        <v>15</v>
      </c>
      <c r="H377" s="19" t="str">
        <f>T("1Z1V47910443296466")</f>
        <v>1Z1V47910443296466</v>
      </c>
      <c r="I377" s="19" t="s">
        <v>115</v>
      </c>
      <c r="J377" s="19" t="s">
        <v>972</v>
      </c>
      <c r="K377" s="19" t="str">
        <f>T("34127")</f>
        <v>34127</v>
      </c>
      <c r="L377" s="19" t="s">
        <v>18</v>
      </c>
      <c r="M377" s="21" t="s">
        <v>0</v>
      </c>
      <c r="N377" s="31">
        <v>45216</v>
      </c>
    </row>
    <row r="378" spans="1:15" ht="16" hidden="1" x14ac:dyDescent="0.2">
      <c r="A378" s="19" t="s">
        <v>973</v>
      </c>
      <c r="B378" s="20">
        <v>45215</v>
      </c>
      <c r="C378" s="19" t="str">
        <f>T("330239557:0830374256")</f>
        <v>330239557:0830374256</v>
      </c>
      <c r="D378" s="19" t="str">
        <f>T("Harlekin Edermuen")</f>
        <v>Harlekin Edermuen</v>
      </c>
      <c r="E378" s="19" t="str">
        <f>T("540012360")</f>
        <v>540012360</v>
      </c>
      <c r="F378" s="19" t="s">
        <v>17</v>
      </c>
      <c r="G378" s="19" t="s">
        <v>15</v>
      </c>
      <c r="H378" s="19" t="str">
        <f>T("1Z1V47910444887076")</f>
        <v>1Z1V47910444887076</v>
      </c>
      <c r="I378" s="19" t="s">
        <v>974</v>
      </c>
      <c r="J378" s="19" t="s">
        <v>975</v>
      </c>
      <c r="K378" s="19" t="str">
        <f>T("65205")</f>
        <v>65205</v>
      </c>
      <c r="L378" s="19" t="s">
        <v>35</v>
      </c>
      <c r="M378" s="21" t="s">
        <v>0</v>
      </c>
      <c r="N378" s="31">
        <v>45216</v>
      </c>
    </row>
    <row r="379" spans="1:15" ht="16" hidden="1" x14ac:dyDescent="0.2">
      <c r="A379" s="19" t="s">
        <v>976</v>
      </c>
      <c r="B379" s="20">
        <v>45215</v>
      </c>
      <c r="C379" s="19" t="str">
        <f>T("330239565:0830374261")</f>
        <v>330239565:0830374261</v>
      </c>
      <c r="D379" s="19" t="str">
        <f>T("Kom. Schiffers")</f>
        <v>Kom. Schiffers</v>
      </c>
      <c r="E379" s="19" t="str">
        <f>T("540012345")</f>
        <v>540012345</v>
      </c>
      <c r="F379" s="19" t="s">
        <v>17</v>
      </c>
      <c r="G379" s="19" t="s">
        <v>15</v>
      </c>
      <c r="H379" s="19" t="str">
        <f>T("1Z1V47910444758689")</f>
        <v>1Z1V47910444758689</v>
      </c>
      <c r="I379" s="19" t="s">
        <v>977</v>
      </c>
      <c r="J379" s="19" t="s">
        <v>978</v>
      </c>
      <c r="K379" s="19" t="str">
        <f>T("51149")</f>
        <v>51149</v>
      </c>
      <c r="L379" s="19" t="s">
        <v>35</v>
      </c>
      <c r="M379" s="21" t="s">
        <v>0</v>
      </c>
      <c r="N379" s="31">
        <v>45216</v>
      </c>
    </row>
    <row r="380" spans="1:15" ht="16" hidden="1" x14ac:dyDescent="0.2">
      <c r="A380" s="19" t="s">
        <v>979</v>
      </c>
      <c r="B380" s="20">
        <v>45215</v>
      </c>
      <c r="C380" s="19" t="str">
        <f>T("330239512:0830374162")</f>
        <v>330239512:0830374162</v>
      </c>
      <c r="D380" s="19" t="str">
        <f>T("FABRIZIO BALDONI")</f>
        <v>FABRIZIO BALDONI</v>
      </c>
      <c r="E380" s="19" t="str">
        <f>T("560021754")</f>
        <v>560021754</v>
      </c>
      <c r="F380" s="19" t="s">
        <v>17</v>
      </c>
      <c r="G380" s="19" t="s">
        <v>15</v>
      </c>
      <c r="H380" s="19" t="str">
        <f>T("1Z1V47910443059516")</f>
        <v>1Z1V47910443059516</v>
      </c>
      <c r="I380" s="19" t="s">
        <v>980</v>
      </c>
      <c r="J380" s="19" t="s">
        <v>981</v>
      </c>
      <c r="K380" s="19" t="str">
        <f>T("20126")</f>
        <v>20126</v>
      </c>
      <c r="L380" s="19" t="s">
        <v>18</v>
      </c>
      <c r="M380" s="21" t="s">
        <v>0</v>
      </c>
      <c r="N380" s="31">
        <v>45217</v>
      </c>
    </row>
    <row r="381" spans="1:15" ht="16" hidden="1" x14ac:dyDescent="0.2">
      <c r="A381" s="19" t="s">
        <v>982</v>
      </c>
      <c r="B381" s="20">
        <v>45215</v>
      </c>
      <c r="C381" s="19" t="str">
        <f>T("330239556:0830374255")</f>
        <v>330239556:0830374255</v>
      </c>
      <c r="D381" s="19" t="str">
        <f>T("RAM-53NE3F")</f>
        <v>RAM-53NE3F</v>
      </c>
      <c r="E381" s="19" t="str">
        <f>T("540012361")</f>
        <v>540012361</v>
      </c>
      <c r="F381" s="19" t="s">
        <v>17</v>
      </c>
      <c r="G381" s="19" t="s">
        <v>15</v>
      </c>
      <c r="H381" s="19" t="str">
        <f>T("1Z1V47910443831734")</f>
        <v>1Z1V47910443831734</v>
      </c>
      <c r="I381" s="19" t="s">
        <v>983</v>
      </c>
      <c r="J381" s="19" t="s">
        <v>984</v>
      </c>
      <c r="K381" s="19" t="str">
        <f>T("15374")</f>
        <v>15374</v>
      </c>
      <c r="L381" s="19" t="s">
        <v>35</v>
      </c>
      <c r="M381" s="21" t="s">
        <v>0</v>
      </c>
      <c r="N381" s="31">
        <v>45216</v>
      </c>
    </row>
    <row r="382" spans="1:15" ht="16" hidden="1" x14ac:dyDescent="0.2">
      <c r="A382" s="19" t="s">
        <v>985</v>
      </c>
      <c r="B382" s="20">
        <v>45215</v>
      </c>
      <c r="C382" s="19" t="str">
        <f>T("330239584:0830374274")</f>
        <v>330239584:0830374274</v>
      </c>
      <c r="D382" s="19" t="str">
        <f>T("Kom. 241-23")</f>
        <v>Kom. 241-23</v>
      </c>
      <c r="E382" s="19" t="str">
        <f>T("540012320")</f>
        <v>540012320</v>
      </c>
      <c r="F382" s="19" t="s">
        <v>17</v>
      </c>
      <c r="G382" s="19" t="s">
        <v>15</v>
      </c>
      <c r="H382" s="19" t="str">
        <f>T("1Z1V47910444489345")</f>
        <v>1Z1V47910444489345</v>
      </c>
      <c r="I382" s="19" t="s">
        <v>986</v>
      </c>
      <c r="J382" s="19" t="s">
        <v>987</v>
      </c>
      <c r="K382" s="19" t="str">
        <f>T("15711")</f>
        <v>15711</v>
      </c>
      <c r="L382" s="19" t="s">
        <v>35</v>
      </c>
      <c r="M382" s="21" t="s">
        <v>0</v>
      </c>
      <c r="N382" s="31">
        <v>45216</v>
      </c>
    </row>
    <row r="383" spans="1:15" ht="16" hidden="1" x14ac:dyDescent="0.2">
      <c r="A383" s="19" t="s">
        <v>988</v>
      </c>
      <c r="B383" s="20">
        <v>45215</v>
      </c>
      <c r="C383" s="19" t="str">
        <f>T("330239579:0830374270")</f>
        <v>330239579:0830374270</v>
      </c>
      <c r="D383" s="19" t="str">
        <f>T("AE + IE Platine")</f>
        <v>AE + IE Platine</v>
      </c>
      <c r="E383" s="19" t="str">
        <f>T("540012326")</f>
        <v>540012326</v>
      </c>
      <c r="F383" s="19" t="s">
        <v>17</v>
      </c>
      <c r="G383" s="19" t="s">
        <v>15</v>
      </c>
      <c r="H383" s="19" t="str">
        <f>T("1Z1V47910443127951")</f>
        <v>1Z1V47910443127951</v>
      </c>
      <c r="I383" s="19" t="s">
        <v>989</v>
      </c>
      <c r="J383" s="19" t="s">
        <v>990</v>
      </c>
      <c r="K383" s="19" t="str">
        <f>T("34132")</f>
        <v>34132</v>
      </c>
      <c r="L383" s="19" t="s">
        <v>35</v>
      </c>
      <c r="M383" s="21" t="s">
        <v>0</v>
      </c>
      <c r="N383" s="31">
        <v>45216</v>
      </c>
    </row>
    <row r="384" spans="1:15" ht="16" hidden="1" x14ac:dyDescent="0.2">
      <c r="A384" s="19" t="s">
        <v>991</v>
      </c>
      <c r="B384" s="20">
        <v>45215</v>
      </c>
      <c r="C384" s="19" t="str">
        <f>T("330239567:0830374263")</f>
        <v>330239567:0830374263</v>
      </c>
      <c r="D384" s="19" t="str">
        <f>T("Kom. Euroclean")</f>
        <v>Kom. Euroclean</v>
      </c>
      <c r="E384" s="19" t="str">
        <f>T("540012342")</f>
        <v>540012342</v>
      </c>
      <c r="F384" s="19" t="s">
        <v>17</v>
      </c>
      <c r="G384" s="19" t="s">
        <v>15</v>
      </c>
      <c r="H384" s="19" t="str">
        <f>T("1Z1V47910444847565")</f>
        <v>1Z1V47910444847565</v>
      </c>
      <c r="I384" s="19" t="s">
        <v>992</v>
      </c>
      <c r="J384" s="19" t="s">
        <v>993</v>
      </c>
      <c r="K384" s="19" t="str">
        <f>T("70839")</f>
        <v>70839</v>
      </c>
      <c r="L384" s="19" t="s">
        <v>35</v>
      </c>
      <c r="M384" s="21" t="s">
        <v>0</v>
      </c>
      <c r="N384" s="31">
        <v>45216</v>
      </c>
    </row>
    <row r="385" spans="1:14" ht="16" hidden="1" x14ac:dyDescent="0.2">
      <c r="A385" s="19" t="s">
        <v>994</v>
      </c>
      <c r="B385" s="20">
        <v>45215</v>
      </c>
      <c r="C385" s="19" t="str">
        <f>T("330239581:0830374272")</f>
        <v>330239581:0830374272</v>
      </c>
      <c r="D385" s="19" t="str">
        <f>T("Kom. Kaya Sohn")</f>
        <v>Kom. Kaya Sohn</v>
      </c>
      <c r="E385" s="19" t="str">
        <f>T("540012324")</f>
        <v>540012324</v>
      </c>
      <c r="F385" s="19" t="s">
        <v>17</v>
      </c>
      <c r="G385" s="19" t="s">
        <v>15</v>
      </c>
      <c r="H385" s="19" t="str">
        <f>T("1Z1V47910445748170")</f>
        <v>1Z1V47910445748170</v>
      </c>
      <c r="I385" s="19" t="s">
        <v>995</v>
      </c>
      <c r="J385" s="19" t="s">
        <v>996</v>
      </c>
      <c r="K385" s="19" t="str">
        <f>T("59425")</f>
        <v>59425</v>
      </c>
      <c r="L385" s="19" t="s">
        <v>35</v>
      </c>
      <c r="M385" s="21" t="s">
        <v>0</v>
      </c>
      <c r="N385" s="31">
        <v>45216</v>
      </c>
    </row>
    <row r="386" spans="1:14" ht="16" hidden="1" x14ac:dyDescent="0.2">
      <c r="A386" s="19" t="s">
        <v>997</v>
      </c>
      <c r="B386" s="20">
        <v>45215</v>
      </c>
      <c r="C386" s="19" t="str">
        <f>T("330239445:0830374120")</f>
        <v>330239445:0830374120</v>
      </c>
      <c r="D386" s="19" t="str">
        <f>T("2909-CAM")</f>
        <v>2909-CAM</v>
      </c>
      <c r="E386" s="19" t="str">
        <f>T("560021808")</f>
        <v>560021808</v>
      </c>
      <c r="F386" s="19" t="s">
        <v>17</v>
      </c>
      <c r="G386" s="19" t="s">
        <v>15</v>
      </c>
      <c r="H386" s="19" t="str">
        <f>T("1Z1V47910444929780")</f>
        <v>1Z1V47910444929780</v>
      </c>
      <c r="I386" s="19" t="s">
        <v>969</v>
      </c>
      <c r="J386" s="19" t="s">
        <v>970</v>
      </c>
      <c r="K386" s="19" t="str">
        <f>T("21052")</f>
        <v>21052</v>
      </c>
      <c r="L386" s="19" t="s">
        <v>18</v>
      </c>
      <c r="M386" s="21" t="s">
        <v>0</v>
      </c>
      <c r="N386" s="31">
        <v>45216</v>
      </c>
    </row>
    <row r="387" spans="1:14" ht="16" hidden="1" x14ac:dyDescent="0.2">
      <c r="A387" s="19" t="s">
        <v>998</v>
      </c>
      <c r="B387" s="20">
        <v>45215</v>
      </c>
      <c r="C387" s="19" t="str">
        <f>T("330239491:0830374149")</f>
        <v>330239491:0830374149</v>
      </c>
      <c r="D387" s="19" t="str">
        <f>T("WC 9721")</f>
        <v>WC 9721</v>
      </c>
      <c r="E387" s="19" t="str">
        <f>T("560021909")</f>
        <v>560021909</v>
      </c>
      <c r="F387" s="19" t="s">
        <v>17</v>
      </c>
      <c r="G387" s="19" t="s">
        <v>15</v>
      </c>
      <c r="H387" s="19" t="str">
        <f>T("1Z1V47910444492395")</f>
        <v>1Z1V47910444492395</v>
      </c>
      <c r="I387" s="19" t="s">
        <v>999</v>
      </c>
      <c r="J387" s="19" t="s">
        <v>999</v>
      </c>
      <c r="K387" s="19" t="str">
        <f>T("25047")</f>
        <v>25047</v>
      </c>
      <c r="L387" s="19" t="s">
        <v>18</v>
      </c>
      <c r="M387" s="21" t="s">
        <v>0</v>
      </c>
      <c r="N387" s="31">
        <v>45216</v>
      </c>
    </row>
    <row r="388" spans="1:14" ht="16" hidden="1" x14ac:dyDescent="0.2">
      <c r="A388" s="19" t="s">
        <v>1000</v>
      </c>
      <c r="B388" s="20">
        <v>45215</v>
      </c>
      <c r="C388" s="19" t="str">
        <f>T("330239493:0830374151")</f>
        <v>330239493:0830374151</v>
      </c>
      <c r="D388" s="19" t="str">
        <f>T("WC 9693 + 9694")</f>
        <v>WC 9693 + 9694</v>
      </c>
      <c r="E388" s="19" t="str">
        <f>T("560021911")</f>
        <v>560021911</v>
      </c>
      <c r="F388" s="19" t="s">
        <v>17</v>
      </c>
      <c r="G388" s="19" t="s">
        <v>15</v>
      </c>
      <c r="H388" s="19" t="str">
        <f>T("1Z1V47910443536009")</f>
        <v>1Z1V47910443536009</v>
      </c>
      <c r="I388" s="19" t="s">
        <v>1001</v>
      </c>
      <c r="J388" s="19" t="s">
        <v>1001</v>
      </c>
      <c r="K388" s="19" t="str">
        <f>T("24044")</f>
        <v>24044</v>
      </c>
      <c r="L388" s="19" t="s">
        <v>18</v>
      </c>
      <c r="M388" s="21" t="s">
        <v>0</v>
      </c>
      <c r="N388" s="31">
        <v>45216</v>
      </c>
    </row>
    <row r="389" spans="1:14" ht="16" hidden="1" x14ac:dyDescent="0.2">
      <c r="A389" s="19" t="s">
        <v>1002</v>
      </c>
      <c r="B389" s="20">
        <v>45215</v>
      </c>
      <c r="C389" s="19" t="str">
        <f>T("330239562:0830374259")</f>
        <v>330239562:0830374259</v>
      </c>
      <c r="D389" s="19" t="str">
        <f>T("TCK001338, Kita B")</f>
        <v>TCK001338, Kita B</v>
      </c>
      <c r="E389" s="19" t="str">
        <f>T("540012353")</f>
        <v>540012353</v>
      </c>
      <c r="F389" s="19" t="s">
        <v>17</v>
      </c>
      <c r="G389" s="19" t="s">
        <v>15</v>
      </c>
      <c r="H389" s="19" t="str">
        <f>T("1Z1V47910444160618")</f>
        <v>1Z1V47910444160618</v>
      </c>
      <c r="I389" s="19" t="s">
        <v>1003</v>
      </c>
      <c r="J389" s="19" t="s">
        <v>1004</v>
      </c>
      <c r="K389" s="19" t="str">
        <f>T("61476")</f>
        <v>61476</v>
      </c>
      <c r="L389" s="19" t="s">
        <v>35</v>
      </c>
      <c r="M389" s="21" t="s">
        <v>0</v>
      </c>
      <c r="N389" s="31">
        <v>45216</v>
      </c>
    </row>
    <row r="390" spans="1:14" ht="16" hidden="1" x14ac:dyDescent="0.2">
      <c r="A390" s="19" t="s">
        <v>1005</v>
      </c>
      <c r="B390" s="20">
        <v>45215</v>
      </c>
      <c r="C390" s="19" t="str">
        <f>T("330239444:0830377183")</f>
        <v>330239444:0830377183</v>
      </c>
      <c r="D390" s="19" t="str">
        <f>T("769-JCH-IT")</f>
        <v>769-JCH-IT</v>
      </c>
      <c r="E390" s="19" t="str">
        <f>T("560021791")</f>
        <v>560021791</v>
      </c>
      <c r="F390" s="19" t="s">
        <v>17</v>
      </c>
      <c r="G390" s="19" t="s">
        <v>15</v>
      </c>
      <c r="H390" s="19" t="str">
        <f>T("1Z1V47910445466224")</f>
        <v>1Z1V47910445466224</v>
      </c>
      <c r="I390" s="19" t="s">
        <v>1006</v>
      </c>
      <c r="J390" s="19" t="s">
        <v>1007</v>
      </c>
      <c r="K390" s="19" t="str">
        <f>T("22075")</f>
        <v>22075</v>
      </c>
      <c r="L390" s="19" t="s">
        <v>18</v>
      </c>
      <c r="M390" s="21" t="s">
        <v>0</v>
      </c>
      <c r="N390" s="31">
        <v>45216</v>
      </c>
    </row>
    <row r="391" spans="1:14" ht="16" hidden="1" x14ac:dyDescent="0.2">
      <c r="A391" s="19" t="s">
        <v>1008</v>
      </c>
      <c r="B391" s="20">
        <v>45215</v>
      </c>
      <c r="C391" s="19" t="str">
        <f>T("330239438:0830374115")</f>
        <v>330239438:0830374115</v>
      </c>
      <c r="D391" s="19" t="str">
        <f>T("TREGNAGHI")</f>
        <v>TREGNAGHI</v>
      </c>
      <c r="E391" s="19" t="str">
        <f>T("560021780")</f>
        <v>560021780</v>
      </c>
      <c r="F391" s="19" t="s">
        <v>17</v>
      </c>
      <c r="G391" s="19" t="s">
        <v>15</v>
      </c>
      <c r="H391" s="19" t="str">
        <f>T("1Z1V47910443552830")</f>
        <v>1Z1V47910443552830</v>
      </c>
      <c r="I391" s="19" t="s">
        <v>1009</v>
      </c>
      <c r="J391" s="19" t="s">
        <v>1010</v>
      </c>
      <c r="K391" s="19" t="str">
        <f>T("37030")</f>
        <v>37030</v>
      </c>
      <c r="L391" s="19" t="s">
        <v>18</v>
      </c>
      <c r="M391" s="21" t="s">
        <v>0</v>
      </c>
      <c r="N391" s="31">
        <v>45216</v>
      </c>
    </row>
    <row r="392" spans="1:14" ht="16" hidden="1" x14ac:dyDescent="0.2">
      <c r="A392" s="19" t="s">
        <v>1011</v>
      </c>
      <c r="B392" s="20">
        <v>45215</v>
      </c>
      <c r="C392" s="19" t="str">
        <f>T("330239432:0830374110")</f>
        <v>330239432:0830374110</v>
      </c>
      <c r="D392" s="19" t="str">
        <f>T("bandini")</f>
        <v>bandini</v>
      </c>
      <c r="E392" s="19" t="str">
        <f>T("560021761")</f>
        <v>560021761</v>
      </c>
      <c r="F392" s="19" t="s">
        <v>17</v>
      </c>
      <c r="G392" s="19" t="s">
        <v>15</v>
      </c>
      <c r="H392" s="19" t="str">
        <f>T("1Z1V47910444469054")</f>
        <v>1Z1V47910444469054</v>
      </c>
      <c r="I392" s="19" t="s">
        <v>1012</v>
      </c>
      <c r="J392" s="19" t="s">
        <v>1013</v>
      </c>
      <c r="K392" s="19" t="str">
        <f>T("40024")</f>
        <v>40024</v>
      </c>
      <c r="L392" s="19" t="s">
        <v>18</v>
      </c>
      <c r="M392" s="21" t="s">
        <v>0</v>
      </c>
      <c r="N392" s="31">
        <v>45216</v>
      </c>
    </row>
    <row r="393" spans="1:14" ht="16" hidden="1" x14ac:dyDescent="0.2">
      <c r="A393" s="19" t="s">
        <v>1014</v>
      </c>
      <c r="B393" s="20">
        <v>45215</v>
      </c>
      <c r="C393" s="19" t="str">
        <f>T("330239090:0830377178")</f>
        <v>330239090:0830377178</v>
      </c>
      <c r="D393" s="19" t="str">
        <f>T("0410/BRIVIO")</f>
        <v>0410/BRIVIO</v>
      </c>
      <c r="E393" s="19" t="str">
        <f>T("560021856")</f>
        <v>560021856</v>
      </c>
      <c r="F393" s="19" t="s">
        <v>17</v>
      </c>
      <c r="G393" s="19" t="s">
        <v>15</v>
      </c>
      <c r="H393" s="19" t="str">
        <f>T("1Z1V47910445498664")</f>
        <v>1Z1V47910445498664</v>
      </c>
      <c r="I393" s="19" t="s">
        <v>969</v>
      </c>
      <c r="J393" s="19" t="s">
        <v>970</v>
      </c>
      <c r="K393" s="19" t="str">
        <f>T("21052")</f>
        <v>21052</v>
      </c>
      <c r="L393" s="19" t="s">
        <v>18</v>
      </c>
      <c r="M393" s="21" t="s">
        <v>0</v>
      </c>
      <c r="N393" s="31">
        <v>45216</v>
      </c>
    </row>
    <row r="394" spans="1:14" ht="16" hidden="1" x14ac:dyDescent="0.2">
      <c r="A394" s="19" t="s">
        <v>1015</v>
      </c>
      <c r="B394" s="20">
        <v>45215</v>
      </c>
      <c r="C394" s="19" t="str">
        <f>T("330239439:0830374116")</f>
        <v>330239439:0830374116</v>
      </c>
      <c r="D394" s="19" t="str">
        <f>T("CONSOL")</f>
        <v>CONSOL</v>
      </c>
      <c r="E394" s="19" t="str">
        <f>T("560021784")</f>
        <v>560021784</v>
      </c>
      <c r="F394" s="19" t="s">
        <v>17</v>
      </c>
      <c r="G394" s="19" t="s">
        <v>15</v>
      </c>
      <c r="H394" s="19" t="str">
        <f>T("1Z1V47910445709275")</f>
        <v>1Z1V47910445709275</v>
      </c>
      <c r="I394" s="19" t="s">
        <v>1016</v>
      </c>
      <c r="J394" s="19" t="s">
        <v>1017</v>
      </c>
      <c r="K394" s="19" t="str">
        <f>T("14053")</f>
        <v>14053</v>
      </c>
      <c r="L394" s="19" t="s">
        <v>18</v>
      </c>
      <c r="M394" s="21" t="s">
        <v>0</v>
      </c>
      <c r="N394" s="31">
        <v>45216</v>
      </c>
    </row>
    <row r="395" spans="1:14" ht="16" hidden="1" x14ac:dyDescent="0.2">
      <c r="A395" s="19" t="s">
        <v>1018</v>
      </c>
      <c r="B395" s="20">
        <v>45215</v>
      </c>
      <c r="C395" s="19" t="str">
        <f>T("330239568:0830374264")</f>
        <v>330239568:0830374264</v>
      </c>
      <c r="D395" s="19" t="str">
        <f>T("Kom. 7907 / P1018")</f>
        <v>Kom. 7907 / P1018</v>
      </c>
      <c r="E395" s="19" t="str">
        <f>T("540012340")</f>
        <v>540012340</v>
      </c>
      <c r="F395" s="19" t="s">
        <v>17</v>
      </c>
      <c r="G395" s="19" t="s">
        <v>15</v>
      </c>
      <c r="H395" s="19" t="str">
        <f>T("1Z1V47910444200888")</f>
        <v>1Z1V47910444200888</v>
      </c>
      <c r="I395" s="19" t="s">
        <v>1019</v>
      </c>
      <c r="J395" s="19" t="s">
        <v>1020</v>
      </c>
      <c r="K395" s="19" t="str">
        <f>T("64579")</f>
        <v>64579</v>
      </c>
      <c r="L395" s="19" t="s">
        <v>35</v>
      </c>
      <c r="M395" s="21" t="s">
        <v>0</v>
      </c>
      <c r="N395" s="31">
        <v>45217</v>
      </c>
    </row>
    <row r="396" spans="1:14" ht="16" hidden="1" x14ac:dyDescent="0.2">
      <c r="A396" s="19" t="s">
        <v>1021</v>
      </c>
      <c r="B396" s="20">
        <v>45215</v>
      </c>
      <c r="C396" s="19" t="str">
        <f>T("330239454:0830374124")</f>
        <v>330239454:0830374124</v>
      </c>
      <c r="D396" s="19" t="str">
        <f>T("03102023")</f>
        <v>03102023</v>
      </c>
      <c r="E396" s="19" t="str">
        <f>T("560021837")</f>
        <v>560021837</v>
      </c>
      <c r="F396" s="19" t="s">
        <v>17</v>
      </c>
      <c r="G396" s="19" t="s">
        <v>15</v>
      </c>
      <c r="H396" s="19" t="str">
        <f>T("1Z1V47910443073492")</f>
        <v>1Z1V47910443073492</v>
      </c>
      <c r="I396" s="19" t="s">
        <v>694</v>
      </c>
      <c r="J396" s="19" t="s">
        <v>695</v>
      </c>
      <c r="K396" s="19" t="str">
        <f>T("42100")</f>
        <v>42100</v>
      </c>
      <c r="L396" s="19" t="s">
        <v>18</v>
      </c>
      <c r="M396" s="21" t="s">
        <v>0</v>
      </c>
      <c r="N396" s="31">
        <v>45217</v>
      </c>
    </row>
    <row r="397" spans="1:14" ht="16" hidden="1" x14ac:dyDescent="0.2">
      <c r="A397" s="19" t="s">
        <v>1022</v>
      </c>
      <c r="B397" s="20">
        <v>45215</v>
      </c>
      <c r="C397" s="19" t="str">
        <f>T("330239092:0830377179")</f>
        <v>330239092:0830377179</v>
      </c>
      <c r="D397" s="19" t="str">
        <f>T("2209/NONNAORTICA")</f>
        <v>2209/NONNAORTICA</v>
      </c>
      <c r="E397" s="19" t="str">
        <f>T("560021730")</f>
        <v>560021730</v>
      </c>
      <c r="F397" s="19" t="s">
        <v>17</v>
      </c>
      <c r="G397" s="19" t="s">
        <v>15</v>
      </c>
      <c r="H397" s="19" t="str">
        <f>T("1Z1V47910444427107")</f>
        <v>1Z1V47910444427107</v>
      </c>
      <c r="I397" s="19" t="s">
        <v>969</v>
      </c>
      <c r="J397" s="19" t="s">
        <v>970</v>
      </c>
      <c r="K397" s="19" t="str">
        <f>T("21052")</f>
        <v>21052</v>
      </c>
      <c r="L397" s="19" t="s">
        <v>18</v>
      </c>
      <c r="M397" s="21" t="s">
        <v>0</v>
      </c>
      <c r="N397" s="31">
        <v>45216</v>
      </c>
    </row>
    <row r="398" spans="1:14" ht="16" hidden="1" x14ac:dyDescent="0.2">
      <c r="A398" s="19" t="s">
        <v>1023</v>
      </c>
      <c r="B398" s="20">
        <v>45215</v>
      </c>
      <c r="C398" s="19" t="str">
        <f>T("330239440:0830374117")</f>
        <v>330239440:0830374117</v>
      </c>
      <c r="D398" s="19" t="str">
        <f>T("CONSORZIO")</f>
        <v>CONSORZIO</v>
      </c>
      <c r="E398" s="19" t="str">
        <f>T("560021785")</f>
        <v>560021785</v>
      </c>
      <c r="F398" s="19" t="s">
        <v>17</v>
      </c>
      <c r="G398" s="19" t="s">
        <v>15</v>
      </c>
      <c r="H398" s="19" t="str">
        <f>T("1Z1V47910444361713")</f>
        <v>1Z1V47910444361713</v>
      </c>
      <c r="I398" s="19" t="s">
        <v>694</v>
      </c>
      <c r="J398" s="19" t="s">
        <v>695</v>
      </c>
      <c r="K398" s="19" t="str">
        <f>T("42100")</f>
        <v>42100</v>
      </c>
      <c r="L398" s="19" t="s">
        <v>18</v>
      </c>
      <c r="M398" s="21" t="s">
        <v>0</v>
      </c>
      <c r="N398" s="31">
        <v>45216</v>
      </c>
    </row>
    <row r="399" spans="1:14" ht="16" hidden="1" x14ac:dyDescent="0.2">
      <c r="A399" s="19" t="s">
        <v>1024</v>
      </c>
      <c r="B399" s="20">
        <v>45215</v>
      </c>
      <c r="C399" s="19" t="str">
        <f>T("330239509:0830374160")</f>
        <v>330239509:0830374160</v>
      </c>
      <c r="D399" s="19" t="str">
        <f>T("FORLANI")</f>
        <v>FORLANI</v>
      </c>
      <c r="E399" s="19" t="str">
        <f>T("560021744")</f>
        <v>560021744</v>
      </c>
      <c r="F399" s="19" t="s">
        <v>17</v>
      </c>
      <c r="G399" s="19" t="s">
        <v>15</v>
      </c>
      <c r="H399" s="19" t="str">
        <f>T("1Z1V47910445373931")</f>
        <v>1Z1V47910445373931</v>
      </c>
      <c r="I399" s="19" t="s">
        <v>1025</v>
      </c>
      <c r="J399" s="19" t="s">
        <v>1026</v>
      </c>
      <c r="K399" s="19" t="str">
        <f>T("38121")</f>
        <v>38121</v>
      </c>
      <c r="L399" s="19" t="s">
        <v>18</v>
      </c>
      <c r="M399" s="21" t="s">
        <v>0</v>
      </c>
      <c r="N399" s="31">
        <v>45216</v>
      </c>
    </row>
    <row r="400" spans="1:14" ht="16" hidden="1" x14ac:dyDescent="0.2">
      <c r="A400" s="19" t="s">
        <v>1027</v>
      </c>
      <c r="B400" s="20">
        <v>45215</v>
      </c>
      <c r="C400" s="19" t="str">
        <f>T("330239492:0830374150")</f>
        <v>330239492:0830374150</v>
      </c>
      <c r="D400" s="19" t="str">
        <f>T("WC 9722")</f>
        <v>WC 9722</v>
      </c>
      <c r="E400" s="19" t="str">
        <f>T("560021910")</f>
        <v>560021910</v>
      </c>
      <c r="F400" s="19" t="s">
        <v>17</v>
      </c>
      <c r="G400" s="19" t="s">
        <v>15</v>
      </c>
      <c r="H400" s="19" t="str">
        <f>T("1Z1V47910444651543")</f>
        <v>1Z1V47910444651543</v>
      </c>
      <c r="I400" s="19" t="s">
        <v>999</v>
      </c>
      <c r="J400" s="19" t="s">
        <v>999</v>
      </c>
      <c r="K400" s="19" t="str">
        <f>T("25047")</f>
        <v>25047</v>
      </c>
      <c r="L400" s="19" t="s">
        <v>18</v>
      </c>
      <c r="M400" s="21" t="s">
        <v>0</v>
      </c>
      <c r="N400" s="31">
        <v>45216</v>
      </c>
    </row>
    <row r="401" spans="1:14" ht="16" hidden="1" x14ac:dyDescent="0.2">
      <c r="A401" s="19" t="s">
        <v>1028</v>
      </c>
      <c r="B401" s="20">
        <v>45215</v>
      </c>
      <c r="C401" s="19" t="str">
        <f>T("330239437:0830374114")</f>
        <v>330239437:0830374114</v>
      </c>
      <c r="D401" s="19" t="str">
        <f>T("of 760")</f>
        <v>of 760</v>
      </c>
      <c r="E401" s="19" t="str">
        <f>T("560021772")</f>
        <v>560021772</v>
      </c>
      <c r="F401" s="19" t="s">
        <v>17</v>
      </c>
      <c r="G401" s="19" t="s">
        <v>15</v>
      </c>
      <c r="H401" s="19" t="str">
        <f>T("1Z1V47910444910156")</f>
        <v>1Z1V47910444910156</v>
      </c>
      <c r="I401" s="19" t="s">
        <v>1029</v>
      </c>
      <c r="J401" s="19" t="s">
        <v>1030</v>
      </c>
      <c r="K401" s="19" t="str">
        <f>T("48018")</f>
        <v>48018</v>
      </c>
      <c r="L401" s="19" t="s">
        <v>18</v>
      </c>
      <c r="M401" s="21" t="s">
        <v>0</v>
      </c>
      <c r="N401" s="31">
        <v>45216</v>
      </c>
    </row>
    <row r="402" spans="1:14" ht="16" hidden="1" x14ac:dyDescent="0.2">
      <c r="A402" s="19" t="s">
        <v>1031</v>
      </c>
      <c r="B402" s="20">
        <v>45215</v>
      </c>
      <c r="C402" s="19" t="str">
        <f>T("330239513:0830377216")</f>
        <v>330239513:0830377216</v>
      </c>
      <c r="D402" s="19" t="str">
        <f>T("semenzato")</f>
        <v>semenzato</v>
      </c>
      <c r="E402" s="19" t="str">
        <f>T("560021755")</f>
        <v>560021755</v>
      </c>
      <c r="F402" s="19" t="s">
        <v>17</v>
      </c>
      <c r="G402" s="19" t="s">
        <v>15</v>
      </c>
      <c r="H402" s="19" t="str">
        <f>T("1Z1V47910445249763")</f>
        <v>1Z1V47910445249763</v>
      </c>
      <c r="I402" s="19" t="s">
        <v>1032</v>
      </c>
      <c r="J402" s="19" t="s">
        <v>1033</v>
      </c>
      <c r="K402" s="19" t="str">
        <f>T("35129")</f>
        <v>35129</v>
      </c>
      <c r="L402" s="19" t="s">
        <v>18</v>
      </c>
      <c r="M402" s="21" t="s">
        <v>0</v>
      </c>
      <c r="N402" s="31">
        <v>45216</v>
      </c>
    </row>
    <row r="403" spans="1:14" ht="16" hidden="1" x14ac:dyDescent="0.2">
      <c r="A403" s="19" t="s">
        <v>1034</v>
      </c>
      <c r="B403" s="20">
        <v>45215</v>
      </c>
      <c r="C403" s="19" t="str">
        <f>T("330239576:0830374268")</f>
        <v>330239576:0830374268</v>
      </c>
      <c r="D403" s="19" t="str">
        <f>T("TCK001326 - FU-Be")</f>
        <v>TCK001326 - FU-Be</v>
      </c>
      <c r="E403" s="19" t="str">
        <f>T("540012331")</f>
        <v>540012331</v>
      </c>
      <c r="F403" s="19" t="s">
        <v>17</v>
      </c>
      <c r="G403" s="19" t="s">
        <v>15</v>
      </c>
      <c r="H403" s="19" t="str">
        <f>T("1Z1V47910444770370")</f>
        <v>1Z1V47910444770370</v>
      </c>
      <c r="I403" s="19" t="s">
        <v>1035</v>
      </c>
      <c r="J403" s="19" t="s">
        <v>1036</v>
      </c>
      <c r="K403" s="19" t="str">
        <f>T("15745")</f>
        <v>15745</v>
      </c>
      <c r="L403" s="19" t="s">
        <v>35</v>
      </c>
      <c r="M403" s="21" t="s">
        <v>0</v>
      </c>
      <c r="N403" s="31">
        <v>45216</v>
      </c>
    </row>
    <row r="404" spans="1:14" ht="16" hidden="1" x14ac:dyDescent="0.2">
      <c r="A404" s="19" t="s">
        <v>1037</v>
      </c>
      <c r="B404" s="20">
        <v>45215</v>
      </c>
      <c r="C404" s="19" t="str">
        <f>T("330239506:0830377214")</f>
        <v>330239506:0830377214</v>
      </c>
      <c r="D404" s="19" t="str">
        <f>T("PRINTER 2809")</f>
        <v>PRINTER 2809</v>
      </c>
      <c r="E404" s="19" t="str">
        <f>T("560021737")</f>
        <v>560021737</v>
      </c>
      <c r="F404" s="19" t="s">
        <v>17</v>
      </c>
      <c r="G404" s="19" t="s">
        <v>15</v>
      </c>
      <c r="H404" s="19" t="str">
        <f>T("1Z1V47910445571986")</f>
        <v>1Z1V47910445571986</v>
      </c>
      <c r="I404" s="19" t="s">
        <v>903</v>
      </c>
      <c r="J404" s="19" t="s">
        <v>904</v>
      </c>
      <c r="K404" s="19" t="str">
        <f>T("50141")</f>
        <v>50141</v>
      </c>
      <c r="L404" s="19" t="s">
        <v>18</v>
      </c>
      <c r="M404" s="21" t="s">
        <v>0</v>
      </c>
      <c r="N404" s="31">
        <v>45217</v>
      </c>
    </row>
    <row r="405" spans="1:14" ht="16" hidden="1" x14ac:dyDescent="0.2">
      <c r="A405" s="19" t="s">
        <v>1038</v>
      </c>
      <c r="B405" s="20">
        <v>45215</v>
      </c>
      <c r="C405" s="19" t="str">
        <f>T("330239526:0830377219")</f>
        <v>330239526:0830377219</v>
      </c>
      <c r="D405" s="19" t="str">
        <f>T("TCK001315, JVA Bu")</f>
        <v>TCK001315, JVA Bu</v>
      </c>
      <c r="E405" s="19" t="str">
        <f>T("540012308")</f>
        <v>540012308</v>
      </c>
      <c r="F405" s="19" t="s">
        <v>17</v>
      </c>
      <c r="G405" s="19" t="s">
        <v>15</v>
      </c>
      <c r="H405" s="19" t="str">
        <f>T("1Z1V47910443754596")</f>
        <v>1Z1V47910443754596</v>
      </c>
      <c r="I405" s="19" t="s">
        <v>1039</v>
      </c>
      <c r="J405" s="19" t="s">
        <v>1040</v>
      </c>
      <c r="K405" s="19" t="str">
        <f>T("39171")</f>
        <v>39171</v>
      </c>
      <c r="L405" s="19" t="s">
        <v>35</v>
      </c>
      <c r="M405" s="21" t="s">
        <v>0</v>
      </c>
      <c r="N405" s="31">
        <v>45217</v>
      </c>
    </row>
    <row r="406" spans="1:14" ht="16" hidden="1" x14ac:dyDescent="0.2">
      <c r="A406" s="19" t="s">
        <v>1041</v>
      </c>
      <c r="B406" s="20">
        <v>45215</v>
      </c>
      <c r="C406" s="19" t="str">
        <f>T("330239093:0830377180")</f>
        <v>330239093:0830377180</v>
      </c>
      <c r="D406" s="19" t="str">
        <f>T("NICI COSTRUZIONI")</f>
        <v>NICI COSTRUZIONI</v>
      </c>
      <c r="E406" s="19" t="str">
        <f>T("560021745")</f>
        <v>560021745</v>
      </c>
      <c r="F406" s="19" t="s">
        <v>17</v>
      </c>
      <c r="G406" s="19" t="s">
        <v>15</v>
      </c>
      <c r="H406" s="19" t="str">
        <f>T("1Z1V47910444418206")</f>
        <v>1Z1V47910444418206</v>
      </c>
      <c r="I406" s="19" t="s">
        <v>1042</v>
      </c>
      <c r="J406" s="19" t="s">
        <v>1043</v>
      </c>
      <c r="K406" s="19" t="str">
        <f>T("20096")</f>
        <v>20096</v>
      </c>
      <c r="L406" s="19" t="s">
        <v>18</v>
      </c>
      <c r="M406" s="21" t="s">
        <v>0</v>
      </c>
      <c r="N406" s="31">
        <v>45216</v>
      </c>
    </row>
    <row r="407" spans="1:14" ht="16" hidden="1" x14ac:dyDescent="0.2">
      <c r="A407" s="19" t="s">
        <v>1044</v>
      </c>
      <c r="B407" s="20">
        <v>45215</v>
      </c>
      <c r="C407" s="19" t="str">
        <f>T("330239504:0830377213")</f>
        <v>330239504:0830377213</v>
      </c>
      <c r="D407" s="19" t="str">
        <f>T("23-094")</f>
        <v>23-094</v>
      </c>
      <c r="E407" s="19" t="str">
        <f>T("560021734")</f>
        <v>560021734</v>
      </c>
      <c r="F407" s="19" t="s">
        <v>17</v>
      </c>
      <c r="G407" s="19" t="s">
        <v>15</v>
      </c>
      <c r="H407" s="19" t="str">
        <f>T("1Z1V47910443662819")</f>
        <v>1Z1V47910443662819</v>
      </c>
      <c r="I407" s="19" t="s">
        <v>1045</v>
      </c>
      <c r="J407" s="19" t="s">
        <v>1046</v>
      </c>
      <c r="K407" s="19" t="str">
        <f>T("45100")</f>
        <v>45100</v>
      </c>
      <c r="L407" s="19" t="s">
        <v>18</v>
      </c>
      <c r="M407" s="21" t="s">
        <v>0</v>
      </c>
      <c r="N407" s="31">
        <v>45216</v>
      </c>
    </row>
    <row r="408" spans="1:14" ht="16" hidden="1" x14ac:dyDescent="0.2">
      <c r="A408" s="19" t="s">
        <v>1047</v>
      </c>
      <c r="B408" s="20">
        <v>45215</v>
      </c>
      <c r="C408" s="19" t="str">
        <f>T("330239582:0830377230")</f>
        <v>330239582:0830377230</v>
      </c>
      <c r="D408" s="19" t="str">
        <f>T("SA/2483/New Yorke")</f>
        <v>SA/2483/New Yorke</v>
      </c>
      <c r="E408" s="19" t="str">
        <f>T("540012323")</f>
        <v>540012323</v>
      </c>
      <c r="F408" s="19" t="s">
        <v>17</v>
      </c>
      <c r="G408" s="19" t="s">
        <v>15</v>
      </c>
      <c r="H408" s="19" t="str">
        <f>T("1Z1V47910443588427")</f>
        <v>1Z1V47910443588427</v>
      </c>
      <c r="I408" s="19" t="s">
        <v>1048</v>
      </c>
      <c r="J408" s="19" t="s">
        <v>1049</v>
      </c>
      <c r="K408" s="19" t="str">
        <f>T("22525")</f>
        <v>22525</v>
      </c>
      <c r="L408" s="19" t="s">
        <v>35</v>
      </c>
      <c r="M408" s="21" t="s">
        <v>0</v>
      </c>
      <c r="N408" s="31">
        <v>45216</v>
      </c>
    </row>
    <row r="409" spans="1:14" ht="16" hidden="1" x14ac:dyDescent="0.2">
      <c r="A409" s="19" t="s">
        <v>1050</v>
      </c>
      <c r="B409" s="20">
        <v>45215</v>
      </c>
      <c r="C409" s="19" t="str">
        <f>T("330239502:0830377212")</f>
        <v>330239502:0830377212</v>
      </c>
      <c r="D409" s="19" t="str">
        <f>T("20230922")</f>
        <v>20230922</v>
      </c>
      <c r="E409" s="19" t="str">
        <f>T("560021729")</f>
        <v>560021729</v>
      </c>
      <c r="F409" s="19" t="s">
        <v>17</v>
      </c>
      <c r="G409" s="19" t="s">
        <v>15</v>
      </c>
      <c r="H409" s="19" t="str">
        <f>T("1Z1V47910443295038")</f>
        <v>1Z1V47910443295038</v>
      </c>
      <c r="I409" s="19" t="s">
        <v>1051</v>
      </c>
      <c r="J409" s="19" t="s">
        <v>1052</v>
      </c>
      <c r="K409" s="19" t="str">
        <f>T("62100")</f>
        <v>62100</v>
      </c>
      <c r="L409" s="19" t="s">
        <v>18</v>
      </c>
      <c r="M409" s="21" t="s">
        <v>0</v>
      </c>
      <c r="N409" s="31">
        <v>45216</v>
      </c>
    </row>
    <row r="410" spans="1:14" ht="16" hidden="1" x14ac:dyDescent="0.2">
      <c r="A410" s="19" t="s">
        <v>1053</v>
      </c>
      <c r="B410" s="20">
        <v>45215</v>
      </c>
      <c r="C410" s="19" t="str">
        <f>T("330239558:0830377221")</f>
        <v>330239558:0830377221</v>
      </c>
      <c r="D410" s="19" t="str">
        <f>T("Kom. 202300892")</f>
        <v>Kom. 202300892</v>
      </c>
      <c r="E410" s="19" t="str">
        <f>T("540012358")</f>
        <v>540012358</v>
      </c>
      <c r="F410" s="19" t="s">
        <v>17</v>
      </c>
      <c r="G410" s="19" t="s">
        <v>15</v>
      </c>
      <c r="H410" s="19" t="str">
        <f>T("1Z1V47910444882642")</f>
        <v>1Z1V47910444882642</v>
      </c>
      <c r="I410" s="19" t="s">
        <v>1048</v>
      </c>
      <c r="J410" s="19" t="s">
        <v>1049</v>
      </c>
      <c r="K410" s="19" t="str">
        <f>T("22525")</f>
        <v>22525</v>
      </c>
      <c r="L410" s="19" t="s">
        <v>35</v>
      </c>
      <c r="M410" s="21" t="s">
        <v>0</v>
      </c>
      <c r="N410" s="31">
        <v>45216</v>
      </c>
    </row>
    <row r="411" spans="1:14" ht="16" hidden="1" x14ac:dyDescent="0.2">
      <c r="A411" s="19" t="s">
        <v>1057</v>
      </c>
      <c r="B411" s="20">
        <v>45216</v>
      </c>
      <c r="C411" s="19" t="str">
        <f>T("330239040:0830377168")</f>
        <v>330239040:0830377168</v>
      </c>
      <c r="D411" s="19" t="str">
        <f>T("1-26452")</f>
        <v>1-26452</v>
      </c>
      <c r="E411" s="19" t="str">
        <f>T("530019998")</f>
        <v>530019998</v>
      </c>
      <c r="F411" s="19" t="s">
        <v>16</v>
      </c>
      <c r="G411" s="19" t="s">
        <v>2409</v>
      </c>
      <c r="H411" s="19" t="str">
        <f>T("DSD120476")</f>
        <v>DSD120476</v>
      </c>
      <c r="I411" s="19" t="s">
        <v>526</v>
      </c>
      <c r="J411" s="19" t="s">
        <v>527</v>
      </c>
      <c r="K411" s="19" t="str">
        <f>T("48014")</f>
        <v>48014</v>
      </c>
      <c r="L411" s="19" t="s">
        <v>32</v>
      </c>
      <c r="M411" s="21" t="s">
        <v>0</v>
      </c>
      <c r="N411" s="31">
        <v>45217</v>
      </c>
    </row>
    <row r="412" spans="1:14" ht="16" hidden="1" x14ac:dyDescent="0.2">
      <c r="A412" s="19" t="s">
        <v>1058</v>
      </c>
      <c r="B412" s="20">
        <v>45216</v>
      </c>
      <c r="C412" s="19" t="str">
        <f>T("330239004:0830373897")</f>
        <v>330239004:0830373897</v>
      </c>
      <c r="D412" s="19" t="str">
        <f>T("2023/187879,")</f>
        <v>2023/187879,</v>
      </c>
      <c r="E412" s="19" t="str">
        <f>T("530020061")</f>
        <v>530020061</v>
      </c>
      <c r="F412" s="19" t="s">
        <v>16</v>
      </c>
      <c r="G412" s="19" t="s">
        <v>2409</v>
      </c>
      <c r="H412" s="19" t="str">
        <f>T("DSD120502")</f>
        <v>DSD120502</v>
      </c>
      <c r="I412" s="19" t="s">
        <v>547</v>
      </c>
      <c r="J412" s="19" t="s">
        <v>548</v>
      </c>
      <c r="K412" s="19" t="str">
        <f>T("28906")</f>
        <v>28906</v>
      </c>
      <c r="L412" s="19" t="s">
        <v>32</v>
      </c>
      <c r="M412" s="21" t="s">
        <v>0</v>
      </c>
      <c r="N412" s="31">
        <v>45217</v>
      </c>
    </row>
    <row r="413" spans="1:14" ht="16" hidden="1" x14ac:dyDescent="0.2">
      <c r="A413" s="19" t="s">
        <v>1059</v>
      </c>
      <c r="B413" s="20">
        <v>45216</v>
      </c>
      <c r="C413" s="19" t="str">
        <f>T("330239479:0830377204")</f>
        <v>330239479:0830377204</v>
      </c>
      <c r="D413" s="19" t="str">
        <f>T("PR1105054-OT11133")</f>
        <v>PR1105054-OT11133</v>
      </c>
      <c r="E413" s="19" t="str">
        <f>T("530020132")</f>
        <v>530020132</v>
      </c>
      <c r="F413" s="19" t="s">
        <v>16</v>
      </c>
      <c r="G413" s="19" t="s">
        <v>2409</v>
      </c>
      <c r="H413" s="19" t="str">
        <f>T("DSD120510")</f>
        <v>DSD120510</v>
      </c>
      <c r="I413" s="19" t="s">
        <v>1060</v>
      </c>
      <c r="J413" s="19" t="s">
        <v>1061</v>
      </c>
      <c r="K413" s="19" t="str">
        <f>T("28108")</f>
        <v>28108</v>
      </c>
      <c r="L413" s="19" t="s">
        <v>32</v>
      </c>
      <c r="M413" s="21" t="s">
        <v>0</v>
      </c>
      <c r="N413" s="31">
        <v>45217</v>
      </c>
    </row>
    <row r="414" spans="1:14" ht="16" hidden="1" x14ac:dyDescent="0.2">
      <c r="A414" s="19" t="s">
        <v>1062</v>
      </c>
      <c r="B414" s="20">
        <v>45216</v>
      </c>
      <c r="C414" s="19" t="str">
        <f>T("330239486:0830377207")</f>
        <v>330239486:0830377207</v>
      </c>
      <c r="D414" s="19" t="str">
        <f>T("WC-OT1113366")</f>
        <v>WC-OT1113366</v>
      </c>
      <c r="E414" s="19" t="str">
        <f>T("530020141")</f>
        <v>530020141</v>
      </c>
      <c r="F414" s="19" t="s">
        <v>16</v>
      </c>
      <c r="G414" s="19" t="s">
        <v>2409</v>
      </c>
      <c r="H414" s="19" t="str">
        <f>T("DSD120514")</f>
        <v>DSD120514</v>
      </c>
      <c r="I414" s="19" t="s">
        <v>1063</v>
      </c>
      <c r="J414" s="19" t="s">
        <v>1064</v>
      </c>
      <c r="K414" s="19" t="str">
        <f>T("08904")</f>
        <v>08904</v>
      </c>
      <c r="L414" s="19" t="s">
        <v>32</v>
      </c>
      <c r="M414" s="21" t="s">
        <v>0</v>
      </c>
      <c r="N414" s="31">
        <v>45217</v>
      </c>
    </row>
    <row r="415" spans="1:14" ht="16" hidden="1" x14ac:dyDescent="0.2">
      <c r="A415" s="19" t="s">
        <v>1065</v>
      </c>
      <c r="B415" s="20">
        <v>45216</v>
      </c>
      <c r="C415" s="19" t="str">
        <f>T("330240843:0830378054")</f>
        <v>330240843:0830378054</v>
      </c>
      <c r="D415" s="19" t="str">
        <f>T("3262788")</f>
        <v>3262788</v>
      </c>
      <c r="E415" s="19" t="str">
        <f>T("530019986")</f>
        <v>530019986</v>
      </c>
      <c r="F415" s="19" t="s">
        <v>16</v>
      </c>
      <c r="G415" s="19" t="s">
        <v>2409</v>
      </c>
      <c r="H415" s="19" t="str">
        <f>T("DSD120528")</f>
        <v>DSD120528</v>
      </c>
      <c r="I415" s="19" t="s">
        <v>1066</v>
      </c>
      <c r="J415" s="19" t="s">
        <v>1067</v>
      </c>
      <c r="K415" s="19" t="str">
        <f>T("08025")</f>
        <v>08025</v>
      </c>
      <c r="L415" s="19" t="s">
        <v>32</v>
      </c>
      <c r="M415" s="21" t="s">
        <v>0</v>
      </c>
      <c r="N415" s="31">
        <v>45217</v>
      </c>
    </row>
    <row r="416" spans="1:14" ht="16" hidden="1" x14ac:dyDescent="0.2">
      <c r="A416" s="19" t="s">
        <v>1068</v>
      </c>
      <c r="B416" s="20">
        <v>45216</v>
      </c>
      <c r="C416" s="19" t="str">
        <f>T("330239023:0830378049")</f>
        <v>330239023:0830378049</v>
      </c>
      <c r="D416" s="19" t="str">
        <f>T("PR1105047-OT11133")</f>
        <v>PR1105047-OT11133</v>
      </c>
      <c r="E416" s="19" t="str">
        <f>T("530020100")</f>
        <v>530020100</v>
      </c>
      <c r="F416" s="19" t="s">
        <v>16</v>
      </c>
      <c r="G416" s="19" t="s">
        <v>2409</v>
      </c>
      <c r="H416" s="19" t="str">
        <f>T("DSD120536")</f>
        <v>DSD120536</v>
      </c>
      <c r="I416" s="19" t="s">
        <v>1069</v>
      </c>
      <c r="J416" s="19" t="s">
        <v>1061</v>
      </c>
      <c r="K416" s="19" t="str">
        <f>T("28108")</f>
        <v>28108</v>
      </c>
      <c r="L416" s="19" t="s">
        <v>32</v>
      </c>
      <c r="M416" s="21" t="s">
        <v>0</v>
      </c>
      <c r="N416" s="31">
        <v>45217</v>
      </c>
    </row>
    <row r="417" spans="1:15" ht="16" hidden="1" x14ac:dyDescent="0.2">
      <c r="A417" s="19" t="s">
        <v>1070</v>
      </c>
      <c r="B417" s="20">
        <v>45216</v>
      </c>
      <c r="C417" s="19" t="str">
        <f>T("330238998:0830378046")</f>
        <v>330238998:0830378046</v>
      </c>
      <c r="D417" s="19" t="str">
        <f>T("000/554256.")</f>
        <v>000/554256.</v>
      </c>
      <c r="E417" s="19" t="str">
        <f>T("530020066")</f>
        <v>530020066</v>
      </c>
      <c r="F417" s="19" t="s">
        <v>16</v>
      </c>
      <c r="G417" s="19" t="s">
        <v>2409</v>
      </c>
      <c r="H417" s="19" t="str">
        <f>T("DSD120542")</f>
        <v>DSD120542</v>
      </c>
      <c r="I417" s="19" t="s">
        <v>1071</v>
      </c>
      <c r="J417" s="19" t="s">
        <v>1072</v>
      </c>
      <c r="K417" s="19" t="str">
        <f>T("41008")</f>
        <v>41008</v>
      </c>
      <c r="L417" s="19" t="s">
        <v>32</v>
      </c>
      <c r="M417" s="21" t="s">
        <v>0</v>
      </c>
      <c r="N417" s="31">
        <v>45217</v>
      </c>
    </row>
    <row r="418" spans="1:15" ht="16" hidden="1" x14ac:dyDescent="0.2">
      <c r="A418" s="19" t="s">
        <v>1073</v>
      </c>
      <c r="B418" s="20">
        <v>45216</v>
      </c>
      <c r="C418" s="19" t="str">
        <f>T("330241351:0830378170")</f>
        <v>330241351:0830378170</v>
      </c>
      <c r="D418" s="19" t="str">
        <f>T("extra")</f>
        <v>extra</v>
      </c>
      <c r="E418" s="19" t="str">
        <f>T("530020155")</f>
        <v>530020155</v>
      </c>
      <c r="F418" s="19" t="s">
        <v>16</v>
      </c>
      <c r="G418" s="19" t="s">
        <v>2409</v>
      </c>
      <c r="H418" s="19" t="str">
        <f>T("DSD120642")</f>
        <v>DSD120642</v>
      </c>
      <c r="I418" s="19" t="s">
        <v>1074</v>
      </c>
      <c r="J418" s="19" t="s">
        <v>1075</v>
      </c>
      <c r="K418" s="19" t="str">
        <f>T("18600")</f>
        <v>18600</v>
      </c>
      <c r="L418" s="19" t="s">
        <v>32</v>
      </c>
      <c r="M418" s="21" t="s">
        <v>0</v>
      </c>
      <c r="N418" s="31">
        <v>45217</v>
      </c>
    </row>
    <row r="419" spans="1:15" ht="16" hidden="1" x14ac:dyDescent="0.2">
      <c r="A419" s="19" t="s">
        <v>1076</v>
      </c>
      <c r="B419" s="20">
        <v>45216</v>
      </c>
      <c r="C419" s="19" t="str">
        <f>T("330241349:0830378168")</f>
        <v>330241349:0830378168</v>
      </c>
      <c r="D419" s="19" t="str">
        <f>T("4828/2023")</f>
        <v>4828/2023</v>
      </c>
      <c r="E419" s="19" t="str">
        <f>T("530020153")</f>
        <v>530020153</v>
      </c>
      <c r="F419" s="19" t="s">
        <v>16</v>
      </c>
      <c r="G419" s="19" t="s">
        <v>2409</v>
      </c>
      <c r="H419" s="19" t="str">
        <f>T("DSD120780")</f>
        <v>DSD120780</v>
      </c>
      <c r="I419" s="19" t="s">
        <v>1077</v>
      </c>
      <c r="J419" s="19" t="s">
        <v>1078</v>
      </c>
      <c r="K419" s="19" t="str">
        <f>T("28021")</f>
        <v>28021</v>
      </c>
      <c r="L419" s="19" t="s">
        <v>32</v>
      </c>
      <c r="M419" s="21" t="s">
        <v>0</v>
      </c>
      <c r="N419" s="31">
        <v>45217</v>
      </c>
    </row>
    <row r="420" spans="1:15" ht="16" hidden="1" x14ac:dyDescent="0.2">
      <c r="A420" s="19" t="s">
        <v>1079</v>
      </c>
      <c r="B420" s="20">
        <v>45216</v>
      </c>
      <c r="C420" s="19" t="str">
        <f>T("330241350:0830378169")</f>
        <v>330241350:0830378169</v>
      </c>
      <c r="D420" s="19" t="str">
        <f>T("8598/23")</f>
        <v>8598/23</v>
      </c>
      <c r="E420" s="19" t="str">
        <f>T("530020154")</f>
        <v>530020154</v>
      </c>
      <c r="F420" s="19" t="s">
        <v>16</v>
      </c>
      <c r="G420" s="19" t="s">
        <v>2409</v>
      </c>
      <c r="H420" s="19" t="s">
        <v>1079</v>
      </c>
      <c r="I420" s="19" t="s">
        <v>502</v>
      </c>
      <c r="J420" s="19" t="s">
        <v>503</v>
      </c>
      <c r="K420" s="19" t="str">
        <f>T("17180")</f>
        <v>17180</v>
      </c>
      <c r="L420" s="19" t="s">
        <v>32</v>
      </c>
      <c r="M420" s="21" t="s">
        <v>0</v>
      </c>
      <c r="N420" s="31">
        <v>45217</v>
      </c>
    </row>
    <row r="421" spans="1:15" ht="16" hidden="1" x14ac:dyDescent="0.2">
      <c r="A421" s="19" t="s">
        <v>1080</v>
      </c>
      <c r="B421" s="20">
        <v>45216</v>
      </c>
      <c r="C421" s="19" t="str">
        <f>T("330239035:0830373910")</f>
        <v>330239035:0830373910</v>
      </c>
      <c r="D421" s="19" t="str">
        <f>T("PEDIDO 3101161")</f>
        <v>PEDIDO 3101161</v>
      </c>
      <c r="E421" s="19" t="str">
        <f>T("530020006")</f>
        <v>530020006</v>
      </c>
      <c r="F421" s="19" t="s">
        <v>16</v>
      </c>
      <c r="G421" s="19" t="s">
        <v>2409</v>
      </c>
      <c r="H421" s="19" t="str">
        <f>T("DSD120938")</f>
        <v>DSD120938</v>
      </c>
      <c r="I421" s="19" t="s">
        <v>67</v>
      </c>
      <c r="J421" s="19" t="s">
        <v>583</v>
      </c>
      <c r="K421" s="19" t="str">
        <f>T("48180")</f>
        <v>48180</v>
      </c>
      <c r="L421" s="19" t="s">
        <v>32</v>
      </c>
      <c r="M421" s="21" t="s">
        <v>0</v>
      </c>
      <c r="N421" s="31">
        <v>45217</v>
      </c>
    </row>
    <row r="422" spans="1:15" ht="16" hidden="1" x14ac:dyDescent="0.2">
      <c r="A422" s="19" t="s">
        <v>1081</v>
      </c>
      <c r="B422" s="20">
        <v>45216</v>
      </c>
      <c r="C422" s="19" t="str">
        <f>T("330241348:0830378795")</f>
        <v>330241348:0830378795</v>
      </c>
      <c r="D422" s="19" t="str">
        <f>T("21/3981")</f>
        <v>21/3981</v>
      </c>
      <c r="E422" s="19" t="str">
        <f>T("530020150")</f>
        <v>530020150</v>
      </c>
      <c r="F422" s="19" t="s">
        <v>16</v>
      </c>
      <c r="G422" s="19" t="s">
        <v>2409</v>
      </c>
      <c r="H422" s="19" t="str">
        <f>T("DSD121010")</f>
        <v>DSD121010</v>
      </c>
      <c r="I422" s="19" t="s">
        <v>1082</v>
      </c>
      <c r="J422" s="19" t="s">
        <v>1083</v>
      </c>
      <c r="K422" s="19" t="str">
        <f>T("28021")</f>
        <v>28021</v>
      </c>
      <c r="L422" s="19" t="s">
        <v>32</v>
      </c>
      <c r="M422" s="21" t="s">
        <v>0</v>
      </c>
      <c r="N422" s="31">
        <v>45219</v>
      </c>
      <c r="O422" s="1" t="s">
        <v>66</v>
      </c>
    </row>
    <row r="423" spans="1:15" ht="16" hidden="1" x14ac:dyDescent="0.2">
      <c r="A423" s="19" t="s">
        <v>1084</v>
      </c>
      <c r="B423" s="20">
        <v>45216</v>
      </c>
      <c r="C423" s="19" t="str">
        <f>T("330239002:0830377155")</f>
        <v>330239002:0830377155</v>
      </c>
      <c r="D423" s="19" t="str">
        <f>T("2023/199568.")</f>
        <v>2023/199568.</v>
      </c>
      <c r="E423" s="19" t="str">
        <f>T("530020063")</f>
        <v>530020063</v>
      </c>
      <c r="F423" s="19" t="s">
        <v>16</v>
      </c>
      <c r="G423" s="19" t="s">
        <v>33</v>
      </c>
      <c r="H423" s="19" t="str">
        <f>T("DSD120494")</f>
        <v>DSD120494</v>
      </c>
      <c r="I423" s="19" t="s">
        <v>547</v>
      </c>
      <c r="J423" s="19" t="s">
        <v>1085</v>
      </c>
      <c r="K423" s="19" t="str">
        <f>T("28906")</f>
        <v>28906</v>
      </c>
      <c r="L423" s="19" t="s">
        <v>32</v>
      </c>
      <c r="M423" s="21" t="s">
        <v>0</v>
      </c>
      <c r="N423" s="31">
        <v>45217</v>
      </c>
    </row>
    <row r="424" spans="1:15" ht="16" hidden="1" x14ac:dyDescent="0.2">
      <c r="A424" s="19" t="s">
        <v>1086</v>
      </c>
      <c r="B424" s="20">
        <v>45216</v>
      </c>
      <c r="C424" s="19" t="str">
        <f>T("330239006:0830377157")</f>
        <v>330239006:0830377157</v>
      </c>
      <c r="D424" s="19" t="str">
        <f>T("000/553831.")</f>
        <v>000/553831.</v>
      </c>
      <c r="E424" s="19" t="str">
        <f>T("530020053")</f>
        <v>530020053</v>
      </c>
      <c r="F424" s="19" t="s">
        <v>16</v>
      </c>
      <c r="G424" s="19" t="s">
        <v>33</v>
      </c>
      <c r="H424" s="19" t="str">
        <f>T("DSD120496")</f>
        <v>DSD120496</v>
      </c>
      <c r="I424" s="19" t="s">
        <v>1087</v>
      </c>
      <c r="J424" s="19" t="s">
        <v>1088</v>
      </c>
      <c r="K424" s="19" t="str">
        <f>T("28850")</f>
        <v>28850</v>
      </c>
      <c r="L424" s="19" t="s">
        <v>32</v>
      </c>
      <c r="M424" s="21" t="s">
        <v>0</v>
      </c>
      <c r="N424" s="31">
        <v>45217</v>
      </c>
    </row>
    <row r="425" spans="1:15" ht="16" hidden="1" x14ac:dyDescent="0.2">
      <c r="A425" s="19" t="s">
        <v>1089</v>
      </c>
      <c r="B425" s="20">
        <v>45216</v>
      </c>
      <c r="C425" s="19" t="str">
        <f>T("330239080:0830377176")</f>
        <v>330239080:0830377176</v>
      </c>
      <c r="D425" s="19" t="str">
        <f>T("E01847")</f>
        <v>E01847</v>
      </c>
      <c r="E425" s="19" t="str">
        <f>T("530020025")</f>
        <v>530020025</v>
      </c>
      <c r="F425" s="19" t="s">
        <v>16</v>
      </c>
      <c r="G425" s="19" t="s">
        <v>33</v>
      </c>
      <c r="H425" s="19" t="str">
        <f>T("DSD120598")</f>
        <v>DSD120598</v>
      </c>
      <c r="I425" s="19" t="s">
        <v>1090</v>
      </c>
      <c r="J425" s="19" t="s">
        <v>1091</v>
      </c>
      <c r="K425" s="19" t="str">
        <f>T("30565")</f>
        <v>30565</v>
      </c>
      <c r="L425" s="19" t="s">
        <v>32</v>
      </c>
      <c r="M425" s="21" t="s">
        <v>0</v>
      </c>
      <c r="N425" s="31">
        <v>45217</v>
      </c>
    </row>
    <row r="426" spans="1:15" ht="16" hidden="1" x14ac:dyDescent="0.2">
      <c r="A426" s="19" t="s">
        <v>1092</v>
      </c>
      <c r="B426" s="20">
        <v>45216</v>
      </c>
      <c r="C426" s="19" t="str">
        <f>T("330238996:0830378045")</f>
        <v>330238996:0830378045</v>
      </c>
      <c r="D426" s="19" t="str">
        <f>T("234229")</f>
        <v>234229</v>
      </c>
      <c r="E426" s="19" t="str">
        <f>T("530020068")</f>
        <v>530020068</v>
      </c>
      <c r="F426" s="19" t="s">
        <v>16</v>
      </c>
      <c r="G426" s="19" t="s">
        <v>33</v>
      </c>
      <c r="H426" s="19" t="str">
        <f>T("DSD120648")</f>
        <v>DSD120648</v>
      </c>
      <c r="I426" s="19" t="s">
        <v>1093</v>
      </c>
      <c r="J426" s="19" t="s">
        <v>1094</v>
      </c>
      <c r="K426" s="19" t="str">
        <f>T("15650")</f>
        <v>15650</v>
      </c>
      <c r="L426" s="19" t="s">
        <v>32</v>
      </c>
      <c r="M426" s="21" t="s">
        <v>0</v>
      </c>
      <c r="N426" s="31">
        <v>45217</v>
      </c>
    </row>
    <row r="427" spans="1:15" ht="16" hidden="1" x14ac:dyDescent="0.2">
      <c r="A427" s="19" t="s">
        <v>1095</v>
      </c>
      <c r="B427" s="20">
        <v>45216</v>
      </c>
      <c r="C427" s="19" t="str">
        <f>T("330239569:0830377228")</f>
        <v>330239569:0830377228</v>
      </c>
      <c r="D427" s="19" t="str">
        <f>T("40063")</f>
        <v>40063</v>
      </c>
      <c r="E427" s="19" t="str">
        <f>T("540012339")</f>
        <v>540012339</v>
      </c>
      <c r="F427" s="19" t="s">
        <v>16</v>
      </c>
      <c r="G427" s="19" t="s">
        <v>14</v>
      </c>
      <c r="H427" s="19" t="str">
        <f>T("607248884")</f>
        <v>607248884</v>
      </c>
      <c r="I427" s="19" t="s">
        <v>1096</v>
      </c>
      <c r="J427" s="19" t="s">
        <v>1097</v>
      </c>
      <c r="K427" s="19" t="str">
        <f>T("745 37")</f>
        <v>745 37</v>
      </c>
      <c r="L427" s="19" t="s">
        <v>687</v>
      </c>
      <c r="M427" s="21" t="s">
        <v>0</v>
      </c>
      <c r="N427" s="24">
        <v>45219</v>
      </c>
    </row>
    <row r="428" spans="1:15" ht="16" hidden="1" x14ac:dyDescent="0.2">
      <c r="A428" s="19" t="s">
        <v>1098</v>
      </c>
      <c r="B428" s="20">
        <v>45216</v>
      </c>
      <c r="C428" s="19" t="str">
        <f>T("330239604:0830377233")</f>
        <v>330239604:0830377233</v>
      </c>
      <c r="D428" s="19" t="str">
        <f>T("Solymar")</f>
        <v>Solymar</v>
      </c>
      <c r="E428" s="19" t="str">
        <f>T("560021708")</f>
        <v>560021708</v>
      </c>
      <c r="F428" s="19" t="s">
        <v>17</v>
      </c>
      <c r="G428" s="19" t="s">
        <v>14</v>
      </c>
      <c r="H428" s="19" t="str">
        <f>T("607249006")</f>
        <v>607249006</v>
      </c>
      <c r="I428" s="19" t="s">
        <v>42</v>
      </c>
      <c r="J428" s="19" t="s">
        <v>653</v>
      </c>
      <c r="K428" s="19" t="str">
        <f>T("1131")</f>
        <v>1131</v>
      </c>
      <c r="L428" s="19" t="s">
        <v>43</v>
      </c>
      <c r="M428" s="21" t="s">
        <v>0</v>
      </c>
      <c r="N428" s="31">
        <v>45217</v>
      </c>
    </row>
    <row r="429" spans="1:15" ht="16" hidden="1" x14ac:dyDescent="0.2">
      <c r="A429" s="19" t="s">
        <v>1099</v>
      </c>
      <c r="B429" s="20">
        <v>45216</v>
      </c>
      <c r="C429" s="19" t="str">
        <f>T("330239561:0830377222")</f>
        <v>330239561:0830377222</v>
      </c>
      <c r="D429" s="19" t="str">
        <f>T("40621")</f>
        <v>40621</v>
      </c>
      <c r="E429" s="19" t="str">
        <f>T("540012354")</f>
        <v>540012354</v>
      </c>
      <c r="F429" s="19" t="s">
        <v>16</v>
      </c>
      <c r="G429" s="19" t="s">
        <v>14</v>
      </c>
      <c r="H429" s="19" t="str">
        <f>T("607248907")</f>
        <v>607248907</v>
      </c>
      <c r="I429" s="19" t="s">
        <v>37</v>
      </c>
      <c r="J429" s="19" t="s">
        <v>1100</v>
      </c>
      <c r="K429" s="19" t="str">
        <f>T("1230")</f>
        <v>1230</v>
      </c>
      <c r="L429" s="19" t="s">
        <v>38</v>
      </c>
      <c r="M429" s="21" t="s">
        <v>0</v>
      </c>
      <c r="N429" s="31">
        <v>45219</v>
      </c>
    </row>
    <row r="430" spans="1:15" ht="16" hidden="1" x14ac:dyDescent="0.2">
      <c r="A430" s="19" t="s">
        <v>1101</v>
      </c>
      <c r="B430" s="20">
        <v>45216</v>
      </c>
      <c r="C430" s="19" t="str">
        <f>T("330239653:0830374250")</f>
        <v>330239653:0830374250</v>
      </c>
      <c r="D430" s="19" t="str">
        <f>T("230804167")</f>
        <v>230804167</v>
      </c>
      <c r="E430" s="19" t="str">
        <f>T("510146326")</f>
        <v>510146326</v>
      </c>
      <c r="F430" s="19" t="s">
        <v>17</v>
      </c>
      <c r="G430" s="19" t="s">
        <v>14</v>
      </c>
      <c r="H430" s="19" t="str">
        <f>T("607248915")</f>
        <v>607248915</v>
      </c>
      <c r="I430" s="19" t="s">
        <v>700</v>
      </c>
      <c r="J430" s="19" t="s">
        <v>701</v>
      </c>
      <c r="K430" s="19" t="str">
        <f>T("31140")</f>
        <v>31140</v>
      </c>
      <c r="L430" s="19" t="s">
        <v>19</v>
      </c>
      <c r="M430" s="21" t="s">
        <v>0</v>
      </c>
      <c r="N430" s="31">
        <v>45217</v>
      </c>
    </row>
    <row r="431" spans="1:15" ht="16" hidden="1" x14ac:dyDescent="0.2">
      <c r="A431" s="19" t="s">
        <v>1102</v>
      </c>
      <c r="B431" s="20">
        <v>45216</v>
      </c>
      <c r="C431" s="19" t="str">
        <f>T("330239619:0830377192")</f>
        <v>330239619:0830377192</v>
      </c>
      <c r="D431" s="19" t="str">
        <f>T("WC-BERTON")</f>
        <v>WC-BERTON</v>
      </c>
      <c r="E431" s="19" t="str">
        <f>T("510146550")</f>
        <v>510146550</v>
      </c>
      <c r="F431" s="19" t="s">
        <v>16</v>
      </c>
      <c r="G431" s="19" t="s">
        <v>14</v>
      </c>
      <c r="H431" s="19" t="str">
        <f>T("607248924")</f>
        <v>607248924</v>
      </c>
      <c r="I431" s="19" t="s">
        <v>1103</v>
      </c>
      <c r="J431" s="19" t="s">
        <v>1104</v>
      </c>
      <c r="K431" s="19" t="str">
        <f>T("37210")</f>
        <v>37210</v>
      </c>
      <c r="L431" s="19" t="s">
        <v>19</v>
      </c>
      <c r="M431" s="21" t="s">
        <v>0</v>
      </c>
      <c r="N431" s="31">
        <v>45219</v>
      </c>
    </row>
    <row r="432" spans="1:15" ht="16" hidden="1" x14ac:dyDescent="0.2">
      <c r="A432" s="19" t="s">
        <v>1105</v>
      </c>
      <c r="B432" s="20">
        <v>45216</v>
      </c>
      <c r="C432" s="19" t="str">
        <f>T("330238790:0830377145")</f>
        <v>330238790:0830377145</v>
      </c>
      <c r="D432" s="19" t="str">
        <f>T("CLEMENT")</f>
        <v>CLEMENT</v>
      </c>
      <c r="E432" s="19" t="str">
        <f>T("510145976")</f>
        <v>510145976</v>
      </c>
      <c r="F432" s="19" t="s">
        <v>16</v>
      </c>
      <c r="G432" s="19" t="s">
        <v>14</v>
      </c>
      <c r="H432" s="19" t="str">
        <f>T("607248938")</f>
        <v>607248938</v>
      </c>
      <c r="I432" s="19" t="s">
        <v>1106</v>
      </c>
      <c r="J432" s="19" t="s">
        <v>1107</v>
      </c>
      <c r="K432" s="19" t="str">
        <f>T("51240")</f>
        <v>51240</v>
      </c>
      <c r="L432" s="19" t="s">
        <v>19</v>
      </c>
      <c r="M432" s="21" t="s">
        <v>0</v>
      </c>
      <c r="N432" s="31">
        <v>45218</v>
      </c>
    </row>
    <row r="433" spans="1:15" ht="16" hidden="1" x14ac:dyDescent="0.2">
      <c r="A433" s="19" t="s">
        <v>1108</v>
      </c>
      <c r="B433" s="20">
        <v>45216</v>
      </c>
      <c r="C433" s="19" t="str">
        <f>T("330238770:0830377143")</f>
        <v>330238770:0830377143</v>
      </c>
      <c r="D433" s="19" t="str">
        <f>T("CDE6709-TT-EVAP")</f>
        <v>CDE6709-TT-EVAP</v>
      </c>
      <c r="E433" s="19" t="str">
        <f>T("510146016")</f>
        <v>510146016</v>
      </c>
      <c r="F433" s="19" t="s">
        <v>16</v>
      </c>
      <c r="G433" s="19" t="s">
        <v>14</v>
      </c>
      <c r="H433" s="19" t="str">
        <f>T("607248941")</f>
        <v>607248941</v>
      </c>
      <c r="I433" s="19" t="s">
        <v>1109</v>
      </c>
      <c r="J433" s="19" t="s">
        <v>1110</v>
      </c>
      <c r="K433" s="19" t="str">
        <f>T("43000")</f>
        <v>43000</v>
      </c>
      <c r="L433" s="19" t="s">
        <v>19</v>
      </c>
      <c r="M433" s="21" t="s">
        <v>0</v>
      </c>
      <c r="N433" s="31">
        <v>45219</v>
      </c>
      <c r="O433" s="1" t="s">
        <v>66</v>
      </c>
    </row>
    <row r="434" spans="1:15" ht="16" hidden="1" x14ac:dyDescent="0.2">
      <c r="A434" s="19" t="s">
        <v>1111</v>
      </c>
      <c r="B434" s="20">
        <v>45216</v>
      </c>
      <c r="C434" s="19" t="str">
        <f>T("330239494:0830377209")</f>
        <v>330239494:0830377209</v>
      </c>
      <c r="D434" s="19" t="str">
        <f>T("WC GARANZIA OLIMP")</f>
        <v>WC GARANZIA OLIMP</v>
      </c>
      <c r="E434" s="19" t="str">
        <f>T("560021912")</f>
        <v>560021912</v>
      </c>
      <c r="F434" s="19" t="s">
        <v>16</v>
      </c>
      <c r="G434" s="19" t="s">
        <v>14</v>
      </c>
      <c r="H434" s="19" t="str">
        <f>T("607248955")</f>
        <v>607248955</v>
      </c>
      <c r="I434" s="19" t="s">
        <v>1112</v>
      </c>
      <c r="J434" s="19" t="s">
        <v>1112</v>
      </c>
      <c r="K434" s="19" t="str">
        <f>T("37132")</f>
        <v>37132</v>
      </c>
      <c r="L434" s="19" t="s">
        <v>18</v>
      </c>
      <c r="M434" s="21" t="s">
        <v>0</v>
      </c>
      <c r="N434" s="31">
        <v>45219</v>
      </c>
    </row>
    <row r="435" spans="1:15" ht="16" hidden="1" x14ac:dyDescent="0.2">
      <c r="A435" s="19" t="s">
        <v>1113</v>
      </c>
      <c r="B435" s="20">
        <v>45216</v>
      </c>
      <c r="C435" s="19" t="str">
        <f>T("330239655:0830377150")</f>
        <v>330239655:0830377150</v>
      </c>
      <c r="D435" s="19" t="str">
        <f>T("230904272 AUDITHE")</f>
        <v>230904272 AUDITHE</v>
      </c>
      <c r="E435" s="19" t="str">
        <f>T("510146083")</f>
        <v>510146083</v>
      </c>
      <c r="F435" s="19" t="s">
        <v>17</v>
      </c>
      <c r="G435" s="19" t="s">
        <v>14</v>
      </c>
      <c r="H435" s="19" t="str">
        <f>T("607248969")</f>
        <v>607248969</v>
      </c>
      <c r="I435" s="19" t="s">
        <v>1114</v>
      </c>
      <c r="J435" s="19" t="s">
        <v>1115</v>
      </c>
      <c r="K435" s="19" t="str">
        <f>T("59260")</f>
        <v>59260</v>
      </c>
      <c r="L435" s="19" t="s">
        <v>19</v>
      </c>
      <c r="M435" s="21" t="s">
        <v>0</v>
      </c>
      <c r="N435" s="31">
        <v>45217</v>
      </c>
    </row>
    <row r="436" spans="1:15" ht="16" hidden="1" x14ac:dyDescent="0.2">
      <c r="A436" s="19" t="s">
        <v>1116</v>
      </c>
      <c r="B436" s="20">
        <v>45216</v>
      </c>
      <c r="C436" s="19" t="str">
        <f>T("330238598:0830377127")</f>
        <v>330238598:0830377127</v>
      </c>
      <c r="D436" s="19" t="str">
        <f>T("00100095-8018")</f>
        <v>00100095-8018</v>
      </c>
      <c r="E436" s="19" t="str">
        <f>T("510145949")</f>
        <v>510145949</v>
      </c>
      <c r="F436" s="19" t="s">
        <v>16</v>
      </c>
      <c r="G436" s="19" t="s">
        <v>14</v>
      </c>
      <c r="H436" s="19" t="str">
        <f>T("607248972")</f>
        <v>607248972</v>
      </c>
      <c r="I436" s="19" t="s">
        <v>1117</v>
      </c>
      <c r="J436" s="19" t="s">
        <v>1118</v>
      </c>
      <c r="K436" s="19" t="str">
        <f>T("62223")</f>
        <v>62223</v>
      </c>
      <c r="L436" s="19" t="s">
        <v>19</v>
      </c>
      <c r="M436" s="21" t="s">
        <v>0</v>
      </c>
      <c r="N436" s="31">
        <v>45218</v>
      </c>
    </row>
    <row r="437" spans="1:15" ht="16" hidden="1" x14ac:dyDescent="0.2">
      <c r="A437" s="19" t="s">
        <v>1119</v>
      </c>
      <c r="B437" s="20">
        <v>45216</v>
      </c>
      <c r="C437" s="19" t="str">
        <f>T("330238732:0830377140")</f>
        <v>330238732:0830377140</v>
      </c>
      <c r="D437" s="19" t="str">
        <f>T("00100161-11284 39")</f>
        <v>00100161-11284 39</v>
      </c>
      <c r="E437" s="19" t="str">
        <f>T("510146166")</f>
        <v>510146166</v>
      </c>
      <c r="F437" s="19" t="s">
        <v>16</v>
      </c>
      <c r="G437" s="19" t="s">
        <v>14</v>
      </c>
      <c r="H437" s="19" t="str">
        <f>T("607248986")</f>
        <v>607248986</v>
      </c>
      <c r="I437" s="19" t="s">
        <v>76</v>
      </c>
      <c r="J437" s="19" t="s">
        <v>1120</v>
      </c>
      <c r="K437" s="19" t="str">
        <f>T("18000")</f>
        <v>18000</v>
      </c>
      <c r="L437" s="19" t="s">
        <v>19</v>
      </c>
      <c r="M437" s="21" t="s">
        <v>0</v>
      </c>
      <c r="N437" s="31">
        <v>45219</v>
      </c>
    </row>
    <row r="438" spans="1:15" ht="16" hidden="1" x14ac:dyDescent="0.2">
      <c r="A438" s="19" t="s">
        <v>1121</v>
      </c>
      <c r="B438" s="20">
        <v>45216</v>
      </c>
      <c r="C438" s="19" t="str">
        <f>T("330239625:0830377198")</f>
        <v>330239625:0830377198</v>
      </c>
      <c r="D438" s="19" t="str">
        <f>T("WC HERVIEUX")</f>
        <v>WC HERVIEUX</v>
      </c>
      <c r="E438" s="19" t="str">
        <f>T("510146689")</f>
        <v>510146689</v>
      </c>
      <c r="F438" s="19" t="s">
        <v>17</v>
      </c>
      <c r="G438" s="19" t="s">
        <v>14</v>
      </c>
      <c r="H438" s="19" t="str">
        <f>T("607248990")</f>
        <v>607248990</v>
      </c>
      <c r="I438" s="19" t="s">
        <v>34</v>
      </c>
      <c r="J438" s="19" t="s">
        <v>716</v>
      </c>
      <c r="K438" s="19" t="str">
        <f>T("63100")</f>
        <v>63100</v>
      </c>
      <c r="L438" s="19" t="s">
        <v>19</v>
      </c>
      <c r="M438" s="21" t="s">
        <v>0</v>
      </c>
      <c r="N438" s="31">
        <v>45218</v>
      </c>
    </row>
    <row r="439" spans="1:15" ht="16" hidden="1" x14ac:dyDescent="0.2">
      <c r="A439" s="19" t="s">
        <v>1122</v>
      </c>
      <c r="B439" s="20">
        <v>45216</v>
      </c>
      <c r="C439" s="19" t="str">
        <f>T("330237149:0830377557")</f>
        <v>330237149:0830377557</v>
      </c>
      <c r="D439" s="19" t="str">
        <f>T("WC246476 V0004-AC")</f>
        <v>WC246476 V0004-AC</v>
      </c>
      <c r="E439" s="19" t="str">
        <f>T("510146338")</f>
        <v>510146338</v>
      </c>
      <c r="F439" s="19" t="s">
        <v>17</v>
      </c>
      <c r="G439" s="19" t="s">
        <v>14</v>
      </c>
      <c r="H439" s="19" t="str">
        <f>T("607249023")</f>
        <v>607249023</v>
      </c>
      <c r="I439" s="19" t="s">
        <v>26</v>
      </c>
      <c r="J439" s="19" t="s">
        <v>27</v>
      </c>
      <c r="K439" s="19" t="str">
        <f>T("64000")</f>
        <v>64000</v>
      </c>
      <c r="L439" s="19" t="s">
        <v>19</v>
      </c>
      <c r="M439" s="21" t="s">
        <v>0</v>
      </c>
      <c r="N439" s="31">
        <v>45217</v>
      </c>
    </row>
    <row r="440" spans="1:15" ht="16" hidden="1" x14ac:dyDescent="0.2">
      <c r="A440" s="19" t="s">
        <v>1123</v>
      </c>
      <c r="B440" s="20">
        <v>45216</v>
      </c>
      <c r="C440" s="19" t="str">
        <f>T("330239523:0830377217")</f>
        <v>330239523:0830377217</v>
      </c>
      <c r="D440" s="19" t="str">
        <f>T("23000368")</f>
        <v>23000368</v>
      </c>
      <c r="E440" s="19" t="str">
        <f>T("540012314")</f>
        <v>540012314</v>
      </c>
      <c r="F440" s="19" t="s">
        <v>16</v>
      </c>
      <c r="G440" s="19" t="s">
        <v>14</v>
      </c>
      <c r="H440" s="19" t="str">
        <f>T("607249037")</f>
        <v>607249037</v>
      </c>
      <c r="I440" s="19" t="s">
        <v>613</v>
      </c>
      <c r="J440" s="19" t="s">
        <v>49</v>
      </c>
      <c r="K440" s="19" t="str">
        <f>T("3316 KC")</f>
        <v>3316 KC</v>
      </c>
      <c r="L440" s="19" t="s">
        <v>31</v>
      </c>
      <c r="M440" s="21" t="s">
        <v>0</v>
      </c>
      <c r="N440" s="31">
        <v>45218</v>
      </c>
    </row>
    <row r="441" spans="1:15" ht="16" hidden="1" x14ac:dyDescent="0.2">
      <c r="A441" s="19" t="s">
        <v>1124</v>
      </c>
      <c r="B441" s="20">
        <v>45216</v>
      </c>
      <c r="C441" s="19" t="str">
        <f>T("330238722:0830378038")</f>
        <v>330238722:0830378038</v>
      </c>
      <c r="D441" s="19" t="str">
        <f>T("161710")</f>
        <v>161710</v>
      </c>
      <c r="E441" s="19" t="str">
        <f>T("510146578")</f>
        <v>510146578</v>
      </c>
      <c r="F441" s="19" t="s">
        <v>17</v>
      </c>
      <c r="G441" s="19" t="s">
        <v>14</v>
      </c>
      <c r="H441" s="19" t="str">
        <f>T("607249045")</f>
        <v>607249045</v>
      </c>
      <c r="I441" s="19" t="s">
        <v>1125</v>
      </c>
      <c r="J441" s="19" t="s">
        <v>1126</v>
      </c>
      <c r="K441" s="19" t="str">
        <f>T("82000")</f>
        <v>82000</v>
      </c>
      <c r="L441" s="19" t="s">
        <v>19</v>
      </c>
      <c r="M441" s="21" t="s">
        <v>0</v>
      </c>
      <c r="N441" s="31">
        <v>45218</v>
      </c>
    </row>
    <row r="442" spans="1:15" ht="16" hidden="1" x14ac:dyDescent="0.2">
      <c r="A442" s="19" t="s">
        <v>1127</v>
      </c>
      <c r="B442" s="20">
        <v>45216</v>
      </c>
      <c r="C442" s="19" t="str">
        <f>T("330238718:0830377137")</f>
        <v>330238718:0830377137</v>
      </c>
      <c r="D442" s="19" t="str">
        <f>T("WC LAMASTRE")</f>
        <v>WC LAMASTRE</v>
      </c>
      <c r="E442" s="19" t="str">
        <f>T("510146486")</f>
        <v>510146486</v>
      </c>
      <c r="F442" s="19" t="s">
        <v>17</v>
      </c>
      <c r="G442" s="19" t="s">
        <v>14</v>
      </c>
      <c r="H442" s="19" t="str">
        <f>T("607249054")</f>
        <v>607249054</v>
      </c>
      <c r="I442" s="19" t="s">
        <v>22</v>
      </c>
      <c r="J442" s="19" t="s">
        <v>639</v>
      </c>
      <c r="K442" s="19" t="str">
        <f>T("26000")</f>
        <v>26000</v>
      </c>
      <c r="L442" s="19" t="s">
        <v>19</v>
      </c>
      <c r="M442" s="21" t="s">
        <v>0</v>
      </c>
      <c r="N442" s="31">
        <v>45217</v>
      </c>
    </row>
    <row r="443" spans="1:15" ht="16" hidden="1" x14ac:dyDescent="0.2">
      <c r="A443" s="19" t="s">
        <v>1128</v>
      </c>
      <c r="B443" s="20">
        <v>45216</v>
      </c>
      <c r="C443" s="19" t="str">
        <f>T("330239499:0830374154")</f>
        <v>330239499:0830374154</v>
      </c>
      <c r="D443" s="19" t="str">
        <f>T("Climant")</f>
        <v>Climant</v>
      </c>
      <c r="E443" s="19" t="str">
        <f>T("560021718")</f>
        <v>560021718</v>
      </c>
      <c r="F443" s="19" t="s">
        <v>16</v>
      </c>
      <c r="G443" s="19" t="s">
        <v>14</v>
      </c>
      <c r="H443" s="19" t="str">
        <f>T("607249068")</f>
        <v>607249068</v>
      </c>
      <c r="I443" s="19" t="s">
        <v>942</v>
      </c>
      <c r="J443" s="19" t="s">
        <v>943</v>
      </c>
      <c r="K443" s="19" t="str">
        <f>T("39012")</f>
        <v>39012</v>
      </c>
      <c r="L443" s="19" t="s">
        <v>18</v>
      </c>
      <c r="M443" s="21" t="s">
        <v>0</v>
      </c>
      <c r="N443" s="31">
        <v>45222</v>
      </c>
    </row>
    <row r="444" spans="1:15" ht="16" hidden="1" x14ac:dyDescent="0.2">
      <c r="A444" s="19" t="s">
        <v>1129</v>
      </c>
      <c r="B444" s="20">
        <v>45216</v>
      </c>
      <c r="C444" s="19" t="str">
        <f>T("330239651:0830378040")</f>
        <v>330239651:0830378040</v>
      </c>
      <c r="D444" s="19" t="str">
        <f>T("WC GHEZZI")</f>
        <v>WC GHEZZI</v>
      </c>
      <c r="E444" s="19" t="str">
        <f>T("510146500")</f>
        <v>510146500</v>
      </c>
      <c r="F444" s="19" t="s">
        <v>17</v>
      </c>
      <c r="G444" s="19" t="s">
        <v>14</v>
      </c>
      <c r="H444" s="19" t="str">
        <f>T("607249071")</f>
        <v>607249071</v>
      </c>
      <c r="I444" s="19" t="s">
        <v>833</v>
      </c>
      <c r="J444" s="19" t="s">
        <v>834</v>
      </c>
      <c r="K444" s="19" t="str">
        <f>T("57970")</f>
        <v>57970</v>
      </c>
      <c r="L444" s="19" t="s">
        <v>19</v>
      </c>
      <c r="M444" s="21" t="s">
        <v>0</v>
      </c>
      <c r="N444" s="31">
        <v>45217</v>
      </c>
    </row>
    <row r="445" spans="1:15" ht="16" hidden="1" x14ac:dyDescent="0.2">
      <c r="A445" s="19" t="s">
        <v>1130</v>
      </c>
      <c r="B445" s="20">
        <v>45216</v>
      </c>
      <c r="C445" s="19" t="str">
        <f>T("330239549:0830378039")</f>
        <v>330239549:0830378039</v>
      </c>
      <c r="D445" s="19" t="str">
        <f>T("161562")</f>
        <v>161562</v>
      </c>
      <c r="E445" s="19" t="str">
        <f>T("510146444")</f>
        <v>510146444</v>
      </c>
      <c r="F445" s="19" t="s">
        <v>17</v>
      </c>
      <c r="G445" s="19" t="s">
        <v>14</v>
      </c>
      <c r="H445" s="19" t="str">
        <f>T("607249085")</f>
        <v>607249085</v>
      </c>
      <c r="I445" s="19" t="s">
        <v>670</v>
      </c>
      <c r="J445" s="19" t="s">
        <v>689</v>
      </c>
      <c r="K445" s="19" t="str">
        <f>T("20600")</f>
        <v>20600</v>
      </c>
      <c r="L445" s="19" t="s">
        <v>19</v>
      </c>
      <c r="M445" s="21" t="s">
        <v>0</v>
      </c>
      <c r="N445" s="31">
        <v>45218</v>
      </c>
    </row>
    <row r="446" spans="1:15" ht="16" hidden="1" x14ac:dyDescent="0.2">
      <c r="A446" s="19" t="s">
        <v>1131</v>
      </c>
      <c r="B446" s="20">
        <v>45216</v>
      </c>
      <c r="C446" s="19" t="str">
        <f>T("330241302:0830378084")</f>
        <v>330241302:0830378084</v>
      </c>
      <c r="D446" s="19" t="str">
        <f>T("GUIGNER")</f>
        <v>GUIGNER</v>
      </c>
      <c r="E446" s="19" t="str">
        <f>T("510146118")</f>
        <v>510146118</v>
      </c>
      <c r="F446" s="19" t="s">
        <v>17</v>
      </c>
      <c r="G446" s="19" t="s">
        <v>14</v>
      </c>
      <c r="H446" s="19" t="str">
        <f>T("607249099")</f>
        <v>607249099</v>
      </c>
      <c r="I446" s="19" t="s">
        <v>1132</v>
      </c>
      <c r="J446" s="19" t="s">
        <v>1133</v>
      </c>
      <c r="K446" s="19" t="str">
        <f>T("29160")</f>
        <v>29160</v>
      </c>
      <c r="L446" s="19" t="s">
        <v>19</v>
      </c>
      <c r="M446" s="21" t="s">
        <v>0</v>
      </c>
      <c r="N446" s="31">
        <v>45217</v>
      </c>
    </row>
    <row r="447" spans="1:15" ht="16" hidden="1" x14ac:dyDescent="0.2">
      <c r="A447" s="19" t="s">
        <v>1134</v>
      </c>
      <c r="B447" s="20">
        <v>45216</v>
      </c>
      <c r="C447" s="19" t="str">
        <f>T("330241299:0830378082")</f>
        <v>330241299:0830378082</v>
      </c>
      <c r="D447" s="19" t="str">
        <f>T("SOL2309FBC008633-")</f>
        <v>SOL2309FBC008633-</v>
      </c>
      <c r="E447" s="19" t="str">
        <f>T("510146063")</f>
        <v>510146063</v>
      </c>
      <c r="F447" s="19" t="s">
        <v>17</v>
      </c>
      <c r="G447" s="19" t="s">
        <v>14</v>
      </c>
      <c r="H447" s="19" t="str">
        <f>T("607249108")</f>
        <v>607249108</v>
      </c>
      <c r="I447" s="19" t="s">
        <v>1135</v>
      </c>
      <c r="J447" s="19" t="s">
        <v>1136</v>
      </c>
      <c r="K447" s="19" t="str">
        <f>T("31100")</f>
        <v>31100</v>
      </c>
      <c r="L447" s="19" t="s">
        <v>19</v>
      </c>
      <c r="M447" s="21" t="s">
        <v>0</v>
      </c>
      <c r="N447" s="31">
        <v>45217</v>
      </c>
    </row>
    <row r="448" spans="1:15" ht="16" hidden="1" x14ac:dyDescent="0.2">
      <c r="A448" s="19" t="s">
        <v>1137</v>
      </c>
      <c r="B448" s="20">
        <v>45216</v>
      </c>
      <c r="C448" s="19" t="str">
        <f>T("330241295:0830378080")</f>
        <v>330241295:0830378080</v>
      </c>
      <c r="D448" s="19" t="str">
        <f>T("SOL2309FBC008620-")</f>
        <v>SOL2309FBC008620-</v>
      </c>
      <c r="E448" s="19" t="str">
        <f>T("510146055")</f>
        <v>510146055</v>
      </c>
      <c r="F448" s="19" t="s">
        <v>17</v>
      </c>
      <c r="G448" s="19" t="s">
        <v>14</v>
      </c>
      <c r="H448" s="19" t="str">
        <f>T("607249111")</f>
        <v>607249111</v>
      </c>
      <c r="I448" s="19" t="s">
        <v>1138</v>
      </c>
      <c r="J448" s="19" t="s">
        <v>1139</v>
      </c>
      <c r="K448" s="19" t="str">
        <f>T("82000")</f>
        <v>82000</v>
      </c>
      <c r="L448" s="19" t="s">
        <v>19</v>
      </c>
      <c r="M448" s="21" t="s">
        <v>0</v>
      </c>
      <c r="N448" s="31">
        <v>45218</v>
      </c>
    </row>
    <row r="449" spans="1:14" ht="16" hidden="1" x14ac:dyDescent="0.2">
      <c r="A449" s="19" t="s">
        <v>1140</v>
      </c>
      <c r="B449" s="20">
        <v>45216</v>
      </c>
      <c r="C449" s="19" t="str">
        <f>T("330241320:0830378094")</f>
        <v>330241320:0830378094</v>
      </c>
      <c r="D449" s="19" t="str">
        <f>T("SOL2309FBC008657-")</f>
        <v>SOL2309FBC008657-</v>
      </c>
      <c r="E449" s="19" t="str">
        <f>T("510146091")</f>
        <v>510146091</v>
      </c>
      <c r="F449" s="19" t="s">
        <v>17</v>
      </c>
      <c r="G449" s="19" t="s">
        <v>14</v>
      </c>
      <c r="H449" s="19" t="str">
        <f>T("607249125")</f>
        <v>607249125</v>
      </c>
      <c r="I449" s="19" t="s">
        <v>1141</v>
      </c>
      <c r="J449" s="19" t="s">
        <v>1142</v>
      </c>
      <c r="K449" s="19" t="str">
        <f>T("31100")</f>
        <v>31100</v>
      </c>
      <c r="L449" s="19" t="s">
        <v>19</v>
      </c>
      <c r="M449" s="21" t="s">
        <v>0</v>
      </c>
      <c r="N449" s="31">
        <v>45217</v>
      </c>
    </row>
    <row r="450" spans="1:14" ht="16" hidden="1" x14ac:dyDescent="0.2">
      <c r="A450" s="19" t="s">
        <v>1143</v>
      </c>
      <c r="B450" s="20">
        <v>45216</v>
      </c>
      <c r="C450" s="19" t="str">
        <f>T("330241317:0830378092")</f>
        <v>330241317:0830378092</v>
      </c>
      <c r="D450" s="19" t="str">
        <f>T("SOL2309FBC007947-")</f>
        <v>SOL2309FBC007947-</v>
      </c>
      <c r="E450" s="19" t="str">
        <f>T("510146087")</f>
        <v>510146087</v>
      </c>
      <c r="F450" s="19" t="s">
        <v>17</v>
      </c>
      <c r="G450" s="19" t="s">
        <v>14</v>
      </c>
      <c r="H450" s="19" t="str">
        <f>T("607249139")</f>
        <v>607249139</v>
      </c>
      <c r="I450" s="19" t="s">
        <v>1144</v>
      </c>
      <c r="J450" s="19" t="s">
        <v>1145</v>
      </c>
      <c r="K450" s="19" t="str">
        <f>T("34500")</f>
        <v>34500</v>
      </c>
      <c r="L450" s="19" t="s">
        <v>19</v>
      </c>
      <c r="M450" s="21" t="s">
        <v>0</v>
      </c>
      <c r="N450" s="31">
        <v>45217</v>
      </c>
    </row>
    <row r="451" spans="1:14" ht="16" hidden="1" x14ac:dyDescent="0.2">
      <c r="A451" s="19" t="s">
        <v>1146</v>
      </c>
      <c r="B451" s="20">
        <v>45216</v>
      </c>
      <c r="C451" s="19" t="str">
        <f>T("330241327:0830378098")</f>
        <v>330241327:0830378098</v>
      </c>
      <c r="D451" s="19" t="str">
        <f>T("BC15821-AR38490")</f>
        <v>BC15821-AR38490</v>
      </c>
      <c r="E451" s="19" t="str">
        <f>T("510146288")</f>
        <v>510146288</v>
      </c>
      <c r="F451" s="19" t="s">
        <v>17</v>
      </c>
      <c r="G451" s="19" t="s">
        <v>14</v>
      </c>
      <c r="H451" s="19" t="str">
        <f>T("607249142")</f>
        <v>607249142</v>
      </c>
      <c r="I451" s="19" t="s">
        <v>76</v>
      </c>
      <c r="J451" s="19" t="s">
        <v>1147</v>
      </c>
      <c r="K451" s="19" t="str">
        <f>T("49100")</f>
        <v>49100</v>
      </c>
      <c r="L451" s="19" t="s">
        <v>19</v>
      </c>
      <c r="M451" s="21" t="s">
        <v>0</v>
      </c>
      <c r="N451" s="31">
        <v>45217</v>
      </c>
    </row>
    <row r="452" spans="1:14" ht="16" hidden="1" x14ac:dyDescent="0.2">
      <c r="A452" s="19" t="s">
        <v>1148</v>
      </c>
      <c r="B452" s="20">
        <v>45216</v>
      </c>
      <c r="C452" s="19" t="str">
        <f>T("330241316:0830378091")</f>
        <v>330241316:0830378091</v>
      </c>
      <c r="D452" s="19" t="str">
        <f>T("C2309240 HYD 44BC")</f>
        <v>C2309240 HYD 44BC</v>
      </c>
      <c r="E452" s="19" t="str">
        <f>T("510146070")</f>
        <v>510146070</v>
      </c>
      <c r="F452" s="19" t="s">
        <v>17</v>
      </c>
      <c r="G452" s="19" t="s">
        <v>14</v>
      </c>
      <c r="H452" s="19" t="str">
        <f>T("607249156")</f>
        <v>607249156</v>
      </c>
      <c r="I452" s="19" t="s">
        <v>1149</v>
      </c>
      <c r="J452" s="19" t="s">
        <v>1150</v>
      </c>
      <c r="K452" s="19" t="str">
        <f>T("35400")</f>
        <v>35400</v>
      </c>
      <c r="L452" s="19" t="s">
        <v>19</v>
      </c>
      <c r="M452" s="21" t="s">
        <v>0</v>
      </c>
      <c r="N452" s="31">
        <v>45217</v>
      </c>
    </row>
    <row r="453" spans="1:14" ht="16" hidden="1" x14ac:dyDescent="0.2">
      <c r="A453" s="19" t="s">
        <v>1151</v>
      </c>
      <c r="B453" s="20">
        <v>45216</v>
      </c>
      <c r="C453" s="19" t="str">
        <f>T("330239660:0830378041")</f>
        <v>330239660:0830378041</v>
      </c>
      <c r="D453" s="19" t="str">
        <f>T("161710")</f>
        <v>161710</v>
      </c>
      <c r="E453" s="19" t="str">
        <f>T("510146578")</f>
        <v>510146578</v>
      </c>
      <c r="F453" s="19" t="s">
        <v>17</v>
      </c>
      <c r="G453" s="19" t="s">
        <v>14</v>
      </c>
      <c r="H453" s="19" t="str">
        <f>T("607249160")</f>
        <v>607249160</v>
      </c>
      <c r="I453" s="19" t="s">
        <v>1125</v>
      </c>
      <c r="J453" s="19" t="s">
        <v>1126</v>
      </c>
      <c r="K453" s="19" t="str">
        <f>T("82000")</f>
        <v>82000</v>
      </c>
      <c r="L453" s="19" t="s">
        <v>19</v>
      </c>
      <c r="M453" s="21" t="s">
        <v>0</v>
      </c>
      <c r="N453" s="31">
        <v>45218</v>
      </c>
    </row>
    <row r="454" spans="1:14" ht="16" hidden="1" x14ac:dyDescent="0.2">
      <c r="A454" s="19" t="s">
        <v>1152</v>
      </c>
      <c r="B454" s="20">
        <v>45216</v>
      </c>
      <c r="C454" s="19" t="str">
        <f>T("330241310:0830378087")</f>
        <v>330241310:0830378087</v>
      </c>
      <c r="D454" s="19" t="str">
        <f>T("SOL2310FBC008905-")</f>
        <v>SOL2310FBC008905-</v>
      </c>
      <c r="E454" s="19" t="str">
        <f>T("510146413")</f>
        <v>510146413</v>
      </c>
      <c r="F454" s="19" t="s">
        <v>17</v>
      </c>
      <c r="G454" s="19" t="s">
        <v>14</v>
      </c>
      <c r="H454" s="19" t="str">
        <f>T("607249173")</f>
        <v>607249173</v>
      </c>
      <c r="I454" s="19" t="s">
        <v>1153</v>
      </c>
      <c r="J454" s="19" t="s">
        <v>1154</v>
      </c>
      <c r="K454" s="19" t="str">
        <f>T("38400")</f>
        <v>38400</v>
      </c>
      <c r="L454" s="19" t="s">
        <v>19</v>
      </c>
      <c r="M454" s="21" t="s">
        <v>0</v>
      </c>
      <c r="N454" s="31">
        <v>45217</v>
      </c>
    </row>
    <row r="455" spans="1:14" ht="16" hidden="1" x14ac:dyDescent="0.2">
      <c r="A455" s="19" t="s">
        <v>1155</v>
      </c>
      <c r="B455" s="20">
        <v>45216</v>
      </c>
      <c r="C455" s="19" t="str">
        <f>T("330241384:0830378175")</f>
        <v>330241384:0830378175</v>
      </c>
      <c r="D455" s="19" t="str">
        <f>T("NN-Clima")</f>
        <v>NN-Clima</v>
      </c>
      <c r="E455" s="19" t="str">
        <f>T("560021893")</f>
        <v>560021893</v>
      </c>
      <c r="F455" s="19" t="s">
        <v>17</v>
      </c>
      <c r="G455" s="19" t="s">
        <v>14</v>
      </c>
      <c r="H455" s="19" t="str">
        <f>T("607249187")</f>
        <v>607249187</v>
      </c>
      <c r="I455" s="19" t="s">
        <v>632</v>
      </c>
      <c r="J455" s="19" t="s">
        <v>854</v>
      </c>
      <c r="K455" s="19" t="str">
        <f>T("1784")</f>
        <v>1784</v>
      </c>
      <c r="L455" s="19" t="s">
        <v>634</v>
      </c>
      <c r="M455" s="21" t="s">
        <v>0</v>
      </c>
      <c r="N455" s="31">
        <v>45217</v>
      </c>
    </row>
    <row r="456" spans="1:14" ht="16" hidden="1" x14ac:dyDescent="0.2">
      <c r="A456" s="19" t="s">
        <v>1156</v>
      </c>
      <c r="B456" s="20">
        <v>45216</v>
      </c>
      <c r="C456" s="19" t="str">
        <f>T("330241438:0830378141")</f>
        <v>330241438:0830378141</v>
      </c>
      <c r="D456" s="19" t="str">
        <f>T("WC LE ROI SOLAIRE")</f>
        <v>WC LE ROI SOLAIRE</v>
      </c>
      <c r="E456" s="19" t="str">
        <f>T("510146683")</f>
        <v>510146683</v>
      </c>
      <c r="F456" s="19" t="s">
        <v>17</v>
      </c>
      <c r="G456" s="19" t="s">
        <v>14</v>
      </c>
      <c r="H456" s="19" t="str">
        <f>T("607249195")</f>
        <v>607249195</v>
      </c>
      <c r="I456" s="19" t="s">
        <v>1157</v>
      </c>
      <c r="J456" s="19" t="s">
        <v>203</v>
      </c>
      <c r="K456" s="19" t="str">
        <f>T("26790")</f>
        <v>26790</v>
      </c>
      <c r="L456" s="19" t="s">
        <v>19</v>
      </c>
      <c r="M456" s="21" t="s">
        <v>0</v>
      </c>
      <c r="N456" s="31">
        <v>45217</v>
      </c>
    </row>
    <row r="457" spans="1:14" ht="16" hidden="1" x14ac:dyDescent="0.2">
      <c r="A457" s="19" t="s">
        <v>1158</v>
      </c>
      <c r="B457" s="20">
        <v>45216</v>
      </c>
      <c r="C457" s="19" t="str">
        <f>T("330241321:0830378095")</f>
        <v>330241321:0830378095</v>
      </c>
      <c r="D457" s="19" t="str">
        <f>T("bc15789-ar38450")</f>
        <v>bc15789-ar38450</v>
      </c>
      <c r="E457" s="19" t="str">
        <f>T("510146280")</f>
        <v>510146280</v>
      </c>
      <c r="F457" s="19" t="s">
        <v>17</v>
      </c>
      <c r="G457" s="19" t="s">
        <v>14</v>
      </c>
      <c r="H457" s="19" t="str">
        <f>T("607249213")</f>
        <v>607249213</v>
      </c>
      <c r="I457" s="19" t="s">
        <v>1159</v>
      </c>
      <c r="J457" s="19" t="s">
        <v>1160</v>
      </c>
      <c r="K457" s="19" t="str">
        <f>T("37500")</f>
        <v>37500</v>
      </c>
      <c r="L457" s="19" t="s">
        <v>19</v>
      </c>
      <c r="M457" s="21" t="s">
        <v>0</v>
      </c>
      <c r="N457" s="31">
        <v>45217</v>
      </c>
    </row>
    <row r="458" spans="1:14" ht="16" hidden="1" x14ac:dyDescent="0.2">
      <c r="A458" s="19" t="s">
        <v>1161</v>
      </c>
      <c r="B458" s="20">
        <v>45216</v>
      </c>
      <c r="C458" s="19" t="str">
        <f>T("330241431:0830378136")</f>
        <v>330241431:0830378136</v>
      </c>
      <c r="D458" s="19" t="str">
        <f>T("CDE6737-NF-ORECC")</f>
        <v>CDE6737-NF-ORECC</v>
      </c>
      <c r="E458" s="19" t="str">
        <f>T("510146323")</f>
        <v>510146323</v>
      </c>
      <c r="F458" s="19" t="s">
        <v>17</v>
      </c>
      <c r="G458" s="19" t="s">
        <v>14</v>
      </c>
      <c r="H458" s="19" t="str">
        <f>T("607249227")</f>
        <v>607249227</v>
      </c>
      <c r="I458" s="19" t="s">
        <v>1162</v>
      </c>
      <c r="J458" s="19" t="s">
        <v>1163</v>
      </c>
      <c r="K458" s="19" t="str">
        <f>T("42600")</f>
        <v>42600</v>
      </c>
      <c r="L458" s="19" t="s">
        <v>19</v>
      </c>
      <c r="M458" s="21" t="s">
        <v>0</v>
      </c>
      <c r="N458" s="31">
        <v>45217</v>
      </c>
    </row>
    <row r="459" spans="1:14" ht="16" hidden="1" x14ac:dyDescent="0.2">
      <c r="A459" s="19" t="s">
        <v>1164</v>
      </c>
      <c r="B459" s="20">
        <v>45216</v>
      </c>
      <c r="C459" s="19" t="str">
        <f>T("330241326:0830378097")</f>
        <v>330241326:0830378097</v>
      </c>
      <c r="D459" s="19" t="str">
        <f>T("BC15820-AR38540")</f>
        <v>BC15820-AR38540</v>
      </c>
      <c r="E459" s="19" t="str">
        <f>T("510146287")</f>
        <v>510146287</v>
      </c>
      <c r="F459" s="19" t="s">
        <v>16</v>
      </c>
      <c r="G459" s="19" t="s">
        <v>14</v>
      </c>
      <c r="H459" s="19" t="str">
        <f>T("607249235")</f>
        <v>607249235</v>
      </c>
      <c r="I459" s="19" t="s">
        <v>1165</v>
      </c>
      <c r="J459" s="19" t="s">
        <v>1166</v>
      </c>
      <c r="K459" s="19" t="str">
        <f>T("49300")</f>
        <v>49300</v>
      </c>
      <c r="L459" s="19" t="s">
        <v>19</v>
      </c>
      <c r="M459" s="21" t="s">
        <v>0</v>
      </c>
      <c r="N459" s="31">
        <v>45218</v>
      </c>
    </row>
    <row r="460" spans="1:14" ht="16" hidden="1" x14ac:dyDescent="0.2">
      <c r="A460" s="19" t="s">
        <v>1167</v>
      </c>
      <c r="B460" s="20">
        <v>45216</v>
      </c>
      <c r="C460" s="19" t="str">
        <f>T("330241315:0830378090")</f>
        <v>330241315:0830378090</v>
      </c>
      <c r="D460" s="19" t="str">
        <f>T("SOL2309FBC008638-")</f>
        <v>SOL2309FBC008638-</v>
      </c>
      <c r="E460" s="19" t="str">
        <f>T("510146068")</f>
        <v>510146068</v>
      </c>
      <c r="F460" s="19" t="s">
        <v>17</v>
      </c>
      <c r="G460" s="19" t="s">
        <v>14</v>
      </c>
      <c r="H460" s="19" t="str">
        <f>T("607249244")</f>
        <v>607249244</v>
      </c>
      <c r="I460" s="19" t="s">
        <v>1168</v>
      </c>
      <c r="J460" s="19" t="s">
        <v>1169</v>
      </c>
      <c r="K460" s="19" t="str">
        <f>T("34660")</f>
        <v>34660</v>
      </c>
      <c r="L460" s="19" t="s">
        <v>19</v>
      </c>
      <c r="M460" s="21" t="s">
        <v>0</v>
      </c>
      <c r="N460" s="31">
        <v>45217</v>
      </c>
    </row>
    <row r="461" spans="1:14" ht="16" hidden="1" x14ac:dyDescent="0.2">
      <c r="A461" s="19" t="s">
        <v>1170</v>
      </c>
      <c r="B461" s="20">
        <v>45216</v>
      </c>
      <c r="C461" s="19" t="str">
        <f>T("330241399:0830378120")</f>
        <v>330241399:0830378120</v>
      </c>
      <c r="D461" s="19" t="str">
        <f>T("171518/AC")</f>
        <v>171518/AC</v>
      </c>
      <c r="E461" s="19" t="str">
        <f>T("510146364")</f>
        <v>510146364</v>
      </c>
      <c r="F461" s="19" t="s">
        <v>17</v>
      </c>
      <c r="G461" s="19" t="s">
        <v>14</v>
      </c>
      <c r="H461" s="19" t="str">
        <f>T("607249258")</f>
        <v>607249258</v>
      </c>
      <c r="I461" s="19" t="s">
        <v>21</v>
      </c>
      <c r="J461" s="19" t="s">
        <v>1171</v>
      </c>
      <c r="K461" s="19" t="str">
        <f>T("25220")</f>
        <v>25220</v>
      </c>
      <c r="L461" s="19" t="s">
        <v>19</v>
      </c>
      <c r="M461" s="21" t="s">
        <v>0</v>
      </c>
      <c r="N461" s="31">
        <v>45217</v>
      </c>
    </row>
    <row r="462" spans="1:14" ht="16" hidden="1" x14ac:dyDescent="0.2">
      <c r="A462" s="19" t="s">
        <v>1172</v>
      </c>
      <c r="B462" s="20">
        <v>45216</v>
      </c>
      <c r="C462" s="19" t="str">
        <f>T("330241331:0830378101")</f>
        <v>330241331:0830378101</v>
      </c>
      <c r="D462" s="19" t="str">
        <f>T("BC15878-AR38749")</f>
        <v>BC15878-AR38749</v>
      </c>
      <c r="E462" s="19" t="str">
        <f>T("510146424")</f>
        <v>510146424</v>
      </c>
      <c r="F462" s="19" t="s">
        <v>17</v>
      </c>
      <c r="G462" s="19" t="s">
        <v>14</v>
      </c>
      <c r="H462" s="19" t="str">
        <f>T("607249261")</f>
        <v>607249261</v>
      </c>
      <c r="I462" s="19" t="s">
        <v>76</v>
      </c>
      <c r="J462" s="19" t="s">
        <v>1173</v>
      </c>
      <c r="K462" s="19" t="str">
        <f>T("56850")</f>
        <v>56850</v>
      </c>
      <c r="L462" s="19" t="s">
        <v>19</v>
      </c>
      <c r="M462" s="21" t="s">
        <v>0</v>
      </c>
      <c r="N462" s="31">
        <v>45218</v>
      </c>
    </row>
    <row r="463" spans="1:14" ht="16" hidden="1" x14ac:dyDescent="0.2">
      <c r="A463" s="19" t="s">
        <v>1174</v>
      </c>
      <c r="B463" s="20">
        <v>45216</v>
      </c>
      <c r="C463" s="19" t="str">
        <f>T("330241339:0830378163")</f>
        <v>330241339:0830378163</v>
      </c>
      <c r="D463" s="19" t="str">
        <f>T("Tempcold")</f>
        <v>Tempcold</v>
      </c>
      <c r="E463" s="19" t="str">
        <f>T("560021850")</f>
        <v>560021850</v>
      </c>
      <c r="F463" s="19" t="s">
        <v>17</v>
      </c>
      <c r="G463" s="19" t="s">
        <v>14</v>
      </c>
      <c r="H463" s="19" t="str">
        <f>T("607249275")</f>
        <v>607249275</v>
      </c>
      <c r="I463" s="19" t="s">
        <v>1175</v>
      </c>
      <c r="J463" s="19" t="s">
        <v>1176</v>
      </c>
      <c r="K463" s="19" t="str">
        <f>T("46-081")</f>
        <v>46-081</v>
      </c>
      <c r="L463" s="19" t="s">
        <v>20</v>
      </c>
      <c r="M463" s="21" t="s">
        <v>0</v>
      </c>
      <c r="N463" s="31">
        <v>45217</v>
      </c>
    </row>
    <row r="464" spans="1:14" ht="16" hidden="1" x14ac:dyDescent="0.2">
      <c r="A464" s="19" t="s">
        <v>1177</v>
      </c>
      <c r="B464" s="20">
        <v>45216</v>
      </c>
      <c r="C464" s="19" t="str">
        <f>T("330241313:0830378089")</f>
        <v>330241313:0830378089</v>
      </c>
      <c r="D464" s="19" t="str">
        <f>T("SOL2309FBC008556-")</f>
        <v>SOL2309FBC008556-</v>
      </c>
      <c r="E464" s="19" t="str">
        <f>T("510146015")</f>
        <v>510146015</v>
      </c>
      <c r="F464" s="19" t="s">
        <v>17</v>
      </c>
      <c r="G464" s="19" t="s">
        <v>14</v>
      </c>
      <c r="H464" s="19" t="str">
        <f>T("607249289")</f>
        <v>607249289</v>
      </c>
      <c r="I464" s="19" t="s">
        <v>1178</v>
      </c>
      <c r="J464" s="19" t="s">
        <v>1179</v>
      </c>
      <c r="K464" s="19" t="str">
        <f>T("31140")</f>
        <v>31140</v>
      </c>
      <c r="L464" s="19" t="s">
        <v>19</v>
      </c>
      <c r="M464" s="21" t="s">
        <v>0</v>
      </c>
      <c r="N464" s="31">
        <v>45218</v>
      </c>
    </row>
    <row r="465" spans="1:14" ht="16" hidden="1" x14ac:dyDescent="0.2">
      <c r="A465" s="19" t="s">
        <v>1180</v>
      </c>
      <c r="B465" s="20">
        <v>45216</v>
      </c>
      <c r="C465" s="19" t="str">
        <f>T("330241376:0830378117")</f>
        <v>330241376:0830378117</v>
      </c>
      <c r="D465" s="19" t="str">
        <f>T("WC SAV LELIEVRE")</f>
        <v>WC SAV LELIEVRE</v>
      </c>
      <c r="E465" s="19" t="str">
        <f>T("510146587")</f>
        <v>510146587</v>
      </c>
      <c r="F465" s="19" t="s">
        <v>17</v>
      </c>
      <c r="G465" s="19" t="s">
        <v>14</v>
      </c>
      <c r="H465" s="19" t="str">
        <f>T("607249292")</f>
        <v>607249292</v>
      </c>
      <c r="I465" s="19" t="s">
        <v>1181</v>
      </c>
      <c r="J465" s="19" t="s">
        <v>1182</v>
      </c>
      <c r="K465" s="19" t="str">
        <f>T("87700")</f>
        <v>87700</v>
      </c>
      <c r="L465" s="19" t="s">
        <v>19</v>
      </c>
      <c r="M465" s="21" t="s">
        <v>0</v>
      </c>
      <c r="N465" s="31">
        <v>45218</v>
      </c>
    </row>
    <row r="466" spans="1:14" ht="16" hidden="1" x14ac:dyDescent="0.2">
      <c r="A466" s="19" t="s">
        <v>1183</v>
      </c>
      <c r="B466" s="20">
        <v>45216</v>
      </c>
      <c r="C466" s="19" t="str">
        <f>T("330241311:0830378088")</f>
        <v>330241311:0830378088</v>
      </c>
      <c r="D466" s="19" t="str">
        <f>T("SOL2309FBC008574-")</f>
        <v>SOL2309FBC008574-</v>
      </c>
      <c r="E466" s="19" t="str">
        <f>T("510146021")</f>
        <v>510146021</v>
      </c>
      <c r="F466" s="19" t="s">
        <v>17</v>
      </c>
      <c r="G466" s="19" t="s">
        <v>14</v>
      </c>
      <c r="H466" s="19" t="str">
        <f>T("607249301")</f>
        <v>607249301</v>
      </c>
      <c r="I466" s="19" t="s">
        <v>1184</v>
      </c>
      <c r="J466" s="19" t="s">
        <v>1185</v>
      </c>
      <c r="K466" s="19" t="str">
        <f>T("30100")</f>
        <v>30100</v>
      </c>
      <c r="L466" s="19" t="s">
        <v>19</v>
      </c>
      <c r="M466" s="21" t="s">
        <v>0</v>
      </c>
      <c r="N466" s="31">
        <v>45217</v>
      </c>
    </row>
    <row r="467" spans="1:14" ht="16" hidden="1" x14ac:dyDescent="0.2">
      <c r="A467" s="19" t="s">
        <v>1186</v>
      </c>
      <c r="B467" s="20">
        <v>45216</v>
      </c>
      <c r="C467" s="19" t="str">
        <f>T("330241357:0830378107")</f>
        <v>330241357:0830378107</v>
      </c>
      <c r="D467" s="19" t="str">
        <f>T("SMART CENTER")</f>
        <v>SMART CENTER</v>
      </c>
      <c r="E467" s="19" t="str">
        <f>T("510146788")</f>
        <v>510146788</v>
      </c>
      <c r="F467" s="19" t="s">
        <v>17</v>
      </c>
      <c r="G467" s="19" t="s">
        <v>14</v>
      </c>
      <c r="H467" s="19" t="str">
        <f>T("607249315")</f>
        <v>607249315</v>
      </c>
      <c r="I467" s="19" t="s">
        <v>1187</v>
      </c>
      <c r="J467" s="19" t="s">
        <v>1188</v>
      </c>
      <c r="K467" s="19" t="str">
        <f>T("91410")</f>
        <v>91410</v>
      </c>
      <c r="L467" s="19" t="s">
        <v>19</v>
      </c>
      <c r="M467" s="21" t="s">
        <v>0</v>
      </c>
      <c r="N467" s="31">
        <v>45217</v>
      </c>
    </row>
    <row r="468" spans="1:14" ht="16" hidden="1" x14ac:dyDescent="0.2">
      <c r="A468" s="19" t="s">
        <v>1189</v>
      </c>
      <c r="B468" s="20">
        <v>45216</v>
      </c>
      <c r="C468" s="19" t="str">
        <f>T("330241445:0830378147")</f>
        <v>330241445:0830378147</v>
      </c>
      <c r="D468" s="19" t="str">
        <f>T("WC Voute")</f>
        <v>WC Voute</v>
      </c>
      <c r="E468" s="19" t="str">
        <f>T("510146707")</f>
        <v>510146707</v>
      </c>
      <c r="F468" s="19" t="s">
        <v>17</v>
      </c>
      <c r="G468" s="19" t="s">
        <v>14</v>
      </c>
      <c r="H468" s="19" t="str">
        <f>T("607249329")</f>
        <v>607249329</v>
      </c>
      <c r="I468" s="19" t="s">
        <v>1190</v>
      </c>
      <c r="J468" s="19" t="s">
        <v>1191</v>
      </c>
      <c r="K468" s="19" t="str">
        <f>T("15000")</f>
        <v>15000</v>
      </c>
      <c r="L468" s="19" t="s">
        <v>19</v>
      </c>
      <c r="M468" s="21" t="s">
        <v>0</v>
      </c>
      <c r="N468" s="31">
        <v>45218</v>
      </c>
    </row>
    <row r="469" spans="1:14" ht="16" hidden="1" x14ac:dyDescent="0.2">
      <c r="A469" s="19" t="s">
        <v>1192</v>
      </c>
      <c r="B469" s="20">
        <v>45216</v>
      </c>
      <c r="C469" s="19" t="str">
        <f>T("330241412:0830378127")</f>
        <v>330241412:0830378127</v>
      </c>
      <c r="D469" s="19" t="str">
        <f>T("SOL2309FBC008704-")</f>
        <v>SOL2309FBC008704-</v>
      </c>
      <c r="E469" s="19" t="str">
        <f>T("510146065")</f>
        <v>510146065</v>
      </c>
      <c r="F469" s="19" t="s">
        <v>17</v>
      </c>
      <c r="G469" s="19" t="s">
        <v>14</v>
      </c>
      <c r="H469" s="19" t="str">
        <f>T("607249332")</f>
        <v>607249332</v>
      </c>
      <c r="I469" s="19" t="s">
        <v>1141</v>
      </c>
      <c r="J469" s="19" t="s">
        <v>1142</v>
      </c>
      <c r="K469" s="19" t="str">
        <f>T("31100")</f>
        <v>31100</v>
      </c>
      <c r="L469" s="19" t="s">
        <v>19</v>
      </c>
      <c r="M469" s="21" t="s">
        <v>0</v>
      </c>
      <c r="N469" s="31">
        <v>45217</v>
      </c>
    </row>
    <row r="470" spans="1:14" ht="16" hidden="1" x14ac:dyDescent="0.2">
      <c r="A470" s="19" t="s">
        <v>1193</v>
      </c>
      <c r="B470" s="20">
        <v>45216</v>
      </c>
      <c r="C470" s="19" t="str">
        <f>T("330241330:0830378100")</f>
        <v>330241330:0830378100</v>
      </c>
      <c r="D470" s="19" t="str">
        <f>T("BC15876 AR38744")</f>
        <v>BC15876 AR38744</v>
      </c>
      <c r="E470" s="19" t="str">
        <f>T("510146420")</f>
        <v>510146420</v>
      </c>
      <c r="F470" s="19" t="s">
        <v>17</v>
      </c>
      <c r="G470" s="19" t="s">
        <v>14</v>
      </c>
      <c r="H470" s="19" t="str">
        <f>T("607249346")</f>
        <v>607249346</v>
      </c>
      <c r="I470" s="19" t="s">
        <v>76</v>
      </c>
      <c r="J470" s="19" t="s">
        <v>1173</v>
      </c>
      <c r="K470" s="19" t="str">
        <f>T("56850")</f>
        <v>56850</v>
      </c>
      <c r="L470" s="19" t="s">
        <v>19</v>
      </c>
      <c r="M470" s="21" t="s">
        <v>0</v>
      </c>
      <c r="N470" s="31">
        <v>45218</v>
      </c>
    </row>
    <row r="471" spans="1:14" ht="16" hidden="1" x14ac:dyDescent="0.2">
      <c r="A471" s="19" t="s">
        <v>1194</v>
      </c>
      <c r="B471" s="20">
        <v>45216</v>
      </c>
      <c r="C471" s="19" t="str">
        <f>T("330241389:0830378180")</f>
        <v>330241389:0830378180</v>
      </c>
      <c r="D471" s="19" t="str">
        <f>T("1009Meretei")</f>
        <v>1009Meretei</v>
      </c>
      <c r="E471" s="19" t="str">
        <f>T("560021954")</f>
        <v>560021954</v>
      </c>
      <c r="F471" s="19" t="s">
        <v>17</v>
      </c>
      <c r="G471" s="19" t="s">
        <v>14</v>
      </c>
      <c r="H471" s="19" t="str">
        <f>T("607249403")</f>
        <v>607249403</v>
      </c>
      <c r="I471" s="19" t="s">
        <v>42</v>
      </c>
      <c r="J471" s="19" t="s">
        <v>653</v>
      </c>
      <c r="K471" s="19" t="str">
        <f>T("1131")</f>
        <v>1131</v>
      </c>
      <c r="L471" s="19" t="s">
        <v>43</v>
      </c>
      <c r="M471" s="21" t="s">
        <v>0</v>
      </c>
      <c r="N471" s="31">
        <v>45217</v>
      </c>
    </row>
    <row r="472" spans="1:14" ht="16" hidden="1" x14ac:dyDescent="0.2">
      <c r="A472" s="19" t="s">
        <v>1195</v>
      </c>
      <c r="B472" s="20">
        <v>45216</v>
      </c>
      <c r="C472" s="19" t="str">
        <f>T("330241428:0830378135")</f>
        <v>330241428:0830378135</v>
      </c>
      <c r="D472" s="19" t="str">
        <f>T("15801")</f>
        <v>15801</v>
      </c>
      <c r="E472" s="19" t="str">
        <f>T("510146615")</f>
        <v>510146615</v>
      </c>
      <c r="F472" s="19" t="s">
        <v>17</v>
      </c>
      <c r="G472" s="19" t="s">
        <v>14</v>
      </c>
      <c r="H472" s="19" t="str">
        <f>T("607249363")</f>
        <v>607249363</v>
      </c>
      <c r="I472" s="19" t="s">
        <v>1196</v>
      </c>
      <c r="J472" s="19" t="s">
        <v>1197</v>
      </c>
      <c r="K472" s="19" t="str">
        <f>T("77170")</f>
        <v>77170</v>
      </c>
      <c r="L472" s="19" t="s">
        <v>19</v>
      </c>
      <c r="M472" s="21" t="s">
        <v>0</v>
      </c>
      <c r="N472" s="31">
        <v>45218</v>
      </c>
    </row>
    <row r="473" spans="1:14" ht="16" hidden="1" x14ac:dyDescent="0.2">
      <c r="A473" s="19" t="s">
        <v>1198</v>
      </c>
      <c r="B473" s="20">
        <v>45216</v>
      </c>
      <c r="C473" s="19" t="str">
        <f>T("330241388:0830378179")</f>
        <v>330241388:0830378179</v>
      </c>
      <c r="D473" s="19" t="str">
        <f>T("1009Meretei")</f>
        <v>1009Meretei</v>
      </c>
      <c r="E473" s="19" t="str">
        <f>T("560021953")</f>
        <v>560021953</v>
      </c>
      <c r="F473" s="19" t="s">
        <v>17</v>
      </c>
      <c r="G473" s="19" t="s">
        <v>14</v>
      </c>
      <c r="H473" s="19" t="str">
        <f>T("607249394")</f>
        <v>607249394</v>
      </c>
      <c r="I473" s="19" t="s">
        <v>42</v>
      </c>
      <c r="J473" s="19" t="s">
        <v>653</v>
      </c>
      <c r="K473" s="19" t="str">
        <f>T("1131")</f>
        <v>1131</v>
      </c>
      <c r="L473" s="19" t="s">
        <v>43</v>
      </c>
      <c r="M473" s="21" t="s">
        <v>0</v>
      </c>
      <c r="N473" s="31">
        <v>45217</v>
      </c>
    </row>
    <row r="474" spans="1:14" ht="16" hidden="1" x14ac:dyDescent="0.2">
      <c r="A474" s="19" t="s">
        <v>1199</v>
      </c>
      <c r="B474" s="20">
        <v>45216</v>
      </c>
      <c r="C474" s="19" t="str">
        <f>T("330241319:0830378093")</f>
        <v>330241319:0830378093</v>
      </c>
      <c r="D474" s="19" t="str">
        <f>T("WC LA POSTE")</f>
        <v>WC LA POSTE</v>
      </c>
      <c r="E474" s="19" t="str">
        <f>T("510146786")</f>
        <v>510146786</v>
      </c>
      <c r="F474" s="19" t="s">
        <v>17</v>
      </c>
      <c r="G474" s="19" t="s">
        <v>14</v>
      </c>
      <c r="H474" s="19" t="str">
        <f>T("607249385")</f>
        <v>607249385</v>
      </c>
      <c r="I474" s="19" t="s">
        <v>299</v>
      </c>
      <c r="J474" s="19" t="s">
        <v>1200</v>
      </c>
      <c r="K474" s="19" t="str">
        <f>T("49004")</f>
        <v>49004</v>
      </c>
      <c r="L474" s="19" t="s">
        <v>19</v>
      </c>
      <c r="M474" s="21" t="s">
        <v>0</v>
      </c>
      <c r="N474" s="31">
        <v>45217</v>
      </c>
    </row>
    <row r="475" spans="1:14" ht="16" hidden="1" x14ac:dyDescent="0.2">
      <c r="A475" s="19" t="s">
        <v>1201</v>
      </c>
      <c r="B475" s="20">
        <v>45216</v>
      </c>
      <c r="C475" s="19" t="str">
        <f>T("330241443:0830378145")</f>
        <v>330241443:0830378145</v>
      </c>
      <c r="D475" s="19" t="str">
        <f>T("WC-MULLER")</f>
        <v>WC-MULLER</v>
      </c>
      <c r="E475" s="19" t="str">
        <f>T("510146704")</f>
        <v>510146704</v>
      </c>
      <c r="F475" s="19" t="s">
        <v>17</v>
      </c>
      <c r="G475" s="19" t="s">
        <v>14</v>
      </c>
      <c r="H475" s="19" t="str">
        <f>T("607249417")</f>
        <v>607249417</v>
      </c>
      <c r="I475" s="19" t="s">
        <v>1202</v>
      </c>
      <c r="J475" s="19" t="s">
        <v>1203</v>
      </c>
      <c r="K475" s="19" t="str">
        <f>T("71450")</f>
        <v>71450</v>
      </c>
      <c r="L475" s="19" t="s">
        <v>19</v>
      </c>
      <c r="M475" s="21" t="s">
        <v>0</v>
      </c>
      <c r="N475" s="31">
        <v>45217</v>
      </c>
    </row>
    <row r="476" spans="1:14" ht="16" hidden="1" x14ac:dyDescent="0.2">
      <c r="A476" s="19" t="s">
        <v>1204</v>
      </c>
      <c r="B476" s="20">
        <v>45216</v>
      </c>
      <c r="C476" s="19" t="str">
        <f>T("330241447:0830378149")</f>
        <v>330241447:0830378149</v>
      </c>
      <c r="D476" s="19" t="str">
        <f>T("SV23080190")</f>
        <v>SV23080190</v>
      </c>
      <c r="E476" s="19" t="str">
        <f>T("510146099")</f>
        <v>510146099</v>
      </c>
      <c r="F476" s="19" t="s">
        <v>17</v>
      </c>
      <c r="G476" s="19" t="s">
        <v>14</v>
      </c>
      <c r="H476" s="19" t="str">
        <f>T("607249425")</f>
        <v>607249425</v>
      </c>
      <c r="I476" s="19" t="s">
        <v>1205</v>
      </c>
      <c r="J476" s="19" t="s">
        <v>1206</v>
      </c>
      <c r="K476" s="19" t="str">
        <f>T("62218")</f>
        <v>62218</v>
      </c>
      <c r="L476" s="19" t="s">
        <v>19</v>
      </c>
      <c r="M476" s="21" t="s">
        <v>0</v>
      </c>
      <c r="N476" s="31">
        <v>45217</v>
      </c>
    </row>
    <row r="477" spans="1:14" ht="16" hidden="1" x14ac:dyDescent="0.2">
      <c r="A477" s="19" t="s">
        <v>1207</v>
      </c>
      <c r="B477" s="20">
        <v>45216</v>
      </c>
      <c r="C477" s="19" t="str">
        <f>T("330241377:0830378171")</f>
        <v>330241377:0830378171</v>
      </c>
      <c r="D477" s="19" t="str">
        <f>T("66037934")</f>
        <v>66037934</v>
      </c>
      <c r="E477" s="19" t="str">
        <f>T("560021855")</f>
        <v>560021855</v>
      </c>
      <c r="F477" s="19" t="s">
        <v>17</v>
      </c>
      <c r="G477" s="19" t="s">
        <v>14</v>
      </c>
      <c r="H477" s="19" t="str">
        <f>T("607249434")</f>
        <v>607249434</v>
      </c>
      <c r="I477" s="19" t="s">
        <v>623</v>
      </c>
      <c r="J477" s="19" t="s">
        <v>624</v>
      </c>
      <c r="K477" s="19" t="str">
        <f>T("51216")</f>
        <v>51216</v>
      </c>
      <c r="L477" s="19" t="s">
        <v>625</v>
      </c>
      <c r="M477" s="21" t="s">
        <v>0</v>
      </c>
      <c r="N477" s="31">
        <v>45218</v>
      </c>
    </row>
    <row r="478" spans="1:14" ht="16" hidden="1" x14ac:dyDescent="0.2">
      <c r="A478" s="19" t="s">
        <v>1208</v>
      </c>
      <c r="B478" s="20">
        <v>45216</v>
      </c>
      <c r="C478" s="19" t="str">
        <f>T("330241383:0830378174")</f>
        <v>330241383:0830378174</v>
      </c>
      <c r="D478" s="19" t="str">
        <f>T("ozon")</f>
        <v>ozon</v>
      </c>
      <c r="E478" s="19" t="str">
        <f>T("560021871")</f>
        <v>560021871</v>
      </c>
      <c r="F478" s="19" t="s">
        <v>17</v>
      </c>
      <c r="G478" s="19" t="s">
        <v>14</v>
      </c>
      <c r="H478" s="19" t="str">
        <f>T("607249598")</f>
        <v>607249598</v>
      </c>
      <c r="I478" s="19" t="s">
        <v>42</v>
      </c>
      <c r="J478" s="19" t="s">
        <v>653</v>
      </c>
      <c r="K478" s="19" t="str">
        <f>T("1131")</f>
        <v>1131</v>
      </c>
      <c r="L478" s="19" t="s">
        <v>43</v>
      </c>
      <c r="M478" s="21" t="s">
        <v>0</v>
      </c>
      <c r="N478" s="31">
        <v>45217</v>
      </c>
    </row>
    <row r="479" spans="1:14" ht="16" hidden="1" x14ac:dyDescent="0.2">
      <c r="A479" s="19" t="s">
        <v>1209</v>
      </c>
      <c r="B479" s="20">
        <v>45216</v>
      </c>
      <c r="C479" s="19" t="str">
        <f>T("330241556:0830378230")</f>
        <v>330241556:0830378230</v>
      </c>
      <c r="D479" s="19" t="str">
        <f>T("C507201865")</f>
        <v>C507201865</v>
      </c>
      <c r="E479" s="19" t="str">
        <f>T("510146891")</f>
        <v>510146891</v>
      </c>
      <c r="F479" s="19" t="s">
        <v>17</v>
      </c>
      <c r="G479" s="19" t="s">
        <v>14</v>
      </c>
      <c r="H479" s="19" t="str">
        <f>T("607249451")</f>
        <v>607249451</v>
      </c>
      <c r="I479" s="19" t="s">
        <v>1210</v>
      </c>
      <c r="J479" s="19" t="s">
        <v>1211</v>
      </c>
      <c r="K479" s="19" t="str">
        <f>T("45000")</f>
        <v>45000</v>
      </c>
      <c r="L479" s="19" t="s">
        <v>19</v>
      </c>
      <c r="M479" s="21" t="s">
        <v>0</v>
      </c>
      <c r="N479" s="31">
        <v>45217</v>
      </c>
    </row>
    <row r="480" spans="1:14" ht="16" hidden="1" x14ac:dyDescent="0.2">
      <c r="A480" s="19" t="s">
        <v>1212</v>
      </c>
      <c r="B480" s="20">
        <v>45216</v>
      </c>
      <c r="C480" s="19" t="str">
        <f>T("330241334:0830378160")</f>
        <v>330241334:0830378160</v>
      </c>
      <c r="D480" s="19" t="str">
        <f>T("23VO00372")</f>
        <v>23VO00372</v>
      </c>
      <c r="E480" s="19" t="str">
        <f>T("560021812")</f>
        <v>560021812</v>
      </c>
      <c r="F480" s="19" t="s">
        <v>17</v>
      </c>
      <c r="G480" s="19" t="s">
        <v>14</v>
      </c>
      <c r="H480" s="19" t="str">
        <f>T("607249465")</f>
        <v>607249465</v>
      </c>
      <c r="I480" s="19" t="s">
        <v>1213</v>
      </c>
      <c r="J480" s="19" t="s">
        <v>1214</v>
      </c>
      <c r="K480" s="19" t="str">
        <f>T("627 00")</f>
        <v>627 00</v>
      </c>
      <c r="L480" s="19" t="s">
        <v>1215</v>
      </c>
      <c r="M480" s="21" t="s">
        <v>0</v>
      </c>
      <c r="N480" s="31">
        <v>45217</v>
      </c>
    </row>
    <row r="481" spans="1:15" ht="16" hidden="1" x14ac:dyDescent="0.2">
      <c r="A481" s="19" t="s">
        <v>1216</v>
      </c>
      <c r="B481" s="20">
        <v>45216</v>
      </c>
      <c r="C481" s="19" t="str">
        <f>T("330241402:0830378123")</f>
        <v>330241402:0830378123</v>
      </c>
      <c r="D481" s="19" t="str">
        <f>T("171199/DI")</f>
        <v>171199/DI</v>
      </c>
      <c r="E481" s="19" t="str">
        <f>T("510146371")</f>
        <v>510146371</v>
      </c>
      <c r="F481" s="19" t="s">
        <v>17</v>
      </c>
      <c r="G481" s="19" t="s">
        <v>14</v>
      </c>
      <c r="H481" s="19" t="str">
        <f>T("607249479")</f>
        <v>607249479</v>
      </c>
      <c r="I481" s="19" t="s">
        <v>1217</v>
      </c>
      <c r="J481" s="19" t="s">
        <v>1218</v>
      </c>
      <c r="K481" s="19" t="str">
        <f>T("21000")</f>
        <v>21000</v>
      </c>
      <c r="L481" s="19" t="s">
        <v>19</v>
      </c>
      <c r="M481" s="21" t="s">
        <v>0</v>
      </c>
      <c r="N481" s="31">
        <v>45217</v>
      </c>
    </row>
    <row r="482" spans="1:15" ht="16" hidden="1" x14ac:dyDescent="0.2">
      <c r="A482" s="19" t="s">
        <v>1219</v>
      </c>
      <c r="B482" s="20">
        <v>45216</v>
      </c>
      <c r="C482" s="19" t="str">
        <f>T("330241353:0830378103")</f>
        <v>330241353:0830378103</v>
      </c>
      <c r="D482" s="19" t="str">
        <f>T("230904350")</f>
        <v>230904350</v>
      </c>
      <c r="E482" s="19" t="str">
        <f>T("510146826")</f>
        <v>510146826</v>
      </c>
      <c r="F482" s="19" t="s">
        <v>17</v>
      </c>
      <c r="G482" s="19" t="s">
        <v>14</v>
      </c>
      <c r="H482" s="19" t="str">
        <f>T("607249482")</f>
        <v>607249482</v>
      </c>
      <c r="I482" s="19" t="s">
        <v>700</v>
      </c>
      <c r="J482" s="19" t="s">
        <v>701</v>
      </c>
      <c r="K482" s="19" t="str">
        <f>T("31140")</f>
        <v>31140</v>
      </c>
      <c r="L482" s="19" t="s">
        <v>19</v>
      </c>
      <c r="M482" s="21" t="s">
        <v>0</v>
      </c>
      <c r="N482" s="31">
        <v>45217</v>
      </c>
    </row>
    <row r="483" spans="1:15" ht="16" hidden="1" x14ac:dyDescent="0.2">
      <c r="A483" s="19" t="s">
        <v>1220</v>
      </c>
      <c r="B483" s="20">
        <v>45216</v>
      </c>
      <c r="C483" s="19" t="str">
        <f>T("330241557:0830378231")</f>
        <v>330241557:0830378231</v>
      </c>
      <c r="D483" s="19" t="str">
        <f>T("13336229")</f>
        <v>13336229</v>
      </c>
      <c r="E483" s="19" t="str">
        <f>T("510146910")</f>
        <v>510146910</v>
      </c>
      <c r="F483" s="19" t="s">
        <v>17</v>
      </c>
      <c r="G483" s="19" t="s">
        <v>14</v>
      </c>
      <c r="H483" s="19" t="str">
        <f>T("607249496")</f>
        <v>607249496</v>
      </c>
      <c r="I483" s="19" t="s">
        <v>1221</v>
      </c>
      <c r="J483" s="19" t="s">
        <v>1222</v>
      </c>
      <c r="K483" s="19" t="str">
        <f>T("83500")</f>
        <v>83500</v>
      </c>
      <c r="L483" s="19" t="s">
        <v>19</v>
      </c>
      <c r="M483" s="21" t="s">
        <v>0</v>
      </c>
      <c r="N483" s="31">
        <v>45218</v>
      </c>
    </row>
    <row r="484" spans="1:15" ht="16" hidden="1" x14ac:dyDescent="0.2">
      <c r="A484" s="19" t="s">
        <v>1223</v>
      </c>
      <c r="B484" s="20">
        <v>45216</v>
      </c>
      <c r="C484" s="19" t="str">
        <f>T("330241444:0830378146")</f>
        <v>330241444:0830378146</v>
      </c>
      <c r="D484" s="19" t="str">
        <f>T("WC-MEUNIER")</f>
        <v>WC-MEUNIER</v>
      </c>
      <c r="E484" s="19" t="str">
        <f>T("510146705")</f>
        <v>510146705</v>
      </c>
      <c r="F484" s="19" t="s">
        <v>17</v>
      </c>
      <c r="G484" s="19" t="s">
        <v>14</v>
      </c>
      <c r="H484" s="19" t="str">
        <f>T("607249505")</f>
        <v>607249505</v>
      </c>
      <c r="I484" s="19" t="s">
        <v>1202</v>
      </c>
      <c r="J484" s="19" t="s">
        <v>1203</v>
      </c>
      <c r="K484" s="19" t="str">
        <f>T("71450")</f>
        <v>71450</v>
      </c>
      <c r="L484" s="19" t="s">
        <v>19</v>
      </c>
      <c r="M484" s="21" t="s">
        <v>0</v>
      </c>
      <c r="N484" s="31">
        <v>45217</v>
      </c>
    </row>
    <row r="485" spans="1:15" ht="16" hidden="1" x14ac:dyDescent="0.2">
      <c r="A485" s="19" t="s">
        <v>1224</v>
      </c>
      <c r="B485" s="20">
        <v>45216</v>
      </c>
      <c r="C485" s="19" t="str">
        <f>T("330241304:0830378085")</f>
        <v>330241304:0830378085</v>
      </c>
      <c r="D485" s="19" t="str">
        <f>T("SOL2309FBC008604-")</f>
        <v>SOL2309FBC008604-</v>
      </c>
      <c r="E485" s="19" t="str">
        <f>T("510146044")</f>
        <v>510146044</v>
      </c>
      <c r="F485" s="19" t="s">
        <v>16</v>
      </c>
      <c r="G485" s="19" t="s">
        <v>14</v>
      </c>
      <c r="H485" s="19" t="str">
        <f>T("607249686")</f>
        <v>607249686</v>
      </c>
      <c r="I485" s="19" t="s">
        <v>1225</v>
      </c>
      <c r="J485" s="19" t="s">
        <v>1226</v>
      </c>
      <c r="K485" s="19" t="str">
        <f>T("34190")</f>
        <v>34190</v>
      </c>
      <c r="L485" s="19" t="s">
        <v>19</v>
      </c>
      <c r="M485" s="21" t="s">
        <v>0</v>
      </c>
      <c r="N485" s="31">
        <v>45218</v>
      </c>
      <c r="O485" s="1" t="s">
        <v>66</v>
      </c>
    </row>
    <row r="486" spans="1:15" ht="16" hidden="1" x14ac:dyDescent="0.2">
      <c r="A486" s="19" t="s">
        <v>1227</v>
      </c>
      <c r="B486" s="20">
        <v>45216</v>
      </c>
      <c r="C486" s="19" t="str">
        <f>T("330241432:0830378137")</f>
        <v>330241432:0830378137</v>
      </c>
      <c r="D486" s="19" t="str">
        <f>T("CF43217")</f>
        <v>CF43217</v>
      </c>
      <c r="E486" s="19" t="str">
        <f>T("510146319")</f>
        <v>510146319</v>
      </c>
      <c r="F486" s="19" t="s">
        <v>17</v>
      </c>
      <c r="G486" s="19" t="s">
        <v>14</v>
      </c>
      <c r="H486" s="19" t="str">
        <f>T("607249522")</f>
        <v>607249522</v>
      </c>
      <c r="I486" s="19" t="s">
        <v>210</v>
      </c>
      <c r="J486" s="19" t="s">
        <v>211</v>
      </c>
      <c r="K486" s="19" t="str">
        <f>T("72100")</f>
        <v>72100</v>
      </c>
      <c r="L486" s="19" t="s">
        <v>19</v>
      </c>
      <c r="M486" s="21" t="s">
        <v>0</v>
      </c>
      <c r="N486" s="31">
        <v>45217</v>
      </c>
    </row>
    <row r="487" spans="1:15" ht="16" hidden="1" x14ac:dyDescent="0.2">
      <c r="A487" s="19" t="s">
        <v>1228</v>
      </c>
      <c r="B487" s="20">
        <v>45216</v>
      </c>
      <c r="C487" s="19" t="str">
        <f>T("330241454:0830378155")</f>
        <v>330241454:0830378155</v>
      </c>
      <c r="D487" s="19" t="str">
        <f>T("093548-PINEAU BEN")</f>
        <v>093548-PINEAU BEN</v>
      </c>
      <c r="E487" s="19" t="str">
        <f>T("510146676")</f>
        <v>510146676</v>
      </c>
      <c r="F487" s="19" t="s">
        <v>17</v>
      </c>
      <c r="G487" s="19" t="s">
        <v>14</v>
      </c>
      <c r="H487" s="19" t="str">
        <f>T("607249536")</f>
        <v>607249536</v>
      </c>
      <c r="I487" s="19" t="s">
        <v>1229</v>
      </c>
      <c r="J487" s="19" t="s">
        <v>1230</v>
      </c>
      <c r="K487" s="19" t="str">
        <f>T("85800")</f>
        <v>85800</v>
      </c>
      <c r="L487" s="19" t="s">
        <v>19</v>
      </c>
      <c r="M487" s="21" t="s">
        <v>0</v>
      </c>
      <c r="N487" s="31">
        <v>45217</v>
      </c>
    </row>
    <row r="488" spans="1:15" ht="16" hidden="1" x14ac:dyDescent="0.2">
      <c r="A488" s="19" t="s">
        <v>1231</v>
      </c>
      <c r="B488" s="20">
        <v>45216</v>
      </c>
      <c r="C488" s="19" t="str">
        <f>T("330241415:0830378128")</f>
        <v>330241415:0830378128</v>
      </c>
      <c r="D488" s="19" t="str">
        <f>T("SOL2309FBC008719-")</f>
        <v>SOL2309FBC008719-</v>
      </c>
      <c r="E488" s="19" t="str">
        <f>T("510146103")</f>
        <v>510146103</v>
      </c>
      <c r="F488" s="19" t="s">
        <v>17</v>
      </c>
      <c r="G488" s="19" t="s">
        <v>14</v>
      </c>
      <c r="H488" s="19" t="str">
        <f>T("607249540")</f>
        <v>607249540</v>
      </c>
      <c r="I488" s="19" t="s">
        <v>1232</v>
      </c>
      <c r="J488" s="19" t="s">
        <v>1233</v>
      </c>
      <c r="K488" s="19" t="str">
        <f>T("66000")</f>
        <v>66000</v>
      </c>
      <c r="L488" s="19" t="s">
        <v>19</v>
      </c>
      <c r="M488" s="21" t="s">
        <v>0</v>
      </c>
      <c r="N488" s="31">
        <v>45219</v>
      </c>
    </row>
    <row r="489" spans="1:15" ht="16" hidden="1" x14ac:dyDescent="0.2">
      <c r="A489" s="19" t="s">
        <v>1234</v>
      </c>
      <c r="B489" s="20">
        <v>45216</v>
      </c>
      <c r="C489" s="19" t="str">
        <f>T("330241537:0830378214")</f>
        <v>330241537:0830378214</v>
      </c>
      <c r="D489" s="19" t="str">
        <f>T("161602")</f>
        <v>161602</v>
      </c>
      <c r="E489" s="19" t="str">
        <f>T("510146467")</f>
        <v>510146467</v>
      </c>
      <c r="F489" s="19" t="s">
        <v>17</v>
      </c>
      <c r="G489" s="19" t="s">
        <v>14</v>
      </c>
      <c r="H489" s="19" t="str">
        <f>T("607249553")</f>
        <v>607249553</v>
      </c>
      <c r="I489" s="19" t="s">
        <v>1235</v>
      </c>
      <c r="J489" s="19" t="s">
        <v>1236</v>
      </c>
      <c r="K489" s="19" t="str">
        <f>T("13014")</f>
        <v>13014</v>
      </c>
      <c r="L489" s="19" t="s">
        <v>19</v>
      </c>
      <c r="M489" s="21" t="s">
        <v>0</v>
      </c>
      <c r="N489" s="31">
        <v>45217</v>
      </c>
    </row>
    <row r="490" spans="1:15" ht="16" hidden="1" x14ac:dyDescent="0.2">
      <c r="A490" s="19" t="s">
        <v>1237</v>
      </c>
      <c r="B490" s="20">
        <v>45216</v>
      </c>
      <c r="C490" s="19" t="str">
        <f>T("330241364:0830378112")</f>
        <v>330241364:0830378112</v>
      </c>
      <c r="D490" s="19" t="str">
        <f>T("SOL2309FBC008554-")</f>
        <v>SOL2309FBC008554-</v>
      </c>
      <c r="E490" s="19" t="str">
        <f>T("510146012")</f>
        <v>510146012</v>
      </c>
      <c r="F490" s="19" t="s">
        <v>17</v>
      </c>
      <c r="G490" s="19" t="s">
        <v>14</v>
      </c>
      <c r="H490" s="19" t="str">
        <f>T("607249567")</f>
        <v>607249567</v>
      </c>
      <c r="I490" s="19" t="s">
        <v>1138</v>
      </c>
      <c r="J490" s="19" t="s">
        <v>1238</v>
      </c>
      <c r="K490" s="19" t="str">
        <f>T("82000")</f>
        <v>82000</v>
      </c>
      <c r="L490" s="19" t="s">
        <v>19</v>
      </c>
      <c r="M490" s="21" t="s">
        <v>0</v>
      </c>
      <c r="N490" s="31">
        <v>45218</v>
      </c>
    </row>
    <row r="491" spans="1:15" ht="16" hidden="1" x14ac:dyDescent="0.2">
      <c r="A491" s="19" t="s">
        <v>1239</v>
      </c>
      <c r="B491" s="20">
        <v>45216</v>
      </c>
      <c r="C491" s="19" t="str">
        <f>T("330241458:0830378159")</f>
        <v>330241458:0830378159</v>
      </c>
      <c r="D491" s="19" t="str">
        <f>T("SOL2310FBC008886-")</f>
        <v>SOL2310FBC008886-</v>
      </c>
      <c r="E491" s="19" t="str">
        <f>T("510146359")</f>
        <v>510146359</v>
      </c>
      <c r="F491" s="19" t="s">
        <v>17</v>
      </c>
      <c r="G491" s="19" t="s">
        <v>14</v>
      </c>
      <c r="H491" s="19" t="str">
        <f>T("607249575")</f>
        <v>607249575</v>
      </c>
      <c r="I491" s="19" t="s">
        <v>1240</v>
      </c>
      <c r="J491" s="19" t="s">
        <v>1241</v>
      </c>
      <c r="K491" s="19" t="str">
        <f>T("31220")</f>
        <v>31220</v>
      </c>
      <c r="L491" s="19" t="s">
        <v>19</v>
      </c>
      <c r="M491" s="21" t="s">
        <v>0</v>
      </c>
      <c r="N491" s="31">
        <v>45217</v>
      </c>
    </row>
    <row r="492" spans="1:15" ht="16" x14ac:dyDescent="0.2">
      <c r="A492" s="19" t="s">
        <v>1242</v>
      </c>
      <c r="B492" s="20">
        <v>45216</v>
      </c>
      <c r="C492" s="19" t="str">
        <f>T("330241533:0830378210")</f>
        <v>330241533:0830378210</v>
      </c>
      <c r="D492" s="19" t="str">
        <f>T("161582")</f>
        <v>161582</v>
      </c>
      <c r="E492" s="19" t="str">
        <f>T("510146460")</f>
        <v>510146460</v>
      </c>
      <c r="F492" s="19" t="s">
        <v>17</v>
      </c>
      <c r="G492" s="19" t="s">
        <v>14</v>
      </c>
      <c r="H492" s="19" t="str">
        <f>T("607249584")</f>
        <v>607249584</v>
      </c>
      <c r="I492" s="19" t="s">
        <v>1243</v>
      </c>
      <c r="J492" s="19" t="s">
        <v>1244</v>
      </c>
      <c r="K492" s="19" t="str">
        <f>T("82000")</f>
        <v>82000</v>
      </c>
      <c r="L492" s="19" t="s">
        <v>19</v>
      </c>
      <c r="M492" s="21" t="s">
        <v>1</v>
      </c>
      <c r="N492" s="21"/>
    </row>
    <row r="493" spans="1:15" ht="16" hidden="1" x14ac:dyDescent="0.2">
      <c r="A493" s="19" t="s">
        <v>1245</v>
      </c>
      <c r="B493" s="20">
        <v>45216</v>
      </c>
      <c r="C493" s="19" t="str">
        <f>T("330241421:0830378131")</f>
        <v>330241421:0830378131</v>
      </c>
      <c r="D493" s="19" t="str">
        <f>T("00100351-SAV 1403")</f>
        <v>00100351-SAV 1403</v>
      </c>
      <c r="E493" s="19" t="str">
        <f>T("510146403")</f>
        <v>510146403</v>
      </c>
      <c r="F493" s="19" t="s">
        <v>16</v>
      </c>
      <c r="G493" s="19" t="s">
        <v>14</v>
      </c>
      <c r="H493" s="19" t="str">
        <f>T("607249607")</f>
        <v>607249607</v>
      </c>
      <c r="I493" s="19" t="s">
        <v>1246</v>
      </c>
      <c r="J493" s="19" t="s">
        <v>1247</v>
      </c>
      <c r="K493" s="19" t="str">
        <f>T("21800")</f>
        <v>21800</v>
      </c>
      <c r="L493" s="19" t="s">
        <v>19</v>
      </c>
      <c r="M493" s="21" t="s">
        <v>0</v>
      </c>
      <c r="N493" s="31">
        <v>45218</v>
      </c>
    </row>
    <row r="494" spans="1:15" ht="16" hidden="1" x14ac:dyDescent="0.2">
      <c r="A494" s="19" t="s">
        <v>1248</v>
      </c>
      <c r="B494" s="20">
        <v>45216</v>
      </c>
      <c r="C494" s="19" t="str">
        <f>T("330241449:0830378150")</f>
        <v>330241449:0830378150</v>
      </c>
      <c r="D494" s="19" t="str">
        <f>T("3743073")</f>
        <v>3743073</v>
      </c>
      <c r="E494" s="19" t="str">
        <f>T("510146854")</f>
        <v>510146854</v>
      </c>
      <c r="F494" s="19" t="s">
        <v>16</v>
      </c>
      <c r="G494" s="19" t="s">
        <v>14</v>
      </c>
      <c r="H494" s="19" t="str">
        <f>T("607249615")</f>
        <v>607249615</v>
      </c>
      <c r="I494" s="19" t="s">
        <v>1249</v>
      </c>
      <c r="J494" s="19" t="s">
        <v>1250</v>
      </c>
      <c r="K494" s="19" t="str">
        <f>T("37550")</f>
        <v>37550</v>
      </c>
      <c r="L494" s="19" t="s">
        <v>19</v>
      </c>
      <c r="M494" s="21" t="s">
        <v>0</v>
      </c>
      <c r="N494" s="24">
        <v>45219</v>
      </c>
    </row>
    <row r="495" spans="1:15" ht="16" hidden="1" x14ac:dyDescent="0.2">
      <c r="A495" s="19" t="s">
        <v>1251</v>
      </c>
      <c r="B495" s="20">
        <v>45216</v>
      </c>
      <c r="C495" s="19" t="str">
        <f>T("330241455:0830378156")</f>
        <v>330241455:0830378156</v>
      </c>
      <c r="D495" s="19" t="str">
        <f>T("SOL2310FBC008812-")</f>
        <v>SOL2310FBC008812-</v>
      </c>
      <c r="E495" s="19" t="str">
        <f>T("510146267")</f>
        <v>510146267</v>
      </c>
      <c r="F495" s="19" t="s">
        <v>17</v>
      </c>
      <c r="G495" s="19" t="s">
        <v>14</v>
      </c>
      <c r="H495" s="19" t="str">
        <f>T("607249624")</f>
        <v>607249624</v>
      </c>
      <c r="I495" s="19" t="s">
        <v>1252</v>
      </c>
      <c r="J495" s="19" t="s">
        <v>1253</v>
      </c>
      <c r="K495" s="19" t="str">
        <f>T("13200")</f>
        <v>13200</v>
      </c>
      <c r="L495" s="19" t="s">
        <v>19</v>
      </c>
      <c r="M495" s="21" t="s">
        <v>0</v>
      </c>
      <c r="N495" s="31">
        <v>45217</v>
      </c>
    </row>
    <row r="496" spans="1:15" ht="16" hidden="1" x14ac:dyDescent="0.2">
      <c r="A496" s="19" t="s">
        <v>1254</v>
      </c>
      <c r="B496" s="20">
        <v>45216</v>
      </c>
      <c r="C496" s="19" t="str">
        <f>T("330241360:0830378110")</f>
        <v>330241360:0830378110</v>
      </c>
      <c r="D496" s="19" t="str">
        <f>T("SV23080190")</f>
        <v>SV23080190</v>
      </c>
      <c r="E496" s="19" t="str">
        <f>T("510146099")</f>
        <v>510146099</v>
      </c>
      <c r="F496" s="19" t="s">
        <v>17</v>
      </c>
      <c r="G496" s="19" t="s">
        <v>14</v>
      </c>
      <c r="H496" s="19" t="str">
        <f>T("607249638")</f>
        <v>607249638</v>
      </c>
      <c r="I496" s="19" t="s">
        <v>1205</v>
      </c>
      <c r="J496" s="19" t="s">
        <v>1206</v>
      </c>
      <c r="K496" s="19" t="str">
        <f>T("62218")</f>
        <v>62218</v>
      </c>
      <c r="L496" s="19" t="s">
        <v>19</v>
      </c>
      <c r="M496" s="21" t="s">
        <v>0</v>
      </c>
      <c r="N496" s="31">
        <v>45217</v>
      </c>
    </row>
    <row r="497" spans="1:14" ht="16" hidden="1" x14ac:dyDescent="0.2">
      <c r="A497" s="19" t="s">
        <v>1255</v>
      </c>
      <c r="B497" s="20">
        <v>45216</v>
      </c>
      <c r="C497" s="19" t="str">
        <f>T("330241450:0830378151")</f>
        <v>330241450:0830378151</v>
      </c>
      <c r="D497" s="19" t="str">
        <f>T("963378953")</f>
        <v>963378953</v>
      </c>
      <c r="E497" s="19" t="str">
        <f>T("510146886")</f>
        <v>510146886</v>
      </c>
      <c r="F497" s="19" t="s">
        <v>17</v>
      </c>
      <c r="G497" s="19" t="s">
        <v>14</v>
      </c>
      <c r="H497" s="19" t="str">
        <f>T("607249641")</f>
        <v>607249641</v>
      </c>
      <c r="I497" s="19" t="s">
        <v>1256</v>
      </c>
      <c r="J497" s="19" t="s">
        <v>1257</v>
      </c>
      <c r="K497" s="19" t="str">
        <f>T("72088")</f>
        <v>72088</v>
      </c>
      <c r="L497" s="19" t="s">
        <v>19</v>
      </c>
      <c r="M497" s="21" t="s">
        <v>0</v>
      </c>
      <c r="N497" s="31">
        <v>45217</v>
      </c>
    </row>
    <row r="498" spans="1:14" ht="16" hidden="1" x14ac:dyDescent="0.2">
      <c r="A498" s="19" t="s">
        <v>1258</v>
      </c>
      <c r="B498" s="20">
        <v>45216</v>
      </c>
      <c r="C498" s="19" t="str">
        <f>T("330241453:0830378154")</f>
        <v>330241453:0830378154</v>
      </c>
      <c r="D498" s="19" t="str">
        <f>T("93453")</f>
        <v>93453</v>
      </c>
      <c r="E498" s="19" t="str">
        <f>T("510146373")</f>
        <v>510146373</v>
      </c>
      <c r="F498" s="19" t="s">
        <v>17</v>
      </c>
      <c r="G498" s="19" t="s">
        <v>14</v>
      </c>
      <c r="H498" s="19" t="str">
        <f>T("607249655")</f>
        <v>607249655</v>
      </c>
      <c r="I498" s="19" t="s">
        <v>1259</v>
      </c>
      <c r="J498" s="19" t="s">
        <v>1260</v>
      </c>
      <c r="K498" s="19" t="str">
        <f>T("85280")</f>
        <v>85280</v>
      </c>
      <c r="L498" s="19" t="s">
        <v>19</v>
      </c>
      <c r="M498" s="21" t="s">
        <v>0</v>
      </c>
      <c r="N498" s="31">
        <v>45217</v>
      </c>
    </row>
    <row r="499" spans="1:14" ht="16" hidden="1" x14ac:dyDescent="0.2">
      <c r="A499" s="19" t="s">
        <v>1261</v>
      </c>
      <c r="B499" s="20">
        <v>45216</v>
      </c>
      <c r="C499" s="19" t="str">
        <f>T("330241347:0830378167")</f>
        <v>330241347:0830378167</v>
      </c>
      <c r="D499" s="19" t="str">
        <f>T("Tempcold")</f>
        <v>Tempcold</v>
      </c>
      <c r="E499" s="19" t="str">
        <f>T("560021952")</f>
        <v>560021952</v>
      </c>
      <c r="F499" s="19" t="s">
        <v>17</v>
      </c>
      <c r="G499" s="19" t="s">
        <v>14</v>
      </c>
      <c r="H499" s="19" t="str">
        <f>T("607249669")</f>
        <v>607249669</v>
      </c>
      <c r="I499" s="19" t="s">
        <v>1262</v>
      </c>
      <c r="J499" s="19" t="s">
        <v>1176</v>
      </c>
      <c r="K499" s="19" t="str">
        <f>T("20-388")</f>
        <v>20-388</v>
      </c>
      <c r="L499" s="19" t="s">
        <v>20</v>
      </c>
      <c r="M499" s="21" t="s">
        <v>0</v>
      </c>
      <c r="N499" s="31">
        <v>45218</v>
      </c>
    </row>
    <row r="500" spans="1:14" ht="16" hidden="1" x14ac:dyDescent="0.2">
      <c r="A500" s="19" t="s">
        <v>1263</v>
      </c>
      <c r="B500" s="20">
        <v>45216</v>
      </c>
      <c r="C500" s="19" t="str">
        <f>T("330241297:0830378081")</f>
        <v>330241297:0830378081</v>
      </c>
      <c r="D500" s="19" t="str">
        <f>T("SOL2309FBC008611-")</f>
        <v>SOL2309FBC008611-</v>
      </c>
      <c r="E500" s="19" t="str">
        <f>T("510146047")</f>
        <v>510146047</v>
      </c>
      <c r="F500" s="19" t="s">
        <v>17</v>
      </c>
      <c r="G500" s="19" t="s">
        <v>14</v>
      </c>
      <c r="H500" s="19" t="str">
        <f>T("607249672")</f>
        <v>607249672</v>
      </c>
      <c r="I500" s="19" t="s">
        <v>1264</v>
      </c>
      <c r="J500" s="19" t="s">
        <v>1265</v>
      </c>
      <c r="K500" s="19" t="str">
        <f>T("81990")</f>
        <v>81990</v>
      </c>
      <c r="L500" s="19" t="s">
        <v>19</v>
      </c>
      <c r="M500" s="21" t="s">
        <v>0</v>
      </c>
      <c r="N500" s="31">
        <v>45218</v>
      </c>
    </row>
    <row r="501" spans="1:14" ht="16" hidden="1" x14ac:dyDescent="0.2">
      <c r="A501" s="19" t="s">
        <v>1266</v>
      </c>
      <c r="B501" s="20">
        <v>45216</v>
      </c>
      <c r="C501" s="19" t="str">
        <f>T("330241565:0830378297")</f>
        <v>330241565:0830378297</v>
      </c>
      <c r="D501" s="21"/>
      <c r="E501" s="19" t="str">
        <f>T("SW 20231011")</f>
        <v>SW 20231011</v>
      </c>
      <c r="F501" s="19" t="s">
        <v>17</v>
      </c>
      <c r="G501" s="19" t="s">
        <v>14</v>
      </c>
      <c r="H501" s="19" t="str">
        <f>T("607250035")</f>
        <v>607250035</v>
      </c>
      <c r="I501" s="19" t="s">
        <v>1267</v>
      </c>
      <c r="J501" s="19" t="s">
        <v>1268</v>
      </c>
      <c r="K501" s="19" t="str">
        <f>T("10150")</f>
        <v>10150</v>
      </c>
      <c r="L501" s="19" t="s">
        <v>19</v>
      </c>
      <c r="M501" s="21" t="s">
        <v>0</v>
      </c>
      <c r="N501" s="31">
        <v>45217</v>
      </c>
    </row>
    <row r="502" spans="1:14" ht="16" hidden="1" x14ac:dyDescent="0.2">
      <c r="A502" s="19" t="s">
        <v>1269</v>
      </c>
      <c r="B502" s="20">
        <v>45216</v>
      </c>
      <c r="C502" s="19" t="str">
        <f>T("330241338:0830378162")</f>
        <v>330241338:0830378162</v>
      </c>
      <c r="D502" s="19" t="str">
        <f>T("ZAM/03/10/2023")</f>
        <v>ZAM/03/10/2023</v>
      </c>
      <c r="E502" s="19" t="str">
        <f>T("560021840")</f>
        <v>560021840</v>
      </c>
      <c r="F502" s="19" t="s">
        <v>17</v>
      </c>
      <c r="G502" s="19" t="s">
        <v>14</v>
      </c>
      <c r="H502" s="19" t="str">
        <f>T("607250052")</f>
        <v>607250052</v>
      </c>
      <c r="I502" s="19" t="s">
        <v>1270</v>
      </c>
      <c r="J502" s="19" t="s">
        <v>1271</v>
      </c>
      <c r="K502" s="19" t="str">
        <f>T("05-840")</f>
        <v>05-840</v>
      </c>
      <c r="L502" s="19" t="s">
        <v>20</v>
      </c>
      <c r="M502" s="21" t="s">
        <v>0</v>
      </c>
      <c r="N502" s="31">
        <v>45217</v>
      </c>
    </row>
    <row r="503" spans="1:14" ht="16" hidden="1" x14ac:dyDescent="0.2">
      <c r="A503" s="19" t="s">
        <v>1272</v>
      </c>
      <c r="B503" s="20">
        <v>45216</v>
      </c>
      <c r="C503" s="19" t="str">
        <f>T("330241358:0830378108")</f>
        <v>330241358:0830378108</v>
      </c>
      <c r="D503" s="19" t="str">
        <f>T("15807")</f>
        <v>15807</v>
      </c>
      <c r="E503" s="19" t="str">
        <f>T("510146756")</f>
        <v>510146756</v>
      </c>
      <c r="F503" s="19" t="s">
        <v>17</v>
      </c>
      <c r="G503" s="19" t="s">
        <v>14</v>
      </c>
      <c r="H503" s="19" t="str">
        <f>T("607249712")</f>
        <v>607249712</v>
      </c>
      <c r="I503" s="19" t="s">
        <v>1273</v>
      </c>
      <c r="J503" s="19" t="s">
        <v>1274</v>
      </c>
      <c r="K503" s="19" t="str">
        <f>T("51350")</f>
        <v>51350</v>
      </c>
      <c r="L503" s="19" t="s">
        <v>19</v>
      </c>
      <c r="M503" s="21" t="s">
        <v>0</v>
      </c>
      <c r="N503" s="31">
        <v>45217</v>
      </c>
    </row>
    <row r="504" spans="1:14" ht="16" hidden="1" x14ac:dyDescent="0.2">
      <c r="A504" s="19" t="s">
        <v>1275</v>
      </c>
      <c r="B504" s="20">
        <v>45216</v>
      </c>
      <c r="C504" s="19" t="str">
        <f>T("330241398:0830378119")</f>
        <v>330241398:0830378119</v>
      </c>
      <c r="D504" s="19" t="str">
        <f>T("171067/AC")</f>
        <v>171067/AC</v>
      </c>
      <c r="E504" s="19" t="str">
        <f>T("510146363")</f>
        <v>510146363</v>
      </c>
      <c r="F504" s="19" t="s">
        <v>17</v>
      </c>
      <c r="G504" s="19" t="s">
        <v>14</v>
      </c>
      <c r="H504" s="19" t="str">
        <f>T("607249726")</f>
        <v>607249726</v>
      </c>
      <c r="I504" s="19" t="s">
        <v>1276</v>
      </c>
      <c r="J504" s="19" t="s">
        <v>1277</v>
      </c>
      <c r="K504" s="19" t="str">
        <f>T("39600")</f>
        <v>39600</v>
      </c>
      <c r="L504" s="19" t="s">
        <v>19</v>
      </c>
      <c r="M504" s="21" t="s">
        <v>0</v>
      </c>
      <c r="N504" s="31">
        <v>45217</v>
      </c>
    </row>
    <row r="505" spans="1:14" ht="16" hidden="1" x14ac:dyDescent="0.2">
      <c r="A505" s="19" t="s">
        <v>1278</v>
      </c>
      <c r="B505" s="20">
        <v>45216</v>
      </c>
      <c r="C505" s="19" t="str">
        <f>T("330241456:0830378157")</f>
        <v>330241456:0830378157</v>
      </c>
      <c r="D505" s="19" t="str">
        <f>T("SOL2310FBC008819-")</f>
        <v>SOL2310FBC008819-</v>
      </c>
      <c r="E505" s="19" t="str">
        <f>T("510146269")</f>
        <v>510146269</v>
      </c>
      <c r="F505" s="19" t="s">
        <v>17</v>
      </c>
      <c r="G505" s="19" t="s">
        <v>14</v>
      </c>
      <c r="H505" s="19" t="str">
        <f>T("607249730")</f>
        <v>607249730</v>
      </c>
      <c r="I505" s="19" t="s">
        <v>1279</v>
      </c>
      <c r="J505" s="19" t="s">
        <v>1280</v>
      </c>
      <c r="K505" s="19" t="str">
        <f>T("31120")</f>
        <v>31120</v>
      </c>
      <c r="L505" s="19" t="s">
        <v>19</v>
      </c>
      <c r="M505" s="21" t="s">
        <v>0</v>
      </c>
      <c r="N505" s="31">
        <v>45218</v>
      </c>
    </row>
    <row r="506" spans="1:14" ht="16" hidden="1" x14ac:dyDescent="0.2">
      <c r="A506" s="19" t="s">
        <v>1281</v>
      </c>
      <c r="B506" s="20">
        <v>45216</v>
      </c>
      <c r="C506" s="19" t="str">
        <f>T("330241386:0830378177")</f>
        <v>330241386:0830378177</v>
      </c>
      <c r="D506" s="19" t="str">
        <f>T("Mr Climate")</f>
        <v>Mr Climate</v>
      </c>
      <c r="E506" s="19" t="str">
        <f>T("560021925")</f>
        <v>560021925</v>
      </c>
      <c r="F506" s="19" t="s">
        <v>17</v>
      </c>
      <c r="G506" s="19" t="s">
        <v>14</v>
      </c>
      <c r="H506" s="19" t="str">
        <f>T("607249743")</f>
        <v>607249743</v>
      </c>
      <c r="I506" s="19" t="s">
        <v>632</v>
      </c>
      <c r="J506" s="19" t="s">
        <v>854</v>
      </c>
      <c r="K506" s="19" t="str">
        <f>T("1784")</f>
        <v>1784</v>
      </c>
      <c r="L506" s="19" t="s">
        <v>634</v>
      </c>
      <c r="M506" s="21" t="s">
        <v>0</v>
      </c>
      <c r="N506" s="31">
        <v>45217</v>
      </c>
    </row>
    <row r="507" spans="1:14" ht="16" hidden="1" x14ac:dyDescent="0.2">
      <c r="A507" s="19" t="s">
        <v>1282</v>
      </c>
      <c r="B507" s="20">
        <v>45216</v>
      </c>
      <c r="C507" s="19" t="str">
        <f>T("330241387:0830378178")</f>
        <v>330241387:0830378178</v>
      </c>
      <c r="D507" s="19" t="str">
        <f>T("SGTERV")</f>
        <v>SGTERV</v>
      </c>
      <c r="E507" s="19" t="str">
        <f>T("560021943")</f>
        <v>560021943</v>
      </c>
      <c r="F507" s="19" t="s">
        <v>17</v>
      </c>
      <c r="G507" s="19" t="s">
        <v>14</v>
      </c>
      <c r="H507" s="19" t="str">
        <f>T("607250049")</f>
        <v>607250049</v>
      </c>
      <c r="I507" s="19" t="s">
        <v>42</v>
      </c>
      <c r="J507" s="19" t="s">
        <v>653</v>
      </c>
      <c r="K507" s="19" t="str">
        <f>T("1131")</f>
        <v>1131</v>
      </c>
      <c r="L507" s="19" t="s">
        <v>43</v>
      </c>
      <c r="M507" s="21" t="s">
        <v>0</v>
      </c>
      <c r="N507" s="31">
        <v>45217</v>
      </c>
    </row>
    <row r="508" spans="1:14" ht="16" hidden="1" x14ac:dyDescent="0.2">
      <c r="A508" s="19" t="s">
        <v>1283</v>
      </c>
      <c r="B508" s="20">
        <v>45216</v>
      </c>
      <c r="C508" s="19" t="str">
        <f>T("330241439:0830378142")</f>
        <v>330241439:0830378142</v>
      </c>
      <c r="D508" s="19" t="str">
        <f>T("WC-Mr Renard")</f>
        <v>WC-Mr Renard</v>
      </c>
      <c r="E508" s="19" t="str">
        <f>T("510146691")</f>
        <v>510146691</v>
      </c>
      <c r="F508" s="19" t="s">
        <v>17</v>
      </c>
      <c r="G508" s="19" t="s">
        <v>14</v>
      </c>
      <c r="H508" s="19" t="str">
        <f>T("607249765")</f>
        <v>607249765</v>
      </c>
      <c r="I508" s="19" t="s">
        <v>1284</v>
      </c>
      <c r="J508" s="19" t="s">
        <v>1285</v>
      </c>
      <c r="K508" s="19" t="str">
        <f>T("51600")</f>
        <v>51600</v>
      </c>
      <c r="L508" s="19" t="s">
        <v>19</v>
      </c>
      <c r="M508" s="21" t="s">
        <v>0</v>
      </c>
      <c r="N508" s="31">
        <v>45217</v>
      </c>
    </row>
    <row r="509" spans="1:14" ht="16" hidden="1" x14ac:dyDescent="0.2">
      <c r="A509" s="19" t="s">
        <v>1286</v>
      </c>
      <c r="B509" s="20">
        <v>45216</v>
      </c>
      <c r="C509" s="19" t="str">
        <f>T("330241308:0830378086")</f>
        <v>330241308:0830378086</v>
      </c>
      <c r="D509" s="19" t="str">
        <f>T("CHANTIER FM/05935")</f>
        <v>CHANTIER FM/05935</v>
      </c>
      <c r="E509" s="19" t="str">
        <f>T("510145981")</f>
        <v>510145981</v>
      </c>
      <c r="F509" s="19" t="s">
        <v>16</v>
      </c>
      <c r="G509" s="19" t="s">
        <v>14</v>
      </c>
      <c r="H509" s="19" t="str">
        <f>T("607249774")</f>
        <v>607249774</v>
      </c>
      <c r="I509" s="19" t="s">
        <v>1287</v>
      </c>
      <c r="J509" s="19" t="s">
        <v>1288</v>
      </c>
      <c r="K509" s="19" t="str">
        <f>T("25870")</f>
        <v>25870</v>
      </c>
      <c r="L509" s="19" t="s">
        <v>19</v>
      </c>
      <c r="M509" s="21" t="s">
        <v>0</v>
      </c>
      <c r="N509" s="31">
        <v>45219</v>
      </c>
    </row>
    <row r="510" spans="1:14" ht="16" hidden="1" x14ac:dyDescent="0.2">
      <c r="A510" s="19" t="s">
        <v>1289</v>
      </c>
      <c r="B510" s="20">
        <v>45216</v>
      </c>
      <c r="C510" s="19" t="str">
        <f>T("330241359:0830378109")</f>
        <v>330241359:0830378109</v>
      </c>
      <c r="D510" s="19" t="str">
        <f>T("SAV23090307")</f>
        <v>SAV23090307</v>
      </c>
      <c r="E510" s="19" t="str">
        <f>T("510146138")</f>
        <v>510146138</v>
      </c>
      <c r="F510" s="19" t="s">
        <v>17</v>
      </c>
      <c r="G510" s="19" t="s">
        <v>14</v>
      </c>
      <c r="H510" s="19" t="str">
        <f>T("607249788")</f>
        <v>607249788</v>
      </c>
      <c r="I510" s="19" t="s">
        <v>1205</v>
      </c>
      <c r="J510" s="19" t="s">
        <v>1206</v>
      </c>
      <c r="K510" s="19" t="str">
        <f>T("62218")</f>
        <v>62218</v>
      </c>
      <c r="L510" s="19" t="s">
        <v>19</v>
      </c>
      <c r="M510" s="21" t="s">
        <v>0</v>
      </c>
      <c r="N510" s="31">
        <v>45217</v>
      </c>
    </row>
    <row r="511" spans="1:14" ht="16" hidden="1" x14ac:dyDescent="0.2">
      <c r="A511" s="19" t="s">
        <v>1290</v>
      </c>
      <c r="B511" s="20">
        <v>45216</v>
      </c>
      <c r="C511" s="19" t="str">
        <f>T("330241397:0830378118")</f>
        <v>330241397:0830378118</v>
      </c>
      <c r="D511" s="19" t="str">
        <f>T("170883/EX")</f>
        <v>170883/EX</v>
      </c>
      <c r="E511" s="19" t="str">
        <f>T("510146362")</f>
        <v>510146362</v>
      </c>
      <c r="F511" s="19" t="s">
        <v>17</v>
      </c>
      <c r="G511" s="19" t="s">
        <v>14</v>
      </c>
      <c r="H511" s="19" t="str">
        <f>T("607249791")</f>
        <v>607249791</v>
      </c>
      <c r="I511" s="19" t="s">
        <v>1291</v>
      </c>
      <c r="J511" s="19" t="s">
        <v>1292</v>
      </c>
      <c r="K511" s="19" t="str">
        <f>T("25400")</f>
        <v>25400</v>
      </c>
      <c r="L511" s="19" t="s">
        <v>19</v>
      </c>
      <c r="M511" s="21" t="s">
        <v>0</v>
      </c>
      <c r="N511" s="31">
        <v>45217</v>
      </c>
    </row>
    <row r="512" spans="1:14" ht="16" hidden="1" x14ac:dyDescent="0.2">
      <c r="A512" s="19" t="s">
        <v>1293</v>
      </c>
      <c r="B512" s="20">
        <v>45216</v>
      </c>
      <c r="C512" s="19" t="str">
        <f>T("330241549:0830378226")</f>
        <v>330241549:0830378226</v>
      </c>
      <c r="D512" s="19" t="str">
        <f>T("00100439-SAV 2721")</f>
        <v>00100439-SAV 2721</v>
      </c>
      <c r="E512" s="19" t="str">
        <f>T("510146717")</f>
        <v>510146717</v>
      </c>
      <c r="F512" s="19" t="s">
        <v>17</v>
      </c>
      <c r="G512" s="19" t="s">
        <v>14</v>
      </c>
      <c r="H512" s="19" t="str">
        <f>T("607249805")</f>
        <v>607249805</v>
      </c>
      <c r="I512" s="19" t="s">
        <v>1294</v>
      </c>
      <c r="J512" s="19" t="s">
        <v>1295</v>
      </c>
      <c r="K512" s="19" t="str">
        <f>T("91320")</f>
        <v>91320</v>
      </c>
      <c r="L512" s="19" t="s">
        <v>19</v>
      </c>
      <c r="M512" s="21" t="s">
        <v>0</v>
      </c>
      <c r="N512" s="31">
        <v>45217</v>
      </c>
    </row>
    <row r="513" spans="1:14" ht="16" hidden="1" x14ac:dyDescent="0.2">
      <c r="A513" s="19" t="s">
        <v>1296</v>
      </c>
      <c r="B513" s="20">
        <v>45216</v>
      </c>
      <c r="C513" s="19" t="str">
        <f>T("330241329:0830378099")</f>
        <v>330241329:0830378099</v>
      </c>
      <c r="D513" s="19" t="str">
        <f>T("BC15842-AR38627")</f>
        <v>BC15842-AR38627</v>
      </c>
      <c r="E513" s="19" t="str">
        <f>T("510146292")</f>
        <v>510146292</v>
      </c>
      <c r="F513" s="19" t="s">
        <v>17</v>
      </c>
      <c r="G513" s="19" t="s">
        <v>14</v>
      </c>
      <c r="H513" s="19" t="str">
        <f>T("607249814")</f>
        <v>607249814</v>
      </c>
      <c r="I513" s="19" t="s">
        <v>1297</v>
      </c>
      <c r="J513" s="19" t="s">
        <v>1298</v>
      </c>
      <c r="K513" s="19" t="str">
        <f>T("14120")</f>
        <v>14120</v>
      </c>
      <c r="L513" s="19" t="s">
        <v>19</v>
      </c>
      <c r="M513" s="21" t="s">
        <v>0</v>
      </c>
      <c r="N513" s="31">
        <v>45217</v>
      </c>
    </row>
    <row r="514" spans="1:14" ht="16" hidden="1" x14ac:dyDescent="0.2">
      <c r="A514" s="19" t="s">
        <v>1299</v>
      </c>
      <c r="B514" s="20">
        <v>45216</v>
      </c>
      <c r="C514" s="19" t="str">
        <f>T("330241540:0830378217")</f>
        <v>330241540:0830378217</v>
      </c>
      <c r="D514" s="19" t="str">
        <f>T("161691")</f>
        <v>161691</v>
      </c>
      <c r="E514" s="19" t="str">
        <f>T("510146501")</f>
        <v>510146501</v>
      </c>
      <c r="F514" s="19" t="s">
        <v>17</v>
      </c>
      <c r="G514" s="19" t="s">
        <v>14</v>
      </c>
      <c r="H514" s="19" t="str">
        <f>T("607249828")</f>
        <v>607249828</v>
      </c>
      <c r="I514" s="19" t="s">
        <v>1300</v>
      </c>
      <c r="J514" s="19" t="s">
        <v>1301</v>
      </c>
      <c r="K514" s="19" t="str">
        <f>T("11200")</f>
        <v>11200</v>
      </c>
      <c r="L514" s="19" t="s">
        <v>19</v>
      </c>
      <c r="M514" s="21" t="s">
        <v>0</v>
      </c>
      <c r="N514" s="31">
        <v>45218</v>
      </c>
    </row>
    <row r="515" spans="1:14" ht="16" hidden="1" x14ac:dyDescent="0.2">
      <c r="A515" s="19" t="s">
        <v>1302</v>
      </c>
      <c r="B515" s="20">
        <v>45216</v>
      </c>
      <c r="C515" s="19" t="str">
        <f>T("330241434:0830378139")</f>
        <v>330241434:0830378139</v>
      </c>
      <c r="D515" s="19" t="str">
        <f>T("LCD")</f>
        <v>LCD</v>
      </c>
      <c r="E515" s="19" t="str">
        <f>T("510146350")</f>
        <v>510146350</v>
      </c>
      <c r="F515" s="19" t="s">
        <v>17</v>
      </c>
      <c r="G515" s="19" t="s">
        <v>14</v>
      </c>
      <c r="H515" s="19" t="str">
        <f>T("607249831")</f>
        <v>607249831</v>
      </c>
      <c r="I515" s="19" t="s">
        <v>1303</v>
      </c>
      <c r="J515" s="19" t="s">
        <v>1304</v>
      </c>
      <c r="K515" s="19" t="str">
        <f>T("76110")</f>
        <v>76110</v>
      </c>
      <c r="L515" s="19" t="s">
        <v>19</v>
      </c>
      <c r="M515" s="21" t="s">
        <v>0</v>
      </c>
      <c r="N515" s="31">
        <v>45217</v>
      </c>
    </row>
    <row r="516" spans="1:14" ht="16" hidden="1" x14ac:dyDescent="0.2">
      <c r="A516" s="19" t="s">
        <v>1305</v>
      </c>
      <c r="B516" s="20">
        <v>45216</v>
      </c>
      <c r="C516" s="19" t="str">
        <f>T("330241323:0830378096")</f>
        <v>330241323:0830378096</v>
      </c>
      <c r="D516" s="19" t="str">
        <f>T("BC15796-AR38479")</f>
        <v>BC15796-AR38479</v>
      </c>
      <c r="E516" s="19" t="str">
        <f>T("510146282")</f>
        <v>510146282</v>
      </c>
      <c r="F516" s="19" t="s">
        <v>17</v>
      </c>
      <c r="G516" s="19" t="s">
        <v>14</v>
      </c>
      <c r="H516" s="19" t="str">
        <f>T("607249845")</f>
        <v>607249845</v>
      </c>
      <c r="I516" s="19" t="s">
        <v>1306</v>
      </c>
      <c r="J516" s="19" t="s">
        <v>1307</v>
      </c>
      <c r="K516" s="19" t="str">
        <f>T("35000")</f>
        <v>35000</v>
      </c>
      <c r="L516" s="19" t="s">
        <v>19</v>
      </c>
      <c r="M516" s="21" t="s">
        <v>0</v>
      </c>
      <c r="N516" s="31">
        <v>45217</v>
      </c>
    </row>
    <row r="517" spans="1:14" ht="16" hidden="1" x14ac:dyDescent="0.2">
      <c r="A517" s="19" t="s">
        <v>1308</v>
      </c>
      <c r="B517" s="20">
        <v>45216</v>
      </c>
      <c r="C517" s="19" t="str">
        <f>T("330241490:0830378204")</f>
        <v>330241490:0830378204</v>
      </c>
      <c r="D517" s="19" t="str">
        <f>T("SOL2310FBC008839-")</f>
        <v>SOL2310FBC008839-</v>
      </c>
      <c r="E517" s="19" t="str">
        <f>T("510146304")</f>
        <v>510146304</v>
      </c>
      <c r="F517" s="19" t="s">
        <v>17</v>
      </c>
      <c r="G517" s="19" t="s">
        <v>14</v>
      </c>
      <c r="H517" s="19" t="str">
        <f>T("607249859")</f>
        <v>607249859</v>
      </c>
      <c r="I517" s="19" t="s">
        <v>1184</v>
      </c>
      <c r="J517" s="19" t="s">
        <v>1185</v>
      </c>
      <c r="K517" s="19" t="str">
        <f>T("30100")</f>
        <v>30100</v>
      </c>
      <c r="L517" s="19" t="s">
        <v>19</v>
      </c>
      <c r="M517" s="21" t="s">
        <v>0</v>
      </c>
      <c r="N517" s="31">
        <v>45217</v>
      </c>
    </row>
    <row r="518" spans="1:14" ht="16" hidden="1" x14ac:dyDescent="0.2">
      <c r="A518" s="19" t="s">
        <v>1309</v>
      </c>
      <c r="B518" s="20">
        <v>45216</v>
      </c>
      <c r="C518" s="19" t="str">
        <f>T("330241491:0830378205")</f>
        <v>330241491:0830378205</v>
      </c>
      <c r="D518" s="19" t="str">
        <f>T("SOL2310FBC008859-")</f>
        <v>SOL2310FBC008859-</v>
      </c>
      <c r="E518" s="19" t="str">
        <f>T("510146327")</f>
        <v>510146327</v>
      </c>
      <c r="F518" s="19" t="s">
        <v>17</v>
      </c>
      <c r="G518" s="19" t="s">
        <v>14</v>
      </c>
      <c r="H518" s="19" t="str">
        <f>T("607249862")</f>
        <v>607249862</v>
      </c>
      <c r="I518" s="19" t="s">
        <v>1310</v>
      </c>
      <c r="J518" s="19" t="s">
        <v>1311</v>
      </c>
      <c r="K518" s="19" t="str">
        <f>T("34300")</f>
        <v>34300</v>
      </c>
      <c r="L518" s="19" t="s">
        <v>19</v>
      </c>
      <c r="M518" s="21" t="s">
        <v>0</v>
      </c>
      <c r="N518" s="31">
        <v>45218</v>
      </c>
    </row>
    <row r="519" spans="1:14" ht="16" hidden="1" x14ac:dyDescent="0.2">
      <c r="A519" s="19" t="s">
        <v>1312</v>
      </c>
      <c r="B519" s="20">
        <v>45216</v>
      </c>
      <c r="C519" s="19" t="str">
        <f>T("330241539:0830378216")</f>
        <v>330241539:0830378216</v>
      </c>
      <c r="D519" s="19" t="str">
        <f>T("BC28993 EA CRON")</f>
        <v>BC28993 EA CRON</v>
      </c>
      <c r="E519" s="19" t="str">
        <f>T("510146489")</f>
        <v>510146489</v>
      </c>
      <c r="F519" s="19" t="s">
        <v>17</v>
      </c>
      <c r="G519" s="19" t="s">
        <v>14</v>
      </c>
      <c r="H519" s="19" t="str">
        <f>T("607249876")</f>
        <v>607249876</v>
      </c>
      <c r="I519" s="19" t="s">
        <v>1313</v>
      </c>
      <c r="J519" s="19" t="s">
        <v>1314</v>
      </c>
      <c r="K519" s="19" t="str">
        <f>T("17100")</f>
        <v>17100</v>
      </c>
      <c r="L519" s="19" t="s">
        <v>19</v>
      </c>
      <c r="M519" s="21" t="s">
        <v>0</v>
      </c>
      <c r="N519" s="31">
        <v>45218</v>
      </c>
    </row>
    <row r="520" spans="1:14" ht="16" hidden="1" x14ac:dyDescent="0.2">
      <c r="A520" s="19" t="s">
        <v>1315</v>
      </c>
      <c r="B520" s="20">
        <v>45216</v>
      </c>
      <c r="C520" s="19" t="str">
        <f>T("330241346:0830378166")</f>
        <v>330241346:0830378166</v>
      </c>
      <c r="D520" s="19" t="str">
        <f>T("501230123")</f>
        <v>501230123</v>
      </c>
      <c r="E520" s="19" t="str">
        <f>T("560021946")</f>
        <v>560021946</v>
      </c>
      <c r="F520" s="19" t="s">
        <v>17</v>
      </c>
      <c r="G520" s="19" t="s">
        <v>14</v>
      </c>
      <c r="H520" s="19" t="str">
        <f>T("607249880")</f>
        <v>607249880</v>
      </c>
      <c r="I520" s="19" t="s">
        <v>1316</v>
      </c>
      <c r="J520" s="19" t="s">
        <v>1317</v>
      </c>
      <c r="K520" s="19" t="str">
        <f>T("616 00")</f>
        <v>616 00</v>
      </c>
      <c r="L520" s="19" t="s">
        <v>1215</v>
      </c>
      <c r="M520" s="21" t="s">
        <v>0</v>
      </c>
      <c r="N520" s="31">
        <v>45217</v>
      </c>
    </row>
    <row r="521" spans="1:14" ht="16" hidden="1" x14ac:dyDescent="0.2">
      <c r="A521" s="19" t="s">
        <v>1318</v>
      </c>
      <c r="B521" s="20">
        <v>45216</v>
      </c>
      <c r="C521" s="19" t="str">
        <f>T("330241352:0830378102")</f>
        <v>330241352:0830378102</v>
      </c>
      <c r="D521" s="19" t="str">
        <f>T("12731")</f>
        <v>12731</v>
      </c>
      <c r="E521" s="19" t="str">
        <f>T("510146828")</f>
        <v>510146828</v>
      </c>
      <c r="F521" s="19" t="s">
        <v>16</v>
      </c>
      <c r="G521" s="19" t="s">
        <v>14</v>
      </c>
      <c r="H521" s="19" t="str">
        <f>T("607249893")</f>
        <v>607249893</v>
      </c>
      <c r="I521" s="19" t="s">
        <v>1319</v>
      </c>
      <c r="J521" s="19" t="s">
        <v>1320</v>
      </c>
      <c r="K521" s="19" t="str">
        <f>T("91570")</f>
        <v>91570</v>
      </c>
      <c r="L521" s="19" t="s">
        <v>19</v>
      </c>
      <c r="M521" s="21" t="s">
        <v>0</v>
      </c>
      <c r="N521" s="31">
        <v>45218</v>
      </c>
    </row>
    <row r="522" spans="1:14" ht="16" hidden="1" x14ac:dyDescent="0.2">
      <c r="A522" s="19" t="s">
        <v>1321</v>
      </c>
      <c r="B522" s="20">
        <v>45216</v>
      </c>
      <c r="C522" s="19" t="str">
        <f>T("330241301:0830378083")</f>
        <v>330241301:0830378083</v>
      </c>
      <c r="D522" s="19" t="str">
        <f>T("COLLEC")</f>
        <v>COLLEC</v>
      </c>
      <c r="E522" s="19" t="str">
        <f>T("510146082")</f>
        <v>510146082</v>
      </c>
      <c r="F522" s="19" t="s">
        <v>17</v>
      </c>
      <c r="G522" s="19" t="s">
        <v>14</v>
      </c>
      <c r="H522" s="19" t="str">
        <f>T("607249902")</f>
        <v>607249902</v>
      </c>
      <c r="I522" s="19" t="s">
        <v>1132</v>
      </c>
      <c r="J522" s="19" t="s">
        <v>1133</v>
      </c>
      <c r="K522" s="19" t="str">
        <f>T("29160")</f>
        <v>29160</v>
      </c>
      <c r="L522" s="19" t="s">
        <v>19</v>
      </c>
      <c r="M522" s="21" t="s">
        <v>0</v>
      </c>
      <c r="N522" s="31">
        <v>45217</v>
      </c>
    </row>
    <row r="523" spans="1:14" ht="16" hidden="1" x14ac:dyDescent="0.2">
      <c r="A523" s="19" t="s">
        <v>1322</v>
      </c>
      <c r="B523" s="20">
        <v>45216</v>
      </c>
      <c r="C523" s="19" t="str">
        <f>T("330241446:0830378148")</f>
        <v>330241446:0830378148</v>
      </c>
      <c r="D523" s="19" t="str">
        <f>T("WC-SISSIA")</f>
        <v>WC-SISSIA</v>
      </c>
      <c r="E523" s="19" t="str">
        <f>T("510146709")</f>
        <v>510146709</v>
      </c>
      <c r="F523" s="19" t="s">
        <v>16</v>
      </c>
      <c r="G523" s="19" t="s">
        <v>14</v>
      </c>
      <c r="H523" s="19" t="str">
        <f>T("607249916")</f>
        <v>607249916</v>
      </c>
      <c r="I523" s="19" t="s">
        <v>47</v>
      </c>
      <c r="J523" s="19" t="s">
        <v>1323</v>
      </c>
      <c r="K523" s="19" t="str">
        <f>T("13420")</f>
        <v>13420</v>
      </c>
      <c r="L523" s="19" t="s">
        <v>19</v>
      </c>
      <c r="M523" s="21" t="s">
        <v>0</v>
      </c>
      <c r="N523" s="31">
        <v>45217</v>
      </c>
    </row>
    <row r="524" spans="1:14" ht="16" hidden="1" x14ac:dyDescent="0.2">
      <c r="A524" s="19" t="s">
        <v>1324</v>
      </c>
      <c r="B524" s="20">
        <v>45216</v>
      </c>
      <c r="C524" s="19" t="str">
        <f>T("330241461:0830378187")</f>
        <v>330241461:0830378187</v>
      </c>
      <c r="D524" s="19" t="str">
        <f>T("CDC127892 SB0002")</f>
        <v>CDC127892 SB0002</v>
      </c>
      <c r="E524" s="19" t="str">
        <f>T("510146380")</f>
        <v>510146380</v>
      </c>
      <c r="F524" s="19" t="s">
        <v>17</v>
      </c>
      <c r="G524" s="19" t="s">
        <v>14</v>
      </c>
      <c r="H524" s="19" t="str">
        <f>T("607249920")</f>
        <v>607249920</v>
      </c>
      <c r="I524" s="19" t="s">
        <v>1325</v>
      </c>
      <c r="J524" s="19" t="s">
        <v>1326</v>
      </c>
      <c r="K524" s="19" t="str">
        <f>T("16160")</f>
        <v>16160</v>
      </c>
      <c r="L524" s="19" t="s">
        <v>19</v>
      </c>
      <c r="M524" s="21" t="s">
        <v>0</v>
      </c>
      <c r="N524" s="31">
        <v>45218</v>
      </c>
    </row>
    <row r="525" spans="1:14" ht="16" hidden="1" x14ac:dyDescent="0.2">
      <c r="A525" s="19" t="s">
        <v>1327</v>
      </c>
      <c r="B525" s="20">
        <v>45216</v>
      </c>
      <c r="C525" s="19" t="str">
        <f>T("330241433:0830378138")</f>
        <v>330241433:0830378138</v>
      </c>
      <c r="D525" s="19" t="str">
        <f>T("BICHOT")</f>
        <v>BICHOT</v>
      </c>
      <c r="E525" s="19" t="str">
        <f>T("510146349")</f>
        <v>510146349</v>
      </c>
      <c r="F525" s="19" t="s">
        <v>17</v>
      </c>
      <c r="G525" s="19" t="s">
        <v>14</v>
      </c>
      <c r="H525" s="19" t="str">
        <f>T("607249933")</f>
        <v>607249933</v>
      </c>
      <c r="I525" s="19" t="s">
        <v>369</v>
      </c>
      <c r="J525" s="19" t="s">
        <v>381</v>
      </c>
      <c r="K525" s="19" t="str">
        <f>T("36000")</f>
        <v>36000</v>
      </c>
      <c r="L525" s="19" t="s">
        <v>19</v>
      </c>
      <c r="M525" s="21" t="s">
        <v>0</v>
      </c>
      <c r="N525" s="31">
        <v>45218</v>
      </c>
    </row>
    <row r="526" spans="1:14" ht="16" hidden="1" x14ac:dyDescent="0.2">
      <c r="A526" s="19" t="s">
        <v>1328</v>
      </c>
      <c r="B526" s="20">
        <v>45216</v>
      </c>
      <c r="C526" s="19" t="str">
        <f>T("330241467:0830378190")</f>
        <v>330241467:0830378190</v>
      </c>
      <c r="D526" s="19" t="str">
        <f>T("8300")</f>
        <v>8300</v>
      </c>
      <c r="E526" s="19" t="str">
        <f>T("510146852")</f>
        <v>510146852</v>
      </c>
      <c r="F526" s="19" t="s">
        <v>17</v>
      </c>
      <c r="G526" s="19" t="s">
        <v>14</v>
      </c>
      <c r="H526" s="19" t="str">
        <f>T("607249947")</f>
        <v>607249947</v>
      </c>
      <c r="I526" s="19" t="s">
        <v>1329</v>
      </c>
      <c r="J526" s="19" t="s">
        <v>1330</v>
      </c>
      <c r="K526" s="19" t="str">
        <f>T("54700")</f>
        <v>54700</v>
      </c>
      <c r="L526" s="19" t="s">
        <v>19</v>
      </c>
      <c r="M526" s="21" t="s">
        <v>0</v>
      </c>
      <c r="N526" s="31">
        <v>45218</v>
      </c>
    </row>
    <row r="527" spans="1:14" ht="16" hidden="1" x14ac:dyDescent="0.2">
      <c r="A527" s="19" t="s">
        <v>1331</v>
      </c>
      <c r="B527" s="20">
        <v>45216</v>
      </c>
      <c r="C527" s="19" t="str">
        <f>T("330241475:0830378196")</f>
        <v>330241475:0830378196</v>
      </c>
      <c r="D527" s="19" t="str">
        <f>T("SOL2310FBC008763-")</f>
        <v>SOL2310FBC008763-</v>
      </c>
      <c r="E527" s="19" t="str">
        <f>T("510146194")</f>
        <v>510146194</v>
      </c>
      <c r="F527" s="19" t="s">
        <v>17</v>
      </c>
      <c r="G527" s="19" t="s">
        <v>14</v>
      </c>
      <c r="H527" s="19" t="str">
        <f>T("607249955")</f>
        <v>607249955</v>
      </c>
      <c r="I527" s="19" t="s">
        <v>1332</v>
      </c>
      <c r="J527" s="19" t="s">
        <v>1333</v>
      </c>
      <c r="K527" s="19" t="str">
        <f>T("19100")</f>
        <v>19100</v>
      </c>
      <c r="L527" s="19" t="s">
        <v>19</v>
      </c>
      <c r="M527" s="21" t="s">
        <v>0</v>
      </c>
      <c r="N527" s="31">
        <v>45218</v>
      </c>
    </row>
    <row r="528" spans="1:14" ht="16" hidden="1" x14ac:dyDescent="0.2">
      <c r="A528" s="19" t="s">
        <v>1334</v>
      </c>
      <c r="B528" s="20">
        <v>45216</v>
      </c>
      <c r="C528" s="19" t="str">
        <f>T("330241544:0830378221")</f>
        <v>330241544:0830378221</v>
      </c>
      <c r="D528" s="19" t="str">
        <f>T("161727")</f>
        <v>161727</v>
      </c>
      <c r="E528" s="19" t="str">
        <f>T("510146509")</f>
        <v>510146509</v>
      </c>
      <c r="F528" s="19" t="s">
        <v>17</v>
      </c>
      <c r="G528" s="19" t="s">
        <v>14</v>
      </c>
      <c r="H528" s="19" t="str">
        <f>T("607249964")</f>
        <v>607249964</v>
      </c>
      <c r="I528" s="19" t="s">
        <v>670</v>
      </c>
      <c r="J528" s="19" t="s">
        <v>689</v>
      </c>
      <c r="K528" s="19" t="str">
        <f>T("20600")</f>
        <v>20600</v>
      </c>
      <c r="L528" s="19" t="s">
        <v>19</v>
      </c>
      <c r="M528" s="21" t="s">
        <v>0</v>
      </c>
      <c r="N528" s="31">
        <v>45218</v>
      </c>
    </row>
    <row r="529" spans="1:14" ht="16" hidden="1" x14ac:dyDescent="0.2">
      <c r="A529" s="19" t="s">
        <v>1335</v>
      </c>
      <c r="B529" s="20">
        <v>45216</v>
      </c>
      <c r="C529" s="19" t="str">
        <f>T("330241335:0830378161")</f>
        <v>330241335:0830378161</v>
      </c>
      <c r="D529" s="19" t="str">
        <f>T("230118")</f>
        <v>230118</v>
      </c>
      <c r="E529" s="19" t="str">
        <f>T("560021813")</f>
        <v>560021813</v>
      </c>
      <c r="F529" s="19" t="s">
        <v>17</v>
      </c>
      <c r="G529" s="19" t="s">
        <v>14</v>
      </c>
      <c r="H529" s="19" t="str">
        <f>T("607249978")</f>
        <v>607249978</v>
      </c>
      <c r="I529" s="19" t="s">
        <v>1316</v>
      </c>
      <c r="J529" s="19" t="s">
        <v>1317</v>
      </c>
      <c r="K529" s="19" t="str">
        <f>T("616 00")</f>
        <v>616 00</v>
      </c>
      <c r="L529" s="19" t="s">
        <v>1215</v>
      </c>
      <c r="M529" s="21" t="s">
        <v>0</v>
      </c>
      <c r="N529" s="31">
        <v>45217</v>
      </c>
    </row>
    <row r="530" spans="1:14" ht="16" hidden="1" x14ac:dyDescent="0.2">
      <c r="A530" s="19" t="s">
        <v>1336</v>
      </c>
      <c r="B530" s="20">
        <v>45216</v>
      </c>
      <c r="C530" s="19" t="str">
        <f>T("330241535:0830378212")</f>
        <v>330241535:0830378212</v>
      </c>
      <c r="D530" s="19" t="str">
        <f>T("161596")</f>
        <v>161596</v>
      </c>
      <c r="E530" s="19" t="str">
        <f>T("510146463")</f>
        <v>510146463</v>
      </c>
      <c r="F530" s="19" t="s">
        <v>17</v>
      </c>
      <c r="G530" s="19" t="s">
        <v>14</v>
      </c>
      <c r="H530" s="19" t="str">
        <f>T("607249981")</f>
        <v>607249981</v>
      </c>
      <c r="I530" s="19" t="s">
        <v>1337</v>
      </c>
      <c r="J530" s="19" t="s">
        <v>1338</v>
      </c>
      <c r="K530" s="19" t="str">
        <f>T("20110")</f>
        <v>20110</v>
      </c>
      <c r="L530" s="19" t="s">
        <v>19</v>
      </c>
      <c r="M530" s="21" t="s">
        <v>0</v>
      </c>
      <c r="N530" s="31">
        <v>45218</v>
      </c>
    </row>
    <row r="531" spans="1:14" ht="16" hidden="1" x14ac:dyDescent="0.2">
      <c r="A531" s="19" t="s">
        <v>1339</v>
      </c>
      <c r="B531" s="20">
        <v>45216</v>
      </c>
      <c r="C531" s="19" t="str">
        <f>T("330241451:0830378152")</f>
        <v>330241451:0830378152</v>
      </c>
      <c r="D531" s="19" t="str">
        <f>T("LA BRASSERIE")</f>
        <v>LA BRASSERIE</v>
      </c>
      <c r="E531" s="19" t="str">
        <f>T("510146889")</f>
        <v>510146889</v>
      </c>
      <c r="F531" s="19" t="s">
        <v>16</v>
      </c>
      <c r="G531" s="19" t="s">
        <v>14</v>
      </c>
      <c r="H531" s="19" t="str">
        <f>T("607249995")</f>
        <v>607249995</v>
      </c>
      <c r="I531" s="19" t="s">
        <v>1340</v>
      </c>
      <c r="J531" s="19" t="s">
        <v>1341</v>
      </c>
      <c r="K531" s="19" t="str">
        <f>T("71300")</f>
        <v>71300</v>
      </c>
      <c r="L531" s="19" t="s">
        <v>19</v>
      </c>
      <c r="M531" s="21" t="s">
        <v>0</v>
      </c>
      <c r="N531" s="31">
        <v>45217</v>
      </c>
    </row>
    <row r="532" spans="1:14" ht="16" hidden="1" x14ac:dyDescent="0.2">
      <c r="A532" s="19" t="s">
        <v>1342</v>
      </c>
      <c r="B532" s="20">
        <v>45216</v>
      </c>
      <c r="C532" s="19" t="str">
        <f>T("330241471:0830378194")</f>
        <v>330241471:0830378194</v>
      </c>
      <c r="D532" s="19" t="str">
        <f>T("23090132/NB")</f>
        <v>23090132/NB</v>
      </c>
      <c r="E532" s="19" t="str">
        <f>T("510146111")</f>
        <v>510146111</v>
      </c>
      <c r="F532" s="19" t="s">
        <v>17</v>
      </c>
      <c r="G532" s="19" t="s">
        <v>14</v>
      </c>
      <c r="H532" s="19" t="str">
        <f>T("607250004")</f>
        <v>607250004</v>
      </c>
      <c r="I532" s="19" t="s">
        <v>1343</v>
      </c>
      <c r="J532" s="19" t="s">
        <v>1344</v>
      </c>
      <c r="K532" s="19" t="str">
        <f>T("33185")</f>
        <v>33185</v>
      </c>
      <c r="L532" s="19" t="s">
        <v>19</v>
      </c>
      <c r="M532" s="21" t="s">
        <v>0</v>
      </c>
      <c r="N532" s="31">
        <v>45217</v>
      </c>
    </row>
    <row r="533" spans="1:14" ht="16" x14ac:dyDescent="0.2">
      <c r="A533" s="19" t="s">
        <v>1345</v>
      </c>
      <c r="B533" s="20">
        <v>45216</v>
      </c>
      <c r="C533" s="19" t="str">
        <f>T("330241452:0830378153")</f>
        <v>330241452:0830378153</v>
      </c>
      <c r="D533" s="19" t="str">
        <f>T("93223")</f>
        <v>93223</v>
      </c>
      <c r="E533" s="19" t="str">
        <f>T("510146092")</f>
        <v>510146092</v>
      </c>
      <c r="F533" s="19" t="s">
        <v>17</v>
      </c>
      <c r="G533" s="19" t="s">
        <v>14</v>
      </c>
      <c r="H533" s="19" t="str">
        <f>T("607250021")</f>
        <v>607250021</v>
      </c>
      <c r="I533" s="19" t="s">
        <v>1259</v>
      </c>
      <c r="J533" s="19" t="s">
        <v>1260</v>
      </c>
      <c r="K533" s="19" t="str">
        <f>T("85280")</f>
        <v>85280</v>
      </c>
      <c r="L533" s="19" t="s">
        <v>19</v>
      </c>
      <c r="M533" s="21" t="s">
        <v>1</v>
      </c>
      <c r="N533" s="21"/>
    </row>
    <row r="534" spans="1:14" ht="16" hidden="1" x14ac:dyDescent="0.2">
      <c r="A534" s="19" t="s">
        <v>1346</v>
      </c>
      <c r="B534" s="20">
        <v>45216</v>
      </c>
      <c r="C534" s="19" t="str">
        <f>T("330241560:0830378256")</f>
        <v>330241560:0830378256</v>
      </c>
      <c r="D534" s="19" t="str">
        <f>T("4102023")</f>
        <v>4102023</v>
      </c>
      <c r="E534" s="19" t="str">
        <f>T("560021857")</f>
        <v>560021857</v>
      </c>
      <c r="F534" s="19" t="s">
        <v>16</v>
      </c>
      <c r="G534" s="19" t="s">
        <v>14</v>
      </c>
      <c r="H534" s="19" t="str">
        <f>T("607250066")</f>
        <v>607250066</v>
      </c>
      <c r="I534" s="19" t="s">
        <v>694</v>
      </c>
      <c r="J534" s="19" t="s">
        <v>695</v>
      </c>
      <c r="K534" s="19" t="str">
        <f>T("42100")</f>
        <v>42100</v>
      </c>
      <c r="L534" s="19" t="s">
        <v>18</v>
      </c>
      <c r="M534" s="21" t="s">
        <v>0</v>
      </c>
      <c r="N534" s="31">
        <v>45218</v>
      </c>
    </row>
    <row r="535" spans="1:14" ht="16" hidden="1" x14ac:dyDescent="0.2">
      <c r="A535" s="19" t="s">
        <v>1347</v>
      </c>
      <c r="B535" s="20">
        <v>45216</v>
      </c>
      <c r="C535" s="19" t="str">
        <f>T("330241553:0830378229")</f>
        <v>330241553:0830378229</v>
      </c>
      <c r="D535" s="19" t="str">
        <f>T("C507158427")</f>
        <v>C507158427</v>
      </c>
      <c r="E535" s="19" t="str">
        <f>T("510146780")</f>
        <v>510146780</v>
      </c>
      <c r="F535" s="19" t="s">
        <v>17</v>
      </c>
      <c r="G535" s="19" t="s">
        <v>14</v>
      </c>
      <c r="H535" s="19" t="str">
        <f>T("607250070")</f>
        <v>607250070</v>
      </c>
      <c r="I535" s="19" t="s">
        <v>1210</v>
      </c>
      <c r="J535" s="19" t="s">
        <v>1348</v>
      </c>
      <c r="K535" s="19" t="str">
        <f>T("33600")</f>
        <v>33600</v>
      </c>
      <c r="L535" s="19" t="s">
        <v>19</v>
      </c>
      <c r="M535" s="21" t="s">
        <v>0</v>
      </c>
      <c r="N535" s="31">
        <v>45217</v>
      </c>
    </row>
    <row r="536" spans="1:14" ht="16" hidden="1" x14ac:dyDescent="0.2">
      <c r="A536" s="19" t="s">
        <v>1349</v>
      </c>
      <c r="B536" s="20">
        <v>45216</v>
      </c>
      <c r="C536" s="19" t="str">
        <f>T("330241356:0830378106")</f>
        <v>330241356:0830378106</v>
      </c>
      <c r="D536" s="19" t="str">
        <f>T("CDC127643 V0004 S")</f>
        <v>CDC127643 V0004 S</v>
      </c>
      <c r="E536" s="19" t="str">
        <f>T("510146254")</f>
        <v>510146254</v>
      </c>
      <c r="F536" s="19" t="s">
        <v>17</v>
      </c>
      <c r="G536" s="19" t="s">
        <v>14</v>
      </c>
      <c r="H536" s="19" t="str">
        <f>T("607250083")</f>
        <v>607250083</v>
      </c>
      <c r="I536" s="19" t="s">
        <v>620</v>
      </c>
      <c r="J536" s="19" t="s">
        <v>621</v>
      </c>
      <c r="K536" s="19" t="str">
        <f>T("64990")</f>
        <v>64990</v>
      </c>
      <c r="L536" s="19" t="s">
        <v>19</v>
      </c>
      <c r="M536" s="21" t="s">
        <v>0</v>
      </c>
      <c r="N536" s="31">
        <v>45218</v>
      </c>
    </row>
    <row r="537" spans="1:14" ht="16" hidden="1" x14ac:dyDescent="0.2">
      <c r="A537" s="19" t="s">
        <v>1350</v>
      </c>
      <c r="B537" s="20">
        <v>45216</v>
      </c>
      <c r="C537" s="19" t="str">
        <f>T("330241403:0830378124")</f>
        <v>330241403:0830378124</v>
      </c>
      <c r="D537" s="19" t="str">
        <f>T("171200/EX")</f>
        <v>171200/EX</v>
      </c>
      <c r="E537" s="19" t="str">
        <f>T("510146372")</f>
        <v>510146372</v>
      </c>
      <c r="F537" s="19" t="s">
        <v>17</v>
      </c>
      <c r="G537" s="19" t="s">
        <v>14</v>
      </c>
      <c r="H537" s="19" t="str">
        <f>T("607250097")</f>
        <v>607250097</v>
      </c>
      <c r="I537" s="19" t="s">
        <v>1291</v>
      </c>
      <c r="J537" s="19" t="s">
        <v>1292</v>
      </c>
      <c r="K537" s="19" t="str">
        <f>T("25400")</f>
        <v>25400</v>
      </c>
      <c r="L537" s="19" t="s">
        <v>19</v>
      </c>
      <c r="M537" s="21" t="s">
        <v>0</v>
      </c>
      <c r="N537" s="31">
        <v>45217</v>
      </c>
    </row>
    <row r="538" spans="1:14" ht="16" hidden="1" x14ac:dyDescent="0.2">
      <c r="A538" s="19" t="s">
        <v>1351</v>
      </c>
      <c r="B538" s="20">
        <v>45216</v>
      </c>
      <c r="C538" s="19" t="str">
        <f>T("330241494:0830378208")</f>
        <v>330241494:0830378208</v>
      </c>
      <c r="D538" s="19" t="str">
        <f>T("HOUDART 041023")</f>
        <v>HOUDART 041023</v>
      </c>
      <c r="E538" s="19" t="str">
        <f>T("510146332")</f>
        <v>510146332</v>
      </c>
      <c r="F538" s="19" t="s">
        <v>17</v>
      </c>
      <c r="G538" s="19" t="s">
        <v>14</v>
      </c>
      <c r="H538" s="19" t="str">
        <f>T("607250106")</f>
        <v>607250106</v>
      </c>
      <c r="I538" s="19" t="s">
        <v>290</v>
      </c>
      <c r="J538" s="19" t="s">
        <v>291</v>
      </c>
      <c r="K538" s="19" t="str">
        <f>T("77550")</f>
        <v>77550</v>
      </c>
      <c r="L538" s="19" t="s">
        <v>19</v>
      </c>
      <c r="M538" s="21" t="s">
        <v>0</v>
      </c>
      <c r="N538" s="31">
        <v>45217</v>
      </c>
    </row>
    <row r="539" spans="1:14" ht="16" hidden="1" x14ac:dyDescent="0.2">
      <c r="A539" s="19" t="s">
        <v>1352</v>
      </c>
      <c r="B539" s="20">
        <v>45216</v>
      </c>
      <c r="C539" s="19" t="str">
        <f>T("330241541:0830378218")</f>
        <v>330241541:0830378218</v>
      </c>
      <c r="D539" s="19" t="str">
        <f>T("161704")</f>
        <v>161704</v>
      </c>
      <c r="E539" s="19" t="str">
        <f>T("510146505")</f>
        <v>510146505</v>
      </c>
      <c r="F539" s="19" t="s">
        <v>17</v>
      </c>
      <c r="G539" s="19" t="s">
        <v>14</v>
      </c>
      <c r="H539" s="19" t="str">
        <f>T("607250110")</f>
        <v>607250110</v>
      </c>
      <c r="I539" s="19" t="s">
        <v>670</v>
      </c>
      <c r="J539" s="19" t="s">
        <v>689</v>
      </c>
      <c r="K539" s="19" t="str">
        <f>T("20600")</f>
        <v>20600</v>
      </c>
      <c r="L539" s="19" t="s">
        <v>19</v>
      </c>
      <c r="M539" s="21" t="s">
        <v>0</v>
      </c>
      <c r="N539" s="31">
        <v>45218</v>
      </c>
    </row>
    <row r="540" spans="1:14" ht="16" hidden="1" x14ac:dyDescent="0.2">
      <c r="A540" s="19" t="s">
        <v>1353</v>
      </c>
      <c r="B540" s="20">
        <v>45216</v>
      </c>
      <c r="C540" s="19" t="str">
        <f>T("330241478:0830378197")</f>
        <v>330241478:0830378197</v>
      </c>
      <c r="D540" s="19" t="str">
        <f>T("WC PETIT ROUBIS")</f>
        <v>WC PETIT ROUBIS</v>
      </c>
      <c r="E540" s="19" t="str">
        <f>T("510146590")</f>
        <v>510146590</v>
      </c>
      <c r="F540" s="19" t="s">
        <v>17</v>
      </c>
      <c r="G540" s="19" t="s">
        <v>14</v>
      </c>
      <c r="H540" s="19" t="str">
        <f>T("607250123")</f>
        <v>607250123</v>
      </c>
      <c r="I540" s="19" t="s">
        <v>1354</v>
      </c>
      <c r="J540" s="19" t="s">
        <v>1355</v>
      </c>
      <c r="K540" s="19" t="str">
        <f>T("47480")</f>
        <v>47480</v>
      </c>
      <c r="L540" s="19" t="s">
        <v>19</v>
      </c>
      <c r="M540" s="21" t="s">
        <v>0</v>
      </c>
      <c r="N540" s="31">
        <v>45218</v>
      </c>
    </row>
    <row r="541" spans="1:14" ht="16" hidden="1" x14ac:dyDescent="0.2">
      <c r="A541" s="19" t="s">
        <v>1356</v>
      </c>
      <c r="B541" s="20">
        <v>45216</v>
      </c>
      <c r="C541" s="19" t="str">
        <f>T("330241534:0830378211")</f>
        <v>330241534:0830378211</v>
      </c>
      <c r="D541" s="19" t="str">
        <f>T("161593")</f>
        <v>161593</v>
      </c>
      <c r="E541" s="19" t="str">
        <f>T("510146462")</f>
        <v>510146462</v>
      </c>
      <c r="F541" s="19" t="s">
        <v>17</v>
      </c>
      <c r="G541" s="19" t="s">
        <v>14</v>
      </c>
      <c r="H541" s="19" t="str">
        <f>T("607250137")</f>
        <v>607250137</v>
      </c>
      <c r="I541" s="19" t="s">
        <v>670</v>
      </c>
      <c r="J541" s="19" t="s">
        <v>689</v>
      </c>
      <c r="K541" s="19" t="str">
        <f>T("20600")</f>
        <v>20600</v>
      </c>
      <c r="L541" s="19" t="s">
        <v>19</v>
      </c>
      <c r="M541" s="21" t="s">
        <v>0</v>
      </c>
      <c r="N541" s="31">
        <v>45218</v>
      </c>
    </row>
    <row r="542" spans="1:14" ht="16" hidden="1" x14ac:dyDescent="0.2">
      <c r="A542" s="19" t="s">
        <v>1357</v>
      </c>
      <c r="B542" s="20">
        <v>45216</v>
      </c>
      <c r="C542" s="19" t="str">
        <f>T("330241423:0830378132")</f>
        <v>330241423:0830378132</v>
      </c>
      <c r="D542" s="19" t="str">
        <f>T("CDC127566 AB0133")</f>
        <v>CDC127566 AB0133</v>
      </c>
      <c r="E542" s="19" t="str">
        <f>T("510146242")</f>
        <v>510146242</v>
      </c>
      <c r="F542" s="19" t="s">
        <v>17</v>
      </c>
      <c r="G542" s="19" t="s">
        <v>14</v>
      </c>
      <c r="H542" s="19" t="str">
        <f>T("607250145")</f>
        <v>607250145</v>
      </c>
      <c r="I542" s="19" t="s">
        <v>1358</v>
      </c>
      <c r="J542" s="19" t="s">
        <v>1359</v>
      </c>
      <c r="K542" s="19" t="str">
        <f>T("86000")</f>
        <v>86000</v>
      </c>
      <c r="L542" s="19" t="s">
        <v>19</v>
      </c>
      <c r="M542" s="21" t="s">
        <v>0</v>
      </c>
      <c r="N542" s="31">
        <v>45218</v>
      </c>
    </row>
    <row r="543" spans="1:14" ht="16" hidden="1" x14ac:dyDescent="0.2">
      <c r="A543" s="19" t="s">
        <v>1360</v>
      </c>
      <c r="B543" s="20">
        <v>45216</v>
      </c>
      <c r="C543" s="19" t="str">
        <f>T("330241542:0830378219")</f>
        <v>330241542:0830378219</v>
      </c>
      <c r="D543" s="19" t="str">
        <f>T("WC-GIGAFIT")</f>
        <v>WC-GIGAFIT</v>
      </c>
      <c r="E543" s="19" t="str">
        <f>T("510146646")</f>
        <v>510146646</v>
      </c>
      <c r="F543" s="19" t="s">
        <v>17</v>
      </c>
      <c r="G543" s="19" t="s">
        <v>14</v>
      </c>
      <c r="H543" s="19" t="str">
        <f>T("607250154")</f>
        <v>607250154</v>
      </c>
      <c r="I543" s="19" t="s">
        <v>1361</v>
      </c>
      <c r="J543" s="19" t="s">
        <v>1362</v>
      </c>
      <c r="K543" s="19" t="str">
        <f>T("06300")</f>
        <v>06300</v>
      </c>
      <c r="L543" s="19" t="s">
        <v>19</v>
      </c>
      <c r="M543" s="21" t="s">
        <v>0</v>
      </c>
      <c r="N543" s="31">
        <v>45217</v>
      </c>
    </row>
    <row r="544" spans="1:14" ht="16" hidden="1" x14ac:dyDescent="0.2">
      <c r="A544" s="19" t="s">
        <v>1363</v>
      </c>
      <c r="B544" s="20">
        <v>45216</v>
      </c>
      <c r="C544" s="19" t="str">
        <f>T("330241419:0830378129")</f>
        <v>330241419:0830378129</v>
      </c>
      <c r="D544" s="19" t="str">
        <f>T("00100340-8049")</f>
        <v>00100340-8049</v>
      </c>
      <c r="E544" s="19" t="str">
        <f>T("510146355")</f>
        <v>510146355</v>
      </c>
      <c r="F544" s="19" t="s">
        <v>16</v>
      </c>
      <c r="G544" s="19" t="s">
        <v>14</v>
      </c>
      <c r="H544" s="19" t="str">
        <f>T("607250168")</f>
        <v>607250168</v>
      </c>
      <c r="I544" s="19" t="s">
        <v>394</v>
      </c>
      <c r="J544" s="19" t="s">
        <v>41</v>
      </c>
      <c r="K544" s="19" t="str">
        <f>T("59370")</f>
        <v>59370</v>
      </c>
      <c r="L544" s="19" t="s">
        <v>19</v>
      </c>
      <c r="M544" s="21" t="s">
        <v>0</v>
      </c>
      <c r="N544" s="31">
        <v>45218</v>
      </c>
    </row>
    <row r="545" spans="1:14" ht="16" hidden="1" x14ac:dyDescent="0.2">
      <c r="A545" s="19" t="s">
        <v>1364</v>
      </c>
      <c r="B545" s="20">
        <v>45216</v>
      </c>
      <c r="C545" s="19" t="str">
        <f>T("330241531:0830378255")</f>
        <v>330241531:0830378255</v>
      </c>
      <c r="D545" s="19" t="str">
        <f>T("Tempcold")</f>
        <v>Tempcold</v>
      </c>
      <c r="E545" s="19" t="str">
        <f>T("560021771")</f>
        <v>560021771</v>
      </c>
      <c r="F545" s="19" t="s">
        <v>17</v>
      </c>
      <c r="G545" s="19" t="s">
        <v>14</v>
      </c>
      <c r="H545" s="19" t="str">
        <f>T("607250171")</f>
        <v>607250171</v>
      </c>
      <c r="I545" s="19" t="s">
        <v>1365</v>
      </c>
      <c r="J545" s="19" t="s">
        <v>1176</v>
      </c>
      <c r="K545" s="19" t="str">
        <f>T("01-939")</f>
        <v>01-939</v>
      </c>
      <c r="L545" s="19" t="s">
        <v>20</v>
      </c>
      <c r="M545" s="21" t="s">
        <v>0</v>
      </c>
      <c r="N545" s="31">
        <v>45217</v>
      </c>
    </row>
    <row r="546" spans="1:14" ht="16" hidden="1" x14ac:dyDescent="0.2">
      <c r="A546" s="19" t="s">
        <v>1366</v>
      </c>
      <c r="B546" s="20">
        <v>45216</v>
      </c>
      <c r="C546" s="19" t="str">
        <f>T("330241342:0830378165")</f>
        <v>330241342:0830378165</v>
      </c>
      <c r="D546" s="19" t="str">
        <f>T("Tempcold")</f>
        <v>Tempcold</v>
      </c>
      <c r="E546" s="19" t="str">
        <f>T("560021913")</f>
        <v>560021913</v>
      </c>
      <c r="F546" s="19" t="s">
        <v>16</v>
      </c>
      <c r="G546" s="19" t="s">
        <v>14</v>
      </c>
      <c r="H546" s="19" t="str">
        <f>T("607250199")</f>
        <v>607250199</v>
      </c>
      <c r="I546" s="19" t="s">
        <v>1367</v>
      </c>
      <c r="J546" s="19" t="s">
        <v>1176</v>
      </c>
      <c r="K546" s="19" t="str">
        <f>T("42-500")</f>
        <v>42-500</v>
      </c>
      <c r="L546" s="19" t="s">
        <v>20</v>
      </c>
      <c r="M546" s="21" t="s">
        <v>0</v>
      </c>
      <c r="N546" s="31">
        <v>45219</v>
      </c>
    </row>
    <row r="547" spans="1:14" ht="16" hidden="1" x14ac:dyDescent="0.2">
      <c r="A547" s="19" t="s">
        <v>1368</v>
      </c>
      <c r="B547" s="20">
        <v>45216</v>
      </c>
      <c r="C547" s="19" t="str">
        <f>T("330241487:0830378203")</f>
        <v>330241487:0830378203</v>
      </c>
      <c r="D547" s="19" t="str">
        <f>T("SOL2310FBC008783-")</f>
        <v>SOL2310FBC008783-</v>
      </c>
      <c r="E547" s="19" t="str">
        <f>T("510146208")</f>
        <v>510146208</v>
      </c>
      <c r="F547" s="19" t="s">
        <v>17</v>
      </c>
      <c r="G547" s="19" t="s">
        <v>14</v>
      </c>
      <c r="H547" s="19" t="str">
        <f>T("607250185")</f>
        <v>607250185</v>
      </c>
      <c r="I547" s="19" t="s">
        <v>1369</v>
      </c>
      <c r="J547" s="19" t="s">
        <v>1370</v>
      </c>
      <c r="K547" s="19" t="str">
        <f>T("31400")</f>
        <v>31400</v>
      </c>
      <c r="L547" s="19" t="s">
        <v>19</v>
      </c>
      <c r="M547" s="21" t="s">
        <v>0</v>
      </c>
      <c r="N547" s="31">
        <v>45217</v>
      </c>
    </row>
    <row r="548" spans="1:14" ht="16" hidden="1" x14ac:dyDescent="0.2">
      <c r="A548" s="19" t="s">
        <v>1371</v>
      </c>
      <c r="B548" s="20">
        <v>45216</v>
      </c>
      <c r="C548" s="19" t="str">
        <f>T("330241550:0830378227")</f>
        <v>330241550:0830378227</v>
      </c>
      <c r="D548" s="19" t="str">
        <f>T("00100440-11344 GU")</f>
        <v>00100440-11344 GU</v>
      </c>
      <c r="E548" s="19" t="str">
        <f>T("510146718")</f>
        <v>510146718</v>
      </c>
      <c r="F548" s="19" t="s">
        <v>17</v>
      </c>
      <c r="G548" s="19" t="s">
        <v>14</v>
      </c>
      <c r="H548" s="19" t="str">
        <f>T("607250208")</f>
        <v>607250208</v>
      </c>
      <c r="I548" s="19" t="s">
        <v>1372</v>
      </c>
      <c r="J548" s="19" t="s">
        <v>1373</v>
      </c>
      <c r="K548" s="19" t="str">
        <f>T("41120")</f>
        <v>41120</v>
      </c>
      <c r="L548" s="19" t="s">
        <v>19</v>
      </c>
      <c r="M548" s="21" t="s">
        <v>0</v>
      </c>
      <c r="N548" s="31">
        <v>45217</v>
      </c>
    </row>
    <row r="549" spans="1:14" ht="16" hidden="1" x14ac:dyDescent="0.2">
      <c r="A549" s="19" t="s">
        <v>1374</v>
      </c>
      <c r="B549" s="20">
        <v>45216</v>
      </c>
      <c r="C549" s="19" t="str">
        <f>T("330241420:0830378130")</f>
        <v>330241420:0830378130</v>
      </c>
      <c r="D549" s="19" t="str">
        <f>T("00100343-SAV 2120")</f>
        <v>00100343-SAV 2120</v>
      </c>
      <c r="E549" s="19" t="str">
        <f>T("510146384")</f>
        <v>510146384</v>
      </c>
      <c r="F549" s="19" t="s">
        <v>17</v>
      </c>
      <c r="G549" s="19" t="s">
        <v>14</v>
      </c>
      <c r="H549" s="19" t="str">
        <f>T("607250211")</f>
        <v>607250211</v>
      </c>
      <c r="I549" s="19" t="s">
        <v>205</v>
      </c>
      <c r="J549" s="19" t="s">
        <v>206</v>
      </c>
      <c r="K549" s="19" t="str">
        <f>T("83160")</f>
        <v>83160</v>
      </c>
      <c r="L549" s="19" t="s">
        <v>19</v>
      </c>
      <c r="M549" s="21" t="s">
        <v>0</v>
      </c>
      <c r="N549" s="31">
        <v>45218</v>
      </c>
    </row>
    <row r="550" spans="1:14" ht="16" hidden="1" x14ac:dyDescent="0.2">
      <c r="A550" s="19" t="s">
        <v>1375</v>
      </c>
      <c r="B550" s="20">
        <v>45216</v>
      </c>
      <c r="C550" s="19" t="str">
        <f>T("330241530:0830378254")</f>
        <v>330241530:0830378254</v>
      </c>
      <c r="D550" s="19" t="str">
        <f>T("23VO00367")</f>
        <v>23VO00367</v>
      </c>
      <c r="E550" s="19" t="str">
        <f>T("560021768")</f>
        <v>560021768</v>
      </c>
      <c r="F550" s="19" t="s">
        <v>16</v>
      </c>
      <c r="G550" s="19" t="s">
        <v>14</v>
      </c>
      <c r="H550" s="19" t="str">
        <f>T("607250225")</f>
        <v>607250225</v>
      </c>
      <c r="I550" s="19" t="s">
        <v>1213</v>
      </c>
      <c r="J550" s="19" t="s">
        <v>1214</v>
      </c>
      <c r="K550" s="19" t="str">
        <f>T("627 00")</f>
        <v>627 00</v>
      </c>
      <c r="L550" s="19" t="s">
        <v>1215</v>
      </c>
      <c r="M550" s="21" t="s">
        <v>0</v>
      </c>
      <c r="N550" s="24">
        <v>45219</v>
      </c>
    </row>
    <row r="551" spans="1:14" ht="16" x14ac:dyDescent="0.2">
      <c r="A551" s="19" t="s">
        <v>1376</v>
      </c>
      <c r="B551" s="20">
        <v>45216</v>
      </c>
      <c r="C551" s="19" t="str">
        <f>T("330241492:0830378206")</f>
        <v>330241492:0830378206</v>
      </c>
      <c r="D551" s="19" t="str">
        <f>T("SOL2310FBC008860-")</f>
        <v>SOL2310FBC008860-</v>
      </c>
      <c r="E551" s="19" t="str">
        <f>T("510146328")</f>
        <v>510146328</v>
      </c>
      <c r="F551" s="19" t="s">
        <v>17</v>
      </c>
      <c r="G551" s="19" t="s">
        <v>14</v>
      </c>
      <c r="H551" s="19" t="str">
        <f>T("607250239")</f>
        <v>607250239</v>
      </c>
      <c r="I551" s="19" t="s">
        <v>1377</v>
      </c>
      <c r="J551" s="19" t="s">
        <v>1378</v>
      </c>
      <c r="K551" s="19" t="str">
        <f>T("11100")</f>
        <v>11100</v>
      </c>
      <c r="L551" s="19" t="s">
        <v>19</v>
      </c>
      <c r="M551" s="21" t="s">
        <v>1</v>
      </c>
      <c r="N551" s="21"/>
    </row>
    <row r="552" spans="1:14" ht="16" hidden="1" x14ac:dyDescent="0.2">
      <c r="A552" s="19" t="s">
        <v>1379</v>
      </c>
      <c r="B552" s="20">
        <v>45216</v>
      </c>
      <c r="C552" s="19" t="str">
        <f>T("330241536:0830378213")</f>
        <v>330241536:0830378213</v>
      </c>
      <c r="D552" s="19" t="str">
        <f>T("161601")</f>
        <v>161601</v>
      </c>
      <c r="E552" s="19" t="str">
        <f>T("510146466")</f>
        <v>510146466</v>
      </c>
      <c r="F552" s="19" t="s">
        <v>17</v>
      </c>
      <c r="G552" s="19" t="s">
        <v>14</v>
      </c>
      <c r="H552" s="19" t="str">
        <f>T("607250242")</f>
        <v>607250242</v>
      </c>
      <c r="I552" s="19" t="s">
        <v>1380</v>
      </c>
      <c r="J552" s="19" t="s">
        <v>1381</v>
      </c>
      <c r="K552" s="19" t="str">
        <f>T("78960")</f>
        <v>78960</v>
      </c>
      <c r="L552" s="19" t="s">
        <v>19</v>
      </c>
      <c r="M552" s="21" t="s">
        <v>0</v>
      </c>
      <c r="N552" s="31">
        <v>45218</v>
      </c>
    </row>
    <row r="553" spans="1:14" ht="16" hidden="1" x14ac:dyDescent="0.2">
      <c r="A553" s="19" t="s">
        <v>1382</v>
      </c>
      <c r="B553" s="20">
        <v>45216</v>
      </c>
      <c r="C553" s="19" t="str">
        <f>T("330241548:0830378225")</f>
        <v>330241548:0830378225</v>
      </c>
      <c r="D553" s="19" t="str">
        <f>T("00100434-8059")</f>
        <v>00100434-8059</v>
      </c>
      <c r="E553" s="19" t="str">
        <f>T("510146716")</f>
        <v>510146716</v>
      </c>
      <c r="F553" s="19" t="s">
        <v>17</v>
      </c>
      <c r="G553" s="19" t="s">
        <v>14</v>
      </c>
      <c r="H553" s="19" t="str">
        <f>T("607250256")</f>
        <v>607250256</v>
      </c>
      <c r="I553" s="19" t="s">
        <v>1383</v>
      </c>
      <c r="J553" s="19" t="s">
        <v>1384</v>
      </c>
      <c r="K553" s="19" t="str">
        <f>T("62690")</f>
        <v>62690</v>
      </c>
      <c r="L553" s="19" t="s">
        <v>19</v>
      </c>
      <c r="M553" s="21" t="s">
        <v>0</v>
      </c>
      <c r="N553" s="31">
        <v>45217</v>
      </c>
    </row>
    <row r="554" spans="1:14" ht="16" hidden="1" x14ac:dyDescent="0.2">
      <c r="A554" s="19" t="s">
        <v>1385</v>
      </c>
      <c r="B554" s="20">
        <v>45216</v>
      </c>
      <c r="C554" s="19" t="str">
        <f>T("330241394:0830378183")</f>
        <v>330241394:0830378183</v>
      </c>
      <c r="D554" s="19" t="str">
        <f>T("769-JCH-IT")</f>
        <v>769-JCH-IT</v>
      </c>
      <c r="E554" s="19" t="str">
        <f>T("560021992")</f>
        <v>560021992</v>
      </c>
      <c r="F554" s="19" t="s">
        <v>16</v>
      </c>
      <c r="G554" s="19" t="s">
        <v>14</v>
      </c>
      <c r="H554" s="19" t="str">
        <f>T("607250260")</f>
        <v>607250260</v>
      </c>
      <c r="I554" s="19" t="s">
        <v>1006</v>
      </c>
      <c r="J554" s="19" t="s">
        <v>1007</v>
      </c>
      <c r="K554" s="19" t="str">
        <f>T("22075")</f>
        <v>22075</v>
      </c>
      <c r="L554" s="19" t="s">
        <v>18</v>
      </c>
      <c r="M554" s="21" t="s">
        <v>0</v>
      </c>
      <c r="N554" s="31">
        <v>45218</v>
      </c>
    </row>
    <row r="555" spans="1:14" ht="16" hidden="1" x14ac:dyDescent="0.2">
      <c r="A555" s="19" t="s">
        <v>1386</v>
      </c>
      <c r="B555" s="20">
        <v>45216</v>
      </c>
      <c r="C555" s="19" t="str">
        <f>T("330241485:0830378201")</f>
        <v>330241485:0830378201</v>
      </c>
      <c r="D555" s="19" t="str">
        <f>T("SOL2309FBC008326-")</f>
        <v>SOL2309FBC008326-</v>
      </c>
      <c r="E555" s="19" t="str">
        <f>T("510146203")</f>
        <v>510146203</v>
      </c>
      <c r="F555" s="19" t="s">
        <v>17</v>
      </c>
      <c r="G555" s="19" t="s">
        <v>14</v>
      </c>
      <c r="H555" s="19" t="str">
        <f>T("607250273")</f>
        <v>607250273</v>
      </c>
      <c r="I555" s="19" t="s">
        <v>1279</v>
      </c>
      <c r="J555" s="19" t="s">
        <v>1280</v>
      </c>
      <c r="K555" s="19" t="str">
        <f>T("31120")</f>
        <v>31120</v>
      </c>
      <c r="L555" s="19" t="s">
        <v>19</v>
      </c>
      <c r="M555" s="21" t="s">
        <v>0</v>
      </c>
      <c r="N555" s="31">
        <v>45218</v>
      </c>
    </row>
    <row r="556" spans="1:14" ht="16" hidden="1" x14ac:dyDescent="0.2">
      <c r="A556" s="19" t="s">
        <v>1387</v>
      </c>
      <c r="B556" s="20">
        <v>45216</v>
      </c>
      <c r="C556" s="19" t="str">
        <f>T("330241468:0830378191")</f>
        <v>330241468:0830378191</v>
      </c>
      <c r="D556" s="19" t="str">
        <f>T("CENTAURE SAV - 36")</f>
        <v>CENTAURE SAV - 36</v>
      </c>
      <c r="E556" s="19" t="str">
        <f>T("510146873")</f>
        <v>510146873</v>
      </c>
      <c r="F556" s="19" t="s">
        <v>17</v>
      </c>
      <c r="G556" s="19" t="s">
        <v>14</v>
      </c>
      <c r="H556" s="19" t="str">
        <f>T("607250287")</f>
        <v>607250287</v>
      </c>
      <c r="I556" s="19" t="s">
        <v>1388</v>
      </c>
      <c r="J556" s="19" t="s">
        <v>1389</v>
      </c>
      <c r="K556" s="19" t="str">
        <f>T("91630")</f>
        <v>91630</v>
      </c>
      <c r="L556" s="19" t="s">
        <v>19</v>
      </c>
      <c r="M556" s="21" t="s">
        <v>0</v>
      </c>
      <c r="N556" s="31">
        <v>45217</v>
      </c>
    </row>
    <row r="557" spans="1:14" ht="16" hidden="1" x14ac:dyDescent="0.2">
      <c r="A557" s="19" t="s">
        <v>1390</v>
      </c>
      <c r="B557" s="20">
        <v>45216</v>
      </c>
      <c r="C557" s="19" t="str">
        <f>T("330241497:0830378209")</f>
        <v>330241497:0830378209</v>
      </c>
      <c r="D557" s="19" t="str">
        <f>T("161583")</f>
        <v>161583</v>
      </c>
      <c r="E557" s="19" t="str">
        <f>T("510146458")</f>
        <v>510146458</v>
      </c>
      <c r="F557" s="19" t="s">
        <v>17</v>
      </c>
      <c r="G557" s="19" t="s">
        <v>14</v>
      </c>
      <c r="H557" s="19" t="str">
        <f>T("607250295")</f>
        <v>607250295</v>
      </c>
      <c r="I557" s="19" t="s">
        <v>1391</v>
      </c>
      <c r="J557" s="19" t="s">
        <v>1392</v>
      </c>
      <c r="K557" s="19" t="str">
        <f>T("83520")</f>
        <v>83520</v>
      </c>
      <c r="L557" s="19" t="s">
        <v>19</v>
      </c>
      <c r="M557" s="21" t="s">
        <v>0</v>
      </c>
      <c r="N557" s="31">
        <v>45218</v>
      </c>
    </row>
    <row r="558" spans="1:14" ht="16" hidden="1" x14ac:dyDescent="0.2">
      <c r="A558" s="19" t="s">
        <v>1393</v>
      </c>
      <c r="B558" s="20">
        <v>45216</v>
      </c>
      <c r="C558" s="19" t="str">
        <f>T("330241493:0830378207")</f>
        <v>330241493:0830378207</v>
      </c>
      <c r="D558" s="19" t="str">
        <f>T("Bruno FOUCHER")</f>
        <v>Bruno FOUCHER</v>
      </c>
      <c r="E558" s="19" t="str">
        <f>T("510146329")</f>
        <v>510146329</v>
      </c>
      <c r="F558" s="19" t="s">
        <v>17</v>
      </c>
      <c r="G558" s="19" t="s">
        <v>14</v>
      </c>
      <c r="H558" s="19" t="str">
        <f>T("607250300")</f>
        <v>607250300</v>
      </c>
      <c r="I558" s="19" t="s">
        <v>48</v>
      </c>
      <c r="J558" s="19" t="s">
        <v>1394</v>
      </c>
      <c r="K558" s="19" t="str">
        <f>T("50700")</f>
        <v>50700</v>
      </c>
      <c r="L558" s="19" t="s">
        <v>19</v>
      </c>
      <c r="M558" s="21" t="s">
        <v>0</v>
      </c>
      <c r="N558" s="31">
        <v>45218</v>
      </c>
    </row>
    <row r="559" spans="1:14" ht="16" hidden="1" x14ac:dyDescent="0.2">
      <c r="A559" s="19" t="s">
        <v>1395</v>
      </c>
      <c r="B559" s="20">
        <v>45216</v>
      </c>
      <c r="C559" s="19" t="str">
        <f>T("330241546:0830378223")</f>
        <v>330241546:0830378223</v>
      </c>
      <c r="D559" s="19" t="str">
        <f>T("2312743-ROFFAT JU")</f>
        <v>2312743-ROFFAT JU</v>
      </c>
      <c r="E559" s="19" t="str">
        <f>T("510146712")</f>
        <v>510146712</v>
      </c>
      <c r="F559" s="19" t="s">
        <v>17</v>
      </c>
      <c r="G559" s="19" t="s">
        <v>14</v>
      </c>
      <c r="H559" s="19" t="str">
        <f>T("607250313")</f>
        <v>607250313</v>
      </c>
      <c r="I559" s="19" t="s">
        <v>1396</v>
      </c>
      <c r="J559" s="19" t="s">
        <v>1397</v>
      </c>
      <c r="K559" s="19" t="str">
        <f>T("69400")</f>
        <v>69400</v>
      </c>
      <c r="L559" s="19" t="s">
        <v>19</v>
      </c>
      <c r="M559" s="21" t="s">
        <v>0</v>
      </c>
      <c r="N559" s="31">
        <v>45217</v>
      </c>
    </row>
    <row r="560" spans="1:14" ht="16" hidden="1" x14ac:dyDescent="0.2">
      <c r="A560" s="19" t="s">
        <v>1398</v>
      </c>
      <c r="B560" s="20">
        <v>45216</v>
      </c>
      <c r="C560" s="19" t="str">
        <f>T("330241474:0830378195")</f>
        <v>330241474:0830378195</v>
      </c>
      <c r="D560" s="19" t="str">
        <f>T("RF/C2300040/30940")</f>
        <v>RF/C2300040/30940</v>
      </c>
      <c r="E560" s="19" t="str">
        <f>T("510146178")</f>
        <v>510146178</v>
      </c>
      <c r="F560" s="19" t="s">
        <v>17</v>
      </c>
      <c r="G560" s="19" t="s">
        <v>14</v>
      </c>
      <c r="H560" s="19" t="str">
        <f>T("607250327")</f>
        <v>607250327</v>
      </c>
      <c r="I560" s="19" t="s">
        <v>1399</v>
      </c>
      <c r="J560" s="19" t="s">
        <v>1400</v>
      </c>
      <c r="K560" s="19" t="str">
        <f>T("63430")</f>
        <v>63430</v>
      </c>
      <c r="L560" s="19" t="s">
        <v>19</v>
      </c>
      <c r="M560" s="21" t="s">
        <v>0</v>
      </c>
      <c r="N560" s="31">
        <v>45218</v>
      </c>
    </row>
    <row r="561" spans="1:14" ht="16" hidden="1" x14ac:dyDescent="0.2">
      <c r="A561" s="19" t="s">
        <v>1401</v>
      </c>
      <c r="B561" s="20">
        <v>45216</v>
      </c>
      <c r="C561" s="19" t="str">
        <f>T("330241355:0830378105")</f>
        <v>330241355:0830378105</v>
      </c>
      <c r="D561" s="19" t="str">
        <f>T("MALANO")</f>
        <v>MALANO</v>
      </c>
      <c r="E561" s="19" t="str">
        <f>T("510146339")</f>
        <v>510146339</v>
      </c>
      <c r="F561" s="19" t="s">
        <v>16</v>
      </c>
      <c r="G561" s="19" t="s">
        <v>14</v>
      </c>
      <c r="H561" s="19" t="str">
        <f>T("607250335")</f>
        <v>607250335</v>
      </c>
      <c r="I561" s="19" t="s">
        <v>391</v>
      </c>
      <c r="J561" s="19" t="s">
        <v>392</v>
      </c>
      <c r="K561" s="19" t="str">
        <f>T("94340")</f>
        <v>94340</v>
      </c>
      <c r="L561" s="19" t="s">
        <v>19</v>
      </c>
      <c r="M561" s="21" t="s">
        <v>0</v>
      </c>
      <c r="N561" s="31">
        <v>45218</v>
      </c>
    </row>
    <row r="562" spans="1:14" ht="16" x14ac:dyDescent="0.2">
      <c r="A562" s="19" t="s">
        <v>1402</v>
      </c>
      <c r="B562" s="20">
        <v>45216</v>
      </c>
      <c r="C562" s="19" t="str">
        <f>T("330241354:0830378104")</f>
        <v>330241354:0830378104</v>
      </c>
      <c r="D562" s="19" t="str">
        <f>T("230904290")</f>
        <v>230904290</v>
      </c>
      <c r="E562" s="19" t="str">
        <f>T("510146823")</f>
        <v>510146823</v>
      </c>
      <c r="F562" s="19" t="s">
        <v>17</v>
      </c>
      <c r="G562" s="19" t="s">
        <v>14</v>
      </c>
      <c r="H562" s="19" t="str">
        <f>T("607250344")</f>
        <v>607250344</v>
      </c>
      <c r="I562" s="19" t="s">
        <v>700</v>
      </c>
      <c r="J562" s="19" t="s">
        <v>701</v>
      </c>
      <c r="K562" s="19" t="str">
        <f>T("31140")</f>
        <v>31140</v>
      </c>
      <c r="L562" s="19" t="s">
        <v>19</v>
      </c>
      <c r="M562" s="21" t="s">
        <v>1</v>
      </c>
      <c r="N562" s="21"/>
    </row>
    <row r="563" spans="1:14" ht="16" hidden="1" x14ac:dyDescent="0.2">
      <c r="A563" s="19" t="s">
        <v>1403</v>
      </c>
      <c r="B563" s="20">
        <v>45216</v>
      </c>
      <c r="C563" s="19" t="str">
        <f>T("330241470:0830378193")</f>
        <v>330241470:0830378193</v>
      </c>
      <c r="D563" s="19" t="str">
        <f>T("23090190")</f>
        <v>23090190</v>
      </c>
      <c r="E563" s="19" t="str">
        <f>T("510146104")</f>
        <v>510146104</v>
      </c>
      <c r="F563" s="19" t="s">
        <v>17</v>
      </c>
      <c r="G563" s="19" t="s">
        <v>14</v>
      </c>
      <c r="H563" s="19" t="str">
        <f>T("607250358")</f>
        <v>607250358</v>
      </c>
      <c r="I563" s="19" t="s">
        <v>1404</v>
      </c>
      <c r="J563" s="19" t="s">
        <v>1405</v>
      </c>
      <c r="K563" s="19" t="str">
        <f>T("32000")</f>
        <v>32000</v>
      </c>
      <c r="L563" s="19" t="s">
        <v>19</v>
      </c>
      <c r="M563" s="21" t="s">
        <v>0</v>
      </c>
      <c r="N563" s="31">
        <v>45217</v>
      </c>
    </row>
    <row r="564" spans="1:14" ht="16" hidden="1" x14ac:dyDescent="0.2">
      <c r="A564" s="19" t="s">
        <v>1406</v>
      </c>
      <c r="B564" s="20">
        <v>45216</v>
      </c>
      <c r="C564" s="19" t="str">
        <f>T("330241504:0830378237")</f>
        <v>330241504:0830378237</v>
      </c>
      <c r="D564" s="19" t="str">
        <f>T("NOI")</f>
        <v>NOI</v>
      </c>
      <c r="E564" s="19" t="str">
        <f>T("560021931")</f>
        <v>560021931</v>
      </c>
      <c r="F564" s="19" t="s">
        <v>16</v>
      </c>
      <c r="G564" s="19" t="s">
        <v>14</v>
      </c>
      <c r="H564" s="19" t="str">
        <f>T("607250361")</f>
        <v>607250361</v>
      </c>
      <c r="I564" s="19" t="s">
        <v>1407</v>
      </c>
      <c r="J564" s="19" t="s">
        <v>1408</v>
      </c>
      <c r="K564" s="19" t="str">
        <f>T("16129")</f>
        <v>16129</v>
      </c>
      <c r="L564" s="19" t="s">
        <v>18</v>
      </c>
      <c r="M564" s="21" t="s">
        <v>0</v>
      </c>
      <c r="N564" s="31">
        <v>45218</v>
      </c>
    </row>
    <row r="565" spans="1:14" ht="16" hidden="1" x14ac:dyDescent="0.2">
      <c r="A565" s="19" t="s">
        <v>1409</v>
      </c>
      <c r="B565" s="20">
        <v>45216</v>
      </c>
      <c r="C565" s="19" t="str">
        <f>T("330241482:0830378200")</f>
        <v>330241482:0830378200</v>
      </c>
      <c r="D565" s="19" t="str">
        <f>T("WC-SALOME2")</f>
        <v>WC-SALOME2</v>
      </c>
      <c r="E565" s="19" t="str">
        <f>T("510146649")</f>
        <v>510146649</v>
      </c>
      <c r="F565" s="19" t="s">
        <v>17</v>
      </c>
      <c r="G565" s="19" t="s">
        <v>14</v>
      </c>
      <c r="H565" s="19" t="str">
        <f>T("607250375")</f>
        <v>607250375</v>
      </c>
      <c r="I565" s="19" t="s">
        <v>1410</v>
      </c>
      <c r="J565" s="19" t="s">
        <v>1411</v>
      </c>
      <c r="K565" s="19" t="str">
        <f>T("41500")</f>
        <v>41500</v>
      </c>
      <c r="L565" s="19" t="s">
        <v>19</v>
      </c>
      <c r="M565" s="21" t="s">
        <v>0</v>
      </c>
      <c r="N565" s="31">
        <v>45217</v>
      </c>
    </row>
    <row r="566" spans="1:14" ht="16" hidden="1" x14ac:dyDescent="0.2">
      <c r="A566" s="19" t="s">
        <v>1412</v>
      </c>
      <c r="B566" s="20">
        <v>45216</v>
      </c>
      <c r="C566" s="19" t="str">
        <f>T("330241575:0830378327")</f>
        <v>330241575:0830378327</v>
      </c>
      <c r="D566" s="19" t="str">
        <f>T("161600")</f>
        <v>161600</v>
      </c>
      <c r="E566" s="19" t="str">
        <f>T("510146464")</f>
        <v>510146464</v>
      </c>
      <c r="F566" s="19" t="s">
        <v>17</v>
      </c>
      <c r="G566" s="19" t="s">
        <v>14</v>
      </c>
      <c r="H566" s="19" t="str">
        <f>T("607250389")</f>
        <v>607250389</v>
      </c>
      <c r="I566" s="19" t="s">
        <v>1413</v>
      </c>
      <c r="J566" s="19" t="s">
        <v>1414</v>
      </c>
      <c r="K566" s="19" t="str">
        <f>T("06130")</f>
        <v>06130</v>
      </c>
      <c r="L566" s="19" t="s">
        <v>19</v>
      </c>
      <c r="M566" s="21" t="s">
        <v>0</v>
      </c>
      <c r="N566" s="31">
        <v>45217</v>
      </c>
    </row>
    <row r="567" spans="1:14" ht="16" hidden="1" x14ac:dyDescent="0.2">
      <c r="A567" s="19" t="s">
        <v>1415</v>
      </c>
      <c r="B567" s="20">
        <v>45216</v>
      </c>
      <c r="C567" s="19" t="str">
        <f>T("330241459:0830378186")</f>
        <v>330241459:0830378186</v>
      </c>
      <c r="D567" s="19" t="str">
        <f>T("CDC127877 B0004 S")</f>
        <v>CDC127877 B0004 S</v>
      </c>
      <c r="E567" s="19" t="str">
        <f>T("510146368")</f>
        <v>510146368</v>
      </c>
      <c r="F567" s="19" t="s">
        <v>17</v>
      </c>
      <c r="G567" s="19" t="s">
        <v>14</v>
      </c>
      <c r="H567" s="19" t="str">
        <f>T("607250392")</f>
        <v>607250392</v>
      </c>
      <c r="I567" s="19" t="s">
        <v>629</v>
      </c>
      <c r="J567" s="19" t="s">
        <v>630</v>
      </c>
      <c r="K567" s="19" t="str">
        <f>T("40110")</f>
        <v>40110</v>
      </c>
      <c r="L567" s="19" t="s">
        <v>19</v>
      </c>
      <c r="M567" s="21" t="s">
        <v>0</v>
      </c>
      <c r="N567" s="31">
        <v>45218</v>
      </c>
    </row>
    <row r="568" spans="1:14" ht="16" hidden="1" x14ac:dyDescent="0.2">
      <c r="A568" s="19" t="s">
        <v>1416</v>
      </c>
      <c r="B568" s="20">
        <v>45216</v>
      </c>
      <c r="C568" s="19" t="str">
        <f>T("330241340:0830378164")</f>
        <v>330241340:0830378164</v>
      </c>
      <c r="D568" s="19" t="str">
        <f>T("zam/05/10/2023")</f>
        <v>zam/05/10/2023</v>
      </c>
      <c r="E568" s="19" t="str">
        <f>T("560021904")</f>
        <v>560021904</v>
      </c>
      <c r="F568" s="19" t="s">
        <v>16</v>
      </c>
      <c r="G568" s="19" t="s">
        <v>14</v>
      </c>
      <c r="H568" s="19" t="str">
        <f>T("607250432")</f>
        <v>607250432</v>
      </c>
      <c r="I568" s="19" t="s">
        <v>1270</v>
      </c>
      <c r="J568" s="19" t="s">
        <v>1271</v>
      </c>
      <c r="K568" s="19" t="str">
        <f>T("05-840")</f>
        <v>05-840</v>
      </c>
      <c r="L568" s="19" t="s">
        <v>20</v>
      </c>
      <c r="M568" s="21" t="s">
        <v>0</v>
      </c>
      <c r="N568" s="31">
        <v>45219</v>
      </c>
    </row>
    <row r="569" spans="1:14" ht="16" hidden="1" x14ac:dyDescent="0.2">
      <c r="A569" s="19" t="s">
        <v>1417</v>
      </c>
      <c r="B569" s="20">
        <v>45216</v>
      </c>
      <c r="C569" s="19" t="str">
        <f>T("330241538:0830378215")</f>
        <v>330241538:0830378215</v>
      </c>
      <c r="D569" s="19" t="str">
        <f>T("CF103847/CF103848")</f>
        <v>CF103847/CF103848</v>
      </c>
      <c r="E569" s="19" t="str">
        <f>T("510146436")</f>
        <v>510146436</v>
      </c>
      <c r="F569" s="19" t="s">
        <v>17</v>
      </c>
      <c r="G569" s="19" t="s">
        <v>14</v>
      </c>
      <c r="H569" s="19" t="str">
        <f>T("607250415")</f>
        <v>607250415</v>
      </c>
      <c r="I569" s="19" t="s">
        <v>34</v>
      </c>
      <c r="J569" s="19" t="s">
        <v>716</v>
      </c>
      <c r="K569" s="19" t="str">
        <f>T("63100")</f>
        <v>63100</v>
      </c>
      <c r="L569" s="19" t="s">
        <v>19</v>
      </c>
      <c r="M569" s="21" t="s">
        <v>0</v>
      </c>
      <c r="N569" s="31">
        <v>45218</v>
      </c>
    </row>
    <row r="570" spans="1:14" ht="16" hidden="1" x14ac:dyDescent="0.2">
      <c r="A570" s="19" t="s">
        <v>1418</v>
      </c>
      <c r="B570" s="20">
        <v>45216</v>
      </c>
      <c r="C570" s="19" t="str">
        <f>T("330241407:0830378125")</f>
        <v>330241407:0830378125</v>
      </c>
      <c r="D570" s="19" t="str">
        <f>T("SOL2309FBC008675-")</f>
        <v>SOL2309FBC008675-</v>
      </c>
      <c r="E570" s="19" t="str">
        <f>T("510145978")</f>
        <v>510145978</v>
      </c>
      <c r="F570" s="19" t="s">
        <v>16</v>
      </c>
      <c r="G570" s="19" t="s">
        <v>14</v>
      </c>
      <c r="H570" s="19" t="str">
        <f>T("607250429")</f>
        <v>607250429</v>
      </c>
      <c r="I570" s="19" t="s">
        <v>1135</v>
      </c>
      <c r="J570" s="19" t="s">
        <v>1136</v>
      </c>
      <c r="K570" s="19" t="str">
        <f>T("31100")</f>
        <v>31100</v>
      </c>
      <c r="L570" s="19" t="s">
        <v>19</v>
      </c>
      <c r="M570" s="21" t="s">
        <v>0</v>
      </c>
      <c r="N570" s="31">
        <v>45222</v>
      </c>
    </row>
    <row r="571" spans="1:14" ht="16" hidden="1" x14ac:dyDescent="0.2">
      <c r="A571" s="19" t="s">
        <v>1419</v>
      </c>
      <c r="B571" s="20">
        <v>45216</v>
      </c>
      <c r="C571" s="19" t="str">
        <f>T("330241424:0830378133")</f>
        <v>330241424:0830378133</v>
      </c>
      <c r="D571" s="19" t="str">
        <f>T("CDC127644 G0049 S")</f>
        <v>CDC127644 G0049 S</v>
      </c>
      <c r="E571" s="19" t="str">
        <f>T("510146256")</f>
        <v>510146256</v>
      </c>
      <c r="F571" s="19" t="s">
        <v>16</v>
      </c>
      <c r="G571" s="19" t="s">
        <v>14</v>
      </c>
      <c r="H571" s="19" t="str">
        <f>T("607250446")</f>
        <v>607250446</v>
      </c>
      <c r="I571" s="19" t="s">
        <v>1420</v>
      </c>
      <c r="J571" s="19" t="s">
        <v>1421</v>
      </c>
      <c r="K571" s="19" t="str">
        <f>T("64310")</f>
        <v>64310</v>
      </c>
      <c r="L571" s="19" t="s">
        <v>19</v>
      </c>
      <c r="M571" s="21" t="s">
        <v>0</v>
      </c>
      <c r="N571" s="31">
        <v>45219</v>
      </c>
    </row>
    <row r="572" spans="1:14" ht="16" hidden="1" x14ac:dyDescent="0.2">
      <c r="A572" s="19" t="s">
        <v>1422</v>
      </c>
      <c r="B572" s="20">
        <v>45216</v>
      </c>
      <c r="C572" s="19" t="str">
        <f>T("330241579:0830378330")</f>
        <v>330241579:0830378330</v>
      </c>
      <c r="D572" s="19" t="str">
        <f>T("00100330-SAV RAM5")</f>
        <v>00100330-SAV RAM5</v>
      </c>
      <c r="E572" s="19" t="str">
        <f>T("510146351")</f>
        <v>510146351</v>
      </c>
      <c r="F572" s="19" t="s">
        <v>17</v>
      </c>
      <c r="G572" s="19" t="s">
        <v>14</v>
      </c>
      <c r="H572" s="19" t="str">
        <f>T("607250450")</f>
        <v>607250450</v>
      </c>
      <c r="I572" s="19" t="s">
        <v>225</v>
      </c>
      <c r="J572" s="19" t="s">
        <v>226</v>
      </c>
      <c r="K572" s="19" t="str">
        <f>T("06370")</f>
        <v>06370</v>
      </c>
      <c r="L572" s="19" t="s">
        <v>19</v>
      </c>
      <c r="M572" s="21" t="s">
        <v>0</v>
      </c>
      <c r="N572" s="31">
        <v>45217</v>
      </c>
    </row>
    <row r="573" spans="1:14" ht="16" hidden="1" x14ac:dyDescent="0.2">
      <c r="A573" s="19" t="s">
        <v>1423</v>
      </c>
      <c r="B573" s="20">
        <v>45216</v>
      </c>
      <c r="C573" s="19" t="str">
        <f>T("330241400:0830378121")</f>
        <v>330241400:0830378121</v>
      </c>
      <c r="D573" s="19" t="str">
        <f>T("171196/DI")</f>
        <v>171196/DI</v>
      </c>
      <c r="E573" s="19" t="str">
        <f>T("510146365")</f>
        <v>510146365</v>
      </c>
      <c r="F573" s="19" t="s">
        <v>16</v>
      </c>
      <c r="G573" s="19" t="s">
        <v>14</v>
      </c>
      <c r="H573" s="19" t="str">
        <f>T("607250463")</f>
        <v>607250463</v>
      </c>
      <c r="I573" s="19" t="s">
        <v>1217</v>
      </c>
      <c r="J573" s="19" t="s">
        <v>1218</v>
      </c>
      <c r="K573" s="19" t="str">
        <f>T("21000")</f>
        <v>21000</v>
      </c>
      <c r="L573" s="19" t="s">
        <v>19</v>
      </c>
      <c r="M573" s="21" t="s">
        <v>0</v>
      </c>
      <c r="N573" s="31">
        <v>45219</v>
      </c>
    </row>
    <row r="574" spans="1:14" ht="16" hidden="1" x14ac:dyDescent="0.2">
      <c r="A574" s="19" t="s">
        <v>1424</v>
      </c>
      <c r="B574" s="20">
        <v>45216</v>
      </c>
      <c r="C574" s="19" t="str">
        <f>T("330241585:0830378332")</f>
        <v>330241585:0830378332</v>
      </c>
      <c r="D574" s="19" t="str">
        <f>T("00100352-SAV 2023")</f>
        <v>00100352-SAV 2023</v>
      </c>
      <c r="E574" s="19" t="str">
        <f>T("510146404")</f>
        <v>510146404</v>
      </c>
      <c r="F574" s="19" t="s">
        <v>17</v>
      </c>
      <c r="G574" s="19" t="s">
        <v>14</v>
      </c>
      <c r="H574" s="19" t="str">
        <f>T("607250477")</f>
        <v>607250477</v>
      </c>
      <c r="I574" s="19" t="s">
        <v>1425</v>
      </c>
      <c r="J574" s="19" t="s">
        <v>1426</v>
      </c>
      <c r="K574" s="19" t="str">
        <f>T("06100")</f>
        <v>06100</v>
      </c>
      <c r="L574" s="19" t="s">
        <v>19</v>
      </c>
      <c r="M574" s="21" t="s">
        <v>0</v>
      </c>
      <c r="N574" s="31">
        <v>45217</v>
      </c>
    </row>
    <row r="575" spans="1:14" ht="16" hidden="1" x14ac:dyDescent="0.2">
      <c r="A575" s="19" t="s">
        <v>1427</v>
      </c>
      <c r="B575" s="20">
        <v>45216</v>
      </c>
      <c r="C575" s="19" t="str">
        <f>T("330241569:0830378322")</f>
        <v>330241569:0830378322</v>
      </c>
      <c r="D575" s="19" t="str">
        <f>T("CC300465")</f>
        <v>CC300465</v>
      </c>
      <c r="E575" s="19" t="str">
        <f>T("510146308")</f>
        <v>510146308</v>
      </c>
      <c r="F575" s="19" t="s">
        <v>17</v>
      </c>
      <c r="G575" s="19" t="s">
        <v>14</v>
      </c>
      <c r="H575" s="19" t="str">
        <f>T("607250485")</f>
        <v>607250485</v>
      </c>
      <c r="I575" s="19" t="s">
        <v>1428</v>
      </c>
      <c r="J575" s="19" t="s">
        <v>1429</v>
      </c>
      <c r="K575" s="19" t="str">
        <f>T("03500")</f>
        <v>03500</v>
      </c>
      <c r="L575" s="19" t="s">
        <v>19</v>
      </c>
      <c r="M575" s="21" t="s">
        <v>0</v>
      </c>
      <c r="N575" s="31">
        <v>45218</v>
      </c>
    </row>
    <row r="576" spans="1:14" ht="16" hidden="1" x14ac:dyDescent="0.2">
      <c r="A576" s="19" t="s">
        <v>1430</v>
      </c>
      <c r="B576" s="20">
        <v>45216</v>
      </c>
      <c r="C576" s="19" t="str">
        <f>T("330241580:0830378331")</f>
        <v>330241580:0830378331</v>
      </c>
      <c r="D576" s="19" t="str">
        <f>T("00100394-SAV RAC3")</f>
        <v>00100394-SAV RAC3</v>
      </c>
      <c r="E576" s="19" t="str">
        <f>T("510146598")</f>
        <v>510146598</v>
      </c>
      <c r="F576" s="19" t="s">
        <v>17</v>
      </c>
      <c r="G576" s="19" t="s">
        <v>14</v>
      </c>
      <c r="H576" s="19" t="str">
        <f>T("607250494")</f>
        <v>607250494</v>
      </c>
      <c r="I576" s="19" t="s">
        <v>283</v>
      </c>
      <c r="J576" s="19" t="s">
        <v>284</v>
      </c>
      <c r="K576" s="19" t="str">
        <f>T("06700")</f>
        <v>06700</v>
      </c>
      <c r="L576" s="19" t="s">
        <v>19</v>
      </c>
      <c r="M576" s="21" t="s">
        <v>0</v>
      </c>
      <c r="N576" s="31">
        <v>45217</v>
      </c>
    </row>
    <row r="577" spans="1:14" ht="16" hidden="1" x14ac:dyDescent="0.2">
      <c r="A577" s="19" t="s">
        <v>1431</v>
      </c>
      <c r="B577" s="20">
        <v>45216</v>
      </c>
      <c r="C577" s="19" t="str">
        <f>T("330241573:0830378325")</f>
        <v>330241573:0830378325</v>
      </c>
      <c r="D577" s="19" t="str">
        <f>T("WC COMBAUD")</f>
        <v>WC COMBAUD</v>
      </c>
      <c r="E577" s="19" t="str">
        <f>T("510146697")</f>
        <v>510146697</v>
      </c>
      <c r="F577" s="19" t="s">
        <v>17</v>
      </c>
      <c r="G577" s="19" t="s">
        <v>14</v>
      </c>
      <c r="H577" s="19" t="str">
        <f>T("607250503")</f>
        <v>607250503</v>
      </c>
      <c r="I577" s="19" t="s">
        <v>1432</v>
      </c>
      <c r="J577" s="19" t="s">
        <v>1433</v>
      </c>
      <c r="K577" s="19" t="str">
        <f>T("03108")</f>
        <v>03108</v>
      </c>
      <c r="L577" s="19" t="s">
        <v>19</v>
      </c>
      <c r="M577" s="21" t="s">
        <v>0</v>
      </c>
      <c r="N577" s="31">
        <v>45218</v>
      </c>
    </row>
    <row r="578" spans="1:14" ht="16" hidden="1" x14ac:dyDescent="0.2">
      <c r="A578" s="19" t="s">
        <v>1434</v>
      </c>
      <c r="B578" s="20">
        <v>45216</v>
      </c>
      <c r="C578" s="19" t="str">
        <f>T("330241568:0830378321")</f>
        <v>330241568:0830378321</v>
      </c>
      <c r="D578" s="19" t="str">
        <f>T("CF-100.469-11122")</f>
        <v>CF-100.469-11122</v>
      </c>
      <c r="E578" s="19" t="str">
        <f>T("510146302")</f>
        <v>510146302</v>
      </c>
      <c r="F578" s="19" t="s">
        <v>17</v>
      </c>
      <c r="G578" s="19" t="s">
        <v>14</v>
      </c>
      <c r="H578" s="19" t="str">
        <f>T("607250525")</f>
        <v>607250525</v>
      </c>
      <c r="I578" s="19" t="s">
        <v>1435</v>
      </c>
      <c r="J578" s="19" t="s">
        <v>1436</v>
      </c>
      <c r="K578" s="19" t="str">
        <f>T("01440")</f>
        <v>01440</v>
      </c>
      <c r="L578" s="19" t="s">
        <v>19</v>
      </c>
      <c r="M578" s="21" t="s">
        <v>0</v>
      </c>
      <c r="N578" s="31">
        <v>45217</v>
      </c>
    </row>
    <row r="579" spans="1:14" ht="16" hidden="1" x14ac:dyDescent="0.2">
      <c r="A579" s="19" t="s">
        <v>1437</v>
      </c>
      <c r="B579" s="20">
        <v>45216</v>
      </c>
      <c r="C579" s="19" t="str">
        <f>T("330241408:0830378126")</f>
        <v>330241408:0830378126</v>
      </c>
      <c r="D579" s="19" t="str">
        <f>T("SOL2309FBC008685-")</f>
        <v>SOL2309FBC008685-</v>
      </c>
      <c r="E579" s="19" t="str">
        <f>T("510145982")</f>
        <v>510145982</v>
      </c>
      <c r="F579" s="19" t="s">
        <v>16</v>
      </c>
      <c r="G579" s="19" t="s">
        <v>14</v>
      </c>
      <c r="H579" s="19" t="str">
        <f>T("607250534")</f>
        <v>607250534</v>
      </c>
      <c r="I579" s="19" t="s">
        <v>1438</v>
      </c>
      <c r="J579" s="19" t="s">
        <v>1439</v>
      </c>
      <c r="K579" s="19" t="str">
        <f>T("69006")</f>
        <v>69006</v>
      </c>
      <c r="L579" s="19" t="s">
        <v>19</v>
      </c>
      <c r="M579" s="21" t="s">
        <v>0</v>
      </c>
      <c r="N579" s="31">
        <v>45217</v>
      </c>
    </row>
    <row r="580" spans="1:14" ht="16" hidden="1" x14ac:dyDescent="0.2">
      <c r="A580" s="19" t="s">
        <v>1440</v>
      </c>
      <c r="B580" s="20">
        <v>45216</v>
      </c>
      <c r="C580" s="19" t="str">
        <f>T("330241574:0830378326")</f>
        <v>330241574:0830378326</v>
      </c>
      <c r="D580" s="19" t="str">
        <f>T("WC-Peyrolade / T#")</f>
        <v>WC-Peyrolade / T#</v>
      </c>
      <c r="E580" s="19" t="str">
        <f>T("510146708")</f>
        <v>510146708</v>
      </c>
      <c r="F580" s="19" t="s">
        <v>17</v>
      </c>
      <c r="G580" s="19" t="s">
        <v>14</v>
      </c>
      <c r="H580" s="19" t="str">
        <f>T("607250548")</f>
        <v>607250548</v>
      </c>
      <c r="I580" s="19" t="s">
        <v>1441</v>
      </c>
      <c r="J580" s="19" t="s">
        <v>1442</v>
      </c>
      <c r="K580" s="19" t="str">
        <f>T("06370")</f>
        <v>06370</v>
      </c>
      <c r="L580" s="19" t="s">
        <v>19</v>
      </c>
      <c r="M580" s="21" t="s">
        <v>0</v>
      </c>
      <c r="N580" s="31">
        <v>45217</v>
      </c>
    </row>
    <row r="581" spans="1:14" ht="16" x14ac:dyDescent="0.2">
      <c r="A581" s="19" t="s">
        <v>1443</v>
      </c>
      <c r="B581" s="20">
        <v>45216</v>
      </c>
      <c r="C581" s="19" t="str">
        <f>T("330237927:0830378044")</f>
        <v>330237927:0830378044</v>
      </c>
      <c r="D581" s="19" t="str">
        <f>T("WC 9684")</f>
        <v>WC 9684</v>
      </c>
      <c r="E581" s="19" t="str">
        <f>T("560021891")</f>
        <v>560021891</v>
      </c>
      <c r="F581" s="19" t="s">
        <v>16</v>
      </c>
      <c r="G581" s="19" t="s">
        <v>14</v>
      </c>
      <c r="H581" s="19" t="str">
        <f>T("607250551")</f>
        <v>607250551</v>
      </c>
      <c r="I581" s="19" t="s">
        <v>1444</v>
      </c>
      <c r="J581" s="19" t="s">
        <v>1444</v>
      </c>
      <c r="K581" s="19" t="str">
        <f>T("91026")</f>
        <v>91026</v>
      </c>
      <c r="L581" s="19" t="s">
        <v>18</v>
      </c>
      <c r="M581" s="21" t="s">
        <v>1</v>
      </c>
      <c r="N581" s="21"/>
    </row>
    <row r="582" spans="1:14" ht="16" hidden="1" x14ac:dyDescent="0.2">
      <c r="A582" s="19" t="s">
        <v>1445</v>
      </c>
      <c r="B582" s="20">
        <v>45216</v>
      </c>
      <c r="C582" s="19" t="str">
        <f>T("330241545:0830378222")</f>
        <v>330241545:0830378222</v>
      </c>
      <c r="D582" s="19" t="str">
        <f>T("CORMIER")</f>
        <v>CORMIER</v>
      </c>
      <c r="E582" s="19" t="str">
        <f>T("510146565")</f>
        <v>510146565</v>
      </c>
      <c r="F582" s="19" t="s">
        <v>17</v>
      </c>
      <c r="G582" s="19" t="s">
        <v>14</v>
      </c>
      <c r="H582" s="19" t="str">
        <f>T("607250565")</f>
        <v>607250565</v>
      </c>
      <c r="I582" s="19" t="s">
        <v>1202</v>
      </c>
      <c r="J582" s="19" t="s">
        <v>1446</v>
      </c>
      <c r="K582" s="19" t="str">
        <f>T("71450")</f>
        <v>71450</v>
      </c>
      <c r="L582" s="19" t="s">
        <v>19</v>
      </c>
      <c r="M582" s="21" t="s">
        <v>0</v>
      </c>
      <c r="N582" s="31">
        <v>45217</v>
      </c>
    </row>
    <row r="583" spans="1:14" ht="16" hidden="1" x14ac:dyDescent="0.2">
      <c r="A583" s="19" t="s">
        <v>1447</v>
      </c>
      <c r="B583" s="20">
        <v>45216</v>
      </c>
      <c r="C583" s="19" t="str">
        <f>T("330241551:0830378228")</f>
        <v>330241551:0830378228</v>
      </c>
      <c r="D583" s="19" t="str">
        <f>T("172415-AC")</f>
        <v>172415-AC</v>
      </c>
      <c r="E583" s="19" t="str">
        <f>T("510146520")</f>
        <v>510146520</v>
      </c>
      <c r="F583" s="19" t="s">
        <v>17</v>
      </c>
      <c r="G583" s="19" t="s">
        <v>14</v>
      </c>
      <c r="H583" s="19" t="str">
        <f>T("607250579")</f>
        <v>607250579</v>
      </c>
      <c r="I583" s="19" t="s">
        <v>1448</v>
      </c>
      <c r="J583" s="19" t="s">
        <v>1449</v>
      </c>
      <c r="K583" s="19" t="str">
        <f>T("70150")</f>
        <v>70150</v>
      </c>
      <c r="L583" s="19" t="s">
        <v>19</v>
      </c>
      <c r="M583" s="21" t="s">
        <v>0</v>
      </c>
      <c r="N583" s="31">
        <v>45218</v>
      </c>
    </row>
    <row r="584" spans="1:14" ht="16" hidden="1" x14ac:dyDescent="0.2">
      <c r="A584" s="19" t="s">
        <v>1450</v>
      </c>
      <c r="B584" s="20">
        <v>45216</v>
      </c>
      <c r="C584" s="19" t="str">
        <f>T("330241561:0830378257")</f>
        <v>330241561:0830378257</v>
      </c>
      <c r="D584" s="19" t="str">
        <f>T("20231250 ZARA SPA")</f>
        <v>20231250 ZARA SPA</v>
      </c>
      <c r="E584" s="19" t="str">
        <f>T("560021889")</f>
        <v>560021889</v>
      </c>
      <c r="F584" s="19" t="s">
        <v>16</v>
      </c>
      <c r="G584" s="19" t="s">
        <v>14</v>
      </c>
      <c r="H584" s="19" t="str">
        <f>T("607250605")</f>
        <v>607250605</v>
      </c>
      <c r="I584" s="19" t="s">
        <v>1451</v>
      </c>
      <c r="J584" s="19" t="s">
        <v>1452</v>
      </c>
      <c r="K584" s="19" t="str">
        <f>T("70010")</f>
        <v>70010</v>
      </c>
      <c r="L584" s="19" t="s">
        <v>18</v>
      </c>
      <c r="M584" s="21" t="s">
        <v>0</v>
      </c>
      <c r="N584" s="31">
        <v>45222</v>
      </c>
    </row>
    <row r="585" spans="1:14" ht="16" hidden="1" x14ac:dyDescent="0.2">
      <c r="A585" s="19" t="s">
        <v>1453</v>
      </c>
      <c r="B585" s="20">
        <v>45216</v>
      </c>
      <c r="C585" s="19" t="str">
        <f>T("330241469:0830378192")</f>
        <v>330241469:0830378192</v>
      </c>
      <c r="D585" s="19" t="str">
        <f>T("6617 TORRES")</f>
        <v>6617 TORRES</v>
      </c>
      <c r="E585" s="19" t="str">
        <f>T("510145979")</f>
        <v>510145979</v>
      </c>
      <c r="F585" s="19" t="s">
        <v>17</v>
      </c>
      <c r="G585" s="19" t="s">
        <v>14</v>
      </c>
      <c r="H585" s="19" t="str">
        <f>T("607250596")</f>
        <v>607250596</v>
      </c>
      <c r="I585" s="19" t="s">
        <v>1454</v>
      </c>
      <c r="J585" s="19" t="s">
        <v>1455</v>
      </c>
      <c r="K585" s="19" t="str">
        <f>T("77680")</f>
        <v>77680</v>
      </c>
      <c r="L585" s="19" t="s">
        <v>19</v>
      </c>
      <c r="M585" s="21" t="s">
        <v>0</v>
      </c>
      <c r="N585" s="31">
        <v>45217</v>
      </c>
    </row>
    <row r="586" spans="1:14" ht="16" hidden="1" x14ac:dyDescent="0.2">
      <c r="A586" s="19" t="s">
        <v>1456</v>
      </c>
      <c r="B586" s="20">
        <v>45216</v>
      </c>
      <c r="C586" s="19" t="str">
        <f>T("330241543:0830378220")</f>
        <v>330241543:0830378220</v>
      </c>
      <c r="D586" s="19" t="str">
        <f>T("161711")</f>
        <v>161711</v>
      </c>
      <c r="E586" s="19" t="str">
        <f>T("510146508")</f>
        <v>510146508</v>
      </c>
      <c r="F586" s="19" t="s">
        <v>17</v>
      </c>
      <c r="G586" s="19" t="s">
        <v>14</v>
      </c>
      <c r="H586" s="19" t="str">
        <f>T("607250619")</f>
        <v>607250619</v>
      </c>
      <c r="I586" s="19" t="s">
        <v>1457</v>
      </c>
      <c r="J586" s="19" t="s">
        <v>1458</v>
      </c>
      <c r="K586" s="19" t="str">
        <f>T("31590")</f>
        <v>31590</v>
      </c>
      <c r="L586" s="19" t="s">
        <v>19</v>
      </c>
      <c r="M586" s="21" t="s">
        <v>0</v>
      </c>
      <c r="N586" s="31">
        <v>45217</v>
      </c>
    </row>
    <row r="587" spans="1:14" ht="16" hidden="1" x14ac:dyDescent="0.2">
      <c r="A587" s="19" t="s">
        <v>1459</v>
      </c>
      <c r="B587" s="20">
        <v>45216</v>
      </c>
      <c r="C587" s="19" t="str">
        <f>T("330241486:0830378202")</f>
        <v>330241486:0830378202</v>
      </c>
      <c r="D587" s="19" t="str">
        <f>T("SOL2310FBC008781-")</f>
        <v>SOL2310FBC008781-</v>
      </c>
      <c r="E587" s="19" t="str">
        <f>T("510146207")</f>
        <v>510146207</v>
      </c>
      <c r="F587" s="19" t="s">
        <v>16</v>
      </c>
      <c r="G587" s="19" t="s">
        <v>14</v>
      </c>
      <c r="H587" s="19" t="str">
        <f>T("607250622")</f>
        <v>607250622</v>
      </c>
      <c r="I587" s="19" t="s">
        <v>1460</v>
      </c>
      <c r="J587" s="19" t="s">
        <v>1461</v>
      </c>
      <c r="K587" s="19" t="str">
        <f>T("31100")</f>
        <v>31100</v>
      </c>
      <c r="L587" s="19" t="s">
        <v>19</v>
      </c>
      <c r="M587" s="21" t="s">
        <v>0</v>
      </c>
      <c r="N587" s="31">
        <v>45218</v>
      </c>
    </row>
    <row r="588" spans="1:14" ht="16" hidden="1" x14ac:dyDescent="0.2">
      <c r="A588" s="19" t="s">
        <v>1462</v>
      </c>
      <c r="B588" s="20">
        <v>45216</v>
      </c>
      <c r="C588" s="19" t="str">
        <f>T("330241463:0830378188")</f>
        <v>330241463:0830378188</v>
      </c>
      <c r="D588" s="19" t="str">
        <f>T("CDC127926 V0004 S")</f>
        <v>CDC127926 V0004 S</v>
      </c>
      <c r="E588" s="19" t="str">
        <f>T("510146445")</f>
        <v>510146445</v>
      </c>
      <c r="F588" s="19" t="s">
        <v>17</v>
      </c>
      <c r="G588" s="19" t="s">
        <v>14</v>
      </c>
      <c r="H588" s="19" t="str">
        <f>T("607250636")</f>
        <v>607250636</v>
      </c>
      <c r="I588" s="19" t="s">
        <v>620</v>
      </c>
      <c r="J588" s="19" t="s">
        <v>621</v>
      </c>
      <c r="K588" s="19" t="str">
        <f>T("64990")</f>
        <v>64990</v>
      </c>
      <c r="L588" s="19" t="s">
        <v>19</v>
      </c>
      <c r="M588" s="21" t="s">
        <v>0</v>
      </c>
      <c r="N588" s="31">
        <v>45218</v>
      </c>
    </row>
    <row r="589" spans="1:14" ht="16" hidden="1" x14ac:dyDescent="0.2">
      <c r="A589" s="19" t="s">
        <v>1463</v>
      </c>
      <c r="B589" s="20">
        <v>45216</v>
      </c>
      <c r="C589" s="19" t="str">
        <f>T("330241337:0830378764")</f>
        <v>330241337:0830378764</v>
      </c>
      <c r="D589" s="19" t="str">
        <f>T("zam/25/09/2023")</f>
        <v>zam/25/09/2023</v>
      </c>
      <c r="E589" s="19" t="str">
        <f>T("560021835")</f>
        <v>560021835</v>
      </c>
      <c r="F589" s="19" t="s">
        <v>17</v>
      </c>
      <c r="G589" s="19" t="s">
        <v>14</v>
      </c>
      <c r="H589" s="19" t="str">
        <f>T("607250653")</f>
        <v>607250653</v>
      </c>
      <c r="I589" s="19" t="s">
        <v>1464</v>
      </c>
      <c r="J589" s="19" t="s">
        <v>1465</v>
      </c>
      <c r="K589" s="19" t="str">
        <f>T("55-300")</f>
        <v>55-300</v>
      </c>
      <c r="L589" s="19" t="s">
        <v>20</v>
      </c>
      <c r="M589" s="21" t="s">
        <v>0</v>
      </c>
      <c r="N589" s="31">
        <v>45217</v>
      </c>
    </row>
    <row r="590" spans="1:14" ht="16" hidden="1" x14ac:dyDescent="0.2">
      <c r="A590" s="19" t="s">
        <v>1466</v>
      </c>
      <c r="B590" s="20">
        <v>45216</v>
      </c>
      <c r="C590" s="19" t="str">
        <f>T("330241525:0830378253")</f>
        <v>330241525:0830378253</v>
      </c>
      <c r="D590" s="19" t="str">
        <f>T("Tempcold")</f>
        <v>Tempcold</v>
      </c>
      <c r="E590" s="19" t="str">
        <f>T("560021741")</f>
        <v>560021741</v>
      </c>
      <c r="F590" s="19" t="s">
        <v>17</v>
      </c>
      <c r="G590" s="19" t="s">
        <v>14</v>
      </c>
      <c r="H590" s="19" t="str">
        <f>T("607250667")</f>
        <v>607250667</v>
      </c>
      <c r="I590" s="19" t="s">
        <v>1467</v>
      </c>
      <c r="J590" s="19" t="s">
        <v>1468</v>
      </c>
      <c r="K590" s="19" t="str">
        <f>T("76-100")</f>
        <v>76-100</v>
      </c>
      <c r="L590" s="19" t="s">
        <v>20</v>
      </c>
      <c r="M590" s="21" t="s">
        <v>0</v>
      </c>
      <c r="N590" s="31">
        <v>45218</v>
      </c>
    </row>
    <row r="591" spans="1:14" ht="16" hidden="1" x14ac:dyDescent="0.2">
      <c r="A591" s="19" t="s">
        <v>1469</v>
      </c>
      <c r="B591" s="20">
        <v>45216</v>
      </c>
      <c r="C591" s="19" t="str">
        <f>T("330241597:0830378747")</f>
        <v>330241597:0830378747</v>
      </c>
      <c r="D591" s="19" t="str">
        <f>T("cerpadlo kondenza")</f>
        <v>cerpadlo kondenza</v>
      </c>
      <c r="E591" s="19" t="str">
        <f>T("560021773")</f>
        <v>560021773</v>
      </c>
      <c r="F591" s="19" t="s">
        <v>17</v>
      </c>
      <c r="G591" s="19" t="s">
        <v>14</v>
      </c>
      <c r="H591" s="19" t="str">
        <f>T("607250790")</f>
        <v>607250790</v>
      </c>
      <c r="I591" s="19" t="s">
        <v>1470</v>
      </c>
      <c r="J591" s="19" t="s">
        <v>1471</v>
      </c>
      <c r="K591" s="19" t="str">
        <f>T("155 31")</f>
        <v>155 31</v>
      </c>
      <c r="L591" s="19" t="s">
        <v>1215</v>
      </c>
      <c r="M591" s="21" t="s">
        <v>0</v>
      </c>
      <c r="N591" s="31">
        <v>45217</v>
      </c>
    </row>
    <row r="592" spans="1:14" ht="16" hidden="1" x14ac:dyDescent="0.2">
      <c r="A592" s="19" t="s">
        <v>1472</v>
      </c>
      <c r="B592" s="20">
        <v>45216</v>
      </c>
      <c r="C592" s="19" t="str">
        <f>T("330241300:0830378751")</f>
        <v>330241300:0830378751</v>
      </c>
      <c r="D592" s="19" t="str">
        <f>T("BUTEAUX 62")</f>
        <v>BUTEAUX 62</v>
      </c>
      <c r="E592" s="19" t="str">
        <f>T("510146081")</f>
        <v>510146081</v>
      </c>
      <c r="F592" s="19" t="s">
        <v>17</v>
      </c>
      <c r="G592" s="19" t="s">
        <v>14</v>
      </c>
      <c r="H592" s="19" t="str">
        <f>T("607250684")</f>
        <v>607250684</v>
      </c>
      <c r="I592" s="19" t="s">
        <v>1473</v>
      </c>
      <c r="J592" s="19" t="s">
        <v>1474</v>
      </c>
      <c r="K592" s="19" t="str">
        <f>T("62136")</f>
        <v>62136</v>
      </c>
      <c r="L592" s="19" t="s">
        <v>19</v>
      </c>
      <c r="M592" s="21" t="s">
        <v>0</v>
      </c>
      <c r="N592" s="31">
        <v>45217</v>
      </c>
    </row>
    <row r="593" spans="1:14" ht="16" hidden="1" x14ac:dyDescent="0.2">
      <c r="A593" s="19" t="s">
        <v>1475</v>
      </c>
      <c r="B593" s="20">
        <v>45216</v>
      </c>
      <c r="C593" s="19" t="str">
        <f>T("330241430:0830378815")</f>
        <v>330241430:0830378815</v>
      </c>
      <c r="D593" s="19" t="str">
        <f>T("172727/AC")</f>
        <v>172727/AC</v>
      </c>
      <c r="E593" s="19" t="str">
        <f>T("510146721")</f>
        <v>510146721</v>
      </c>
      <c r="F593" s="19" t="s">
        <v>16</v>
      </c>
      <c r="G593" s="19" t="s">
        <v>14</v>
      </c>
      <c r="H593" s="19" t="str">
        <f>T("607250698")</f>
        <v>607250698</v>
      </c>
      <c r="I593" s="19" t="s">
        <v>1476</v>
      </c>
      <c r="J593" s="19" t="s">
        <v>1477</v>
      </c>
      <c r="K593" s="19" t="str">
        <f>T("25220")</f>
        <v>25220</v>
      </c>
      <c r="L593" s="19" t="s">
        <v>19</v>
      </c>
      <c r="M593" s="21" t="s">
        <v>0</v>
      </c>
      <c r="N593" s="31">
        <v>45218</v>
      </c>
    </row>
    <row r="594" spans="1:14" ht="16" hidden="1" x14ac:dyDescent="0.2">
      <c r="A594" s="19" t="s">
        <v>1478</v>
      </c>
      <c r="B594" s="20">
        <v>45216</v>
      </c>
      <c r="C594" s="19" t="str">
        <f>T("330241336:0830378763")</f>
        <v>330241336:0830378763</v>
      </c>
      <c r="D594" s="19" t="str">
        <f>T("10-02-Arfidas")</f>
        <v>10-02-Arfidas</v>
      </c>
      <c r="E594" s="19" t="str">
        <f>T("560021815")</f>
        <v>560021815</v>
      </c>
      <c r="F594" s="19" t="s">
        <v>17</v>
      </c>
      <c r="G594" s="19" t="s">
        <v>14</v>
      </c>
      <c r="H594" s="19" t="str">
        <f>T("607250707")</f>
        <v>607250707</v>
      </c>
      <c r="I594" s="19" t="s">
        <v>1479</v>
      </c>
      <c r="J594" s="19" t="s">
        <v>1480</v>
      </c>
      <c r="K594" s="19" t="str">
        <f>T("LT-47175")</f>
        <v>LT-47175</v>
      </c>
      <c r="L594" s="19" t="s">
        <v>1481</v>
      </c>
      <c r="M594" s="21" t="s">
        <v>0</v>
      </c>
      <c r="N594" s="31">
        <v>45217</v>
      </c>
    </row>
    <row r="595" spans="1:14" ht="16" hidden="1" x14ac:dyDescent="0.2">
      <c r="A595" s="19" t="s">
        <v>1482</v>
      </c>
      <c r="B595" s="20">
        <v>45216</v>
      </c>
      <c r="C595" s="19" t="str">
        <f>T("330241314:0830378757")</f>
        <v>330241314:0830378757</v>
      </c>
      <c r="D595" s="19" t="str">
        <f>T("pacifica")</f>
        <v>pacifica</v>
      </c>
      <c r="E595" s="19" t="str">
        <f>T("510146060")</f>
        <v>510146060</v>
      </c>
      <c r="F595" s="19" t="s">
        <v>17</v>
      </c>
      <c r="G595" s="19" t="s">
        <v>14</v>
      </c>
      <c r="H595" s="19" t="str">
        <f>T("607250715")</f>
        <v>607250715</v>
      </c>
      <c r="I595" s="19" t="s">
        <v>239</v>
      </c>
      <c r="J595" s="19" t="s">
        <v>240</v>
      </c>
      <c r="K595" s="19" t="str">
        <f>T("63800")</f>
        <v>63800</v>
      </c>
      <c r="L595" s="19" t="s">
        <v>19</v>
      </c>
      <c r="M595" s="21" t="s">
        <v>0</v>
      </c>
      <c r="N595" s="31">
        <v>45218</v>
      </c>
    </row>
    <row r="596" spans="1:14" ht="16" hidden="1" x14ac:dyDescent="0.2">
      <c r="A596" s="19" t="s">
        <v>1483</v>
      </c>
      <c r="B596" s="20">
        <v>45216</v>
      </c>
      <c r="C596" s="19" t="str">
        <f>T("330241303:0830378752")</f>
        <v>330241303:0830378752</v>
      </c>
      <c r="D596" s="19" t="str">
        <f>T("MORVAN JULIE")</f>
        <v>MORVAN JULIE</v>
      </c>
      <c r="E596" s="19" t="str">
        <f>T("510146388")</f>
        <v>510146388</v>
      </c>
      <c r="F596" s="19" t="s">
        <v>17</v>
      </c>
      <c r="G596" s="19" t="s">
        <v>14</v>
      </c>
      <c r="H596" s="19" t="str">
        <f>T("607250724")</f>
        <v>607250724</v>
      </c>
      <c r="I596" s="19" t="s">
        <v>1132</v>
      </c>
      <c r="J596" s="19" t="s">
        <v>1133</v>
      </c>
      <c r="K596" s="19" t="str">
        <f>T("29160")</f>
        <v>29160</v>
      </c>
      <c r="L596" s="19" t="s">
        <v>19</v>
      </c>
      <c r="M596" s="21" t="s">
        <v>0</v>
      </c>
      <c r="N596" s="31">
        <v>45217</v>
      </c>
    </row>
    <row r="597" spans="1:14" ht="16" hidden="1" x14ac:dyDescent="0.2">
      <c r="A597" s="19" t="s">
        <v>1484</v>
      </c>
      <c r="B597" s="20">
        <v>45216</v>
      </c>
      <c r="C597" s="19" t="str">
        <f>T("330241466:0830378189")</f>
        <v>330241466:0830378189</v>
      </c>
      <c r="D597" s="19" t="str">
        <f>T("LALANNE")</f>
        <v>LALANNE</v>
      </c>
      <c r="E597" s="19" t="str">
        <f>T("510146523")</f>
        <v>510146523</v>
      </c>
      <c r="F597" s="19" t="s">
        <v>17</v>
      </c>
      <c r="G597" s="19" t="s">
        <v>14</v>
      </c>
      <c r="H597" s="19" t="str">
        <f>T("607250738")</f>
        <v>607250738</v>
      </c>
      <c r="I597" s="19" t="s">
        <v>1485</v>
      </c>
      <c r="J597" s="19" t="s">
        <v>1486</v>
      </c>
      <c r="K597" s="19" t="str">
        <f>T("95300")</f>
        <v>95300</v>
      </c>
      <c r="L597" s="19" t="s">
        <v>19</v>
      </c>
      <c r="M597" s="21" t="s">
        <v>0</v>
      </c>
      <c r="N597" s="31">
        <v>45217</v>
      </c>
    </row>
    <row r="598" spans="1:14" ht="16" hidden="1" x14ac:dyDescent="0.2">
      <c r="A598" s="19" t="s">
        <v>1487</v>
      </c>
      <c r="B598" s="20">
        <v>45216</v>
      </c>
      <c r="C598" s="19" t="str">
        <f>T("330241333:0830378762")</f>
        <v>330241333:0830378762</v>
      </c>
      <c r="D598" s="19" t="str">
        <f>T("zam/02/10/2023")</f>
        <v>zam/02/10/2023</v>
      </c>
      <c r="E598" s="19" t="str">
        <f>T("560021811")</f>
        <v>560021811</v>
      </c>
      <c r="F598" s="19" t="s">
        <v>17</v>
      </c>
      <c r="G598" s="19" t="s">
        <v>14</v>
      </c>
      <c r="H598" s="19" t="str">
        <f>T("607250786")</f>
        <v>607250786</v>
      </c>
      <c r="I598" s="19" t="s">
        <v>1270</v>
      </c>
      <c r="J598" s="19" t="s">
        <v>1271</v>
      </c>
      <c r="K598" s="19" t="str">
        <f>T("05-840")</f>
        <v>05-840</v>
      </c>
      <c r="L598" s="19" t="s">
        <v>20</v>
      </c>
      <c r="M598" s="21" t="s">
        <v>0</v>
      </c>
      <c r="N598" s="31">
        <v>45217</v>
      </c>
    </row>
    <row r="599" spans="1:14" ht="16" hidden="1" x14ac:dyDescent="0.2">
      <c r="A599" s="19" t="s">
        <v>1488</v>
      </c>
      <c r="B599" s="20">
        <v>45216</v>
      </c>
      <c r="C599" s="19" t="str">
        <f>T("330241480:0830378198")</f>
        <v>330241480:0830378198</v>
      </c>
      <c r="D599" s="19" t="str">
        <f>T("WC-Orano T#11109")</f>
        <v>WC-Orano T#11109</v>
      </c>
      <c r="E599" s="19" t="str">
        <f>T("510146594")</f>
        <v>510146594</v>
      </c>
      <c r="F599" s="19" t="s">
        <v>16</v>
      </c>
      <c r="G599" s="19" t="s">
        <v>14</v>
      </c>
      <c r="H599" s="19" t="str">
        <f>T("607250755")</f>
        <v>607250755</v>
      </c>
      <c r="I599" s="19" t="s">
        <v>1489</v>
      </c>
      <c r="J599" s="19" t="s">
        <v>1490</v>
      </c>
      <c r="K599" s="19" t="str">
        <f>T("30130")</f>
        <v>30130</v>
      </c>
      <c r="L599" s="19" t="s">
        <v>19</v>
      </c>
      <c r="M599" s="21" t="s">
        <v>0</v>
      </c>
      <c r="N599" s="31">
        <v>45219</v>
      </c>
    </row>
    <row r="600" spans="1:14" ht="16" hidden="1" x14ac:dyDescent="0.2">
      <c r="A600" s="19" t="s">
        <v>1491</v>
      </c>
      <c r="B600" s="20">
        <v>45216</v>
      </c>
      <c r="C600" s="19" t="str">
        <f>T("330241503:0830378236")</f>
        <v>330241503:0830378236</v>
      </c>
      <c r="D600" s="19" t="str">
        <f>T("26481+28898")</f>
        <v>26481+28898</v>
      </c>
      <c r="E600" s="19" t="str">
        <f>T("560021930")</f>
        <v>560021930</v>
      </c>
      <c r="F600" s="19" t="s">
        <v>16</v>
      </c>
      <c r="G600" s="19" t="s">
        <v>14</v>
      </c>
      <c r="H600" s="19" t="str">
        <f>T("607250769")</f>
        <v>607250769</v>
      </c>
      <c r="I600" s="19" t="s">
        <v>117</v>
      </c>
      <c r="J600" s="19" t="s">
        <v>1492</v>
      </c>
      <c r="K600" s="19" t="str">
        <f>T("31010")</f>
        <v>31010</v>
      </c>
      <c r="L600" s="19" t="s">
        <v>18</v>
      </c>
      <c r="M600" s="21" t="s">
        <v>0</v>
      </c>
      <c r="N600" s="31">
        <v>45219</v>
      </c>
    </row>
    <row r="601" spans="1:14" ht="16" hidden="1" x14ac:dyDescent="0.2">
      <c r="A601" s="19" t="s">
        <v>1493</v>
      </c>
      <c r="B601" s="20">
        <v>45216</v>
      </c>
      <c r="C601" s="19" t="str">
        <f>T("330241309:0830378755")</f>
        <v>330241309:0830378755</v>
      </c>
      <c r="D601" s="19" t="str">
        <f>T("SAV BJ KORUS BESS")</f>
        <v>SAV BJ KORUS BESS</v>
      </c>
      <c r="E601" s="19" t="str">
        <f>T("510145958")</f>
        <v>510145958</v>
      </c>
      <c r="F601" s="19" t="s">
        <v>17</v>
      </c>
      <c r="G601" s="19" t="s">
        <v>14</v>
      </c>
      <c r="H601" s="19" t="str">
        <f>T("607250772")</f>
        <v>607250772</v>
      </c>
      <c r="I601" s="19" t="s">
        <v>1287</v>
      </c>
      <c r="J601" s="19" t="s">
        <v>1494</v>
      </c>
      <c r="K601" s="19" t="str">
        <f>T("70300")</f>
        <v>70300</v>
      </c>
      <c r="L601" s="19" t="s">
        <v>19</v>
      </c>
      <c r="M601" s="21" t="s">
        <v>0</v>
      </c>
      <c r="N601" s="31">
        <v>45217</v>
      </c>
    </row>
    <row r="602" spans="1:14" ht="16" hidden="1" x14ac:dyDescent="0.2">
      <c r="A602" s="19" t="s">
        <v>1495</v>
      </c>
      <c r="B602" s="20">
        <v>45216</v>
      </c>
      <c r="C602" s="19" t="str">
        <f>T("330241404:0830378800")</f>
        <v>330241404:0830378800</v>
      </c>
      <c r="D602" s="19" t="str">
        <f>T("171216/AC")</f>
        <v>171216/AC</v>
      </c>
      <c r="E602" s="19" t="str">
        <f>T("510146374")</f>
        <v>510146374</v>
      </c>
      <c r="F602" s="19" t="s">
        <v>17</v>
      </c>
      <c r="G602" s="19" t="s">
        <v>14</v>
      </c>
      <c r="H602" s="19" t="str">
        <f>T("607250874")</f>
        <v>607250874</v>
      </c>
      <c r="I602" s="19" t="s">
        <v>1496</v>
      </c>
      <c r="J602" s="19" t="s">
        <v>1497</v>
      </c>
      <c r="K602" s="19" t="str">
        <f>T("68520")</f>
        <v>68520</v>
      </c>
      <c r="L602" s="19" t="s">
        <v>19</v>
      </c>
      <c r="M602" s="21" t="s">
        <v>0</v>
      </c>
      <c r="N602" s="31">
        <v>45217</v>
      </c>
    </row>
    <row r="603" spans="1:14" ht="16" hidden="1" x14ac:dyDescent="0.2">
      <c r="A603" s="19" t="s">
        <v>1498</v>
      </c>
      <c r="B603" s="20">
        <v>45216</v>
      </c>
      <c r="C603" s="19" t="str">
        <f>T("330241436:0830378816")</f>
        <v>330241436:0830378816</v>
      </c>
      <c r="D603" s="19" t="str">
        <f>T("WC FCS ENERGIE")</f>
        <v>WC FCS ENERGIE</v>
      </c>
      <c r="E603" s="19" t="str">
        <f>T("510146672")</f>
        <v>510146672</v>
      </c>
      <c r="F603" s="19" t="s">
        <v>17</v>
      </c>
      <c r="G603" s="19" t="s">
        <v>14</v>
      </c>
      <c r="H603" s="19" t="str">
        <f>T("607250812")</f>
        <v>607250812</v>
      </c>
      <c r="I603" s="19" t="s">
        <v>22</v>
      </c>
      <c r="J603" s="19" t="s">
        <v>24</v>
      </c>
      <c r="K603" s="19" t="str">
        <f>T("26200")</f>
        <v>26200</v>
      </c>
      <c r="L603" s="19" t="s">
        <v>19</v>
      </c>
      <c r="M603" s="21" t="s">
        <v>0</v>
      </c>
      <c r="N603" s="31">
        <v>45217</v>
      </c>
    </row>
    <row r="604" spans="1:14" ht="16" hidden="1" x14ac:dyDescent="0.2">
      <c r="A604" s="19" t="s">
        <v>1499</v>
      </c>
      <c r="B604" s="20">
        <v>45216</v>
      </c>
      <c r="C604" s="19" t="str">
        <f>T("330241547:0830378224")</f>
        <v>330241547:0830378224</v>
      </c>
      <c r="D604" s="19" t="str">
        <f>T("BC15927-AR38858")</f>
        <v>BC15927-AR38858</v>
      </c>
      <c r="E604" s="19" t="str">
        <f>T("510146713")</f>
        <v>510146713</v>
      </c>
      <c r="F604" s="19" t="s">
        <v>17</v>
      </c>
      <c r="G604" s="19" t="s">
        <v>14</v>
      </c>
      <c r="H604" s="19" t="str">
        <f>T("607250826")</f>
        <v>607250826</v>
      </c>
      <c r="I604" s="19" t="s">
        <v>1500</v>
      </c>
      <c r="J604" s="19" t="s">
        <v>1501</v>
      </c>
      <c r="K604" s="19" t="str">
        <f>T("53960")</f>
        <v>53960</v>
      </c>
      <c r="L604" s="19" t="s">
        <v>19</v>
      </c>
      <c r="M604" s="21" t="s">
        <v>0</v>
      </c>
      <c r="N604" s="31">
        <v>45217</v>
      </c>
    </row>
    <row r="605" spans="1:14" ht="16" hidden="1" x14ac:dyDescent="0.2">
      <c r="A605" s="19" t="s">
        <v>1502</v>
      </c>
      <c r="B605" s="20">
        <v>45216</v>
      </c>
      <c r="C605" s="19" t="str">
        <f>T("330241418:0830378810")</f>
        <v>330241418:0830378810</v>
      </c>
      <c r="D605" s="19" t="str">
        <f>T("00100313-SAV 1403")</f>
        <v>00100313-SAV 1403</v>
      </c>
      <c r="E605" s="19" t="str">
        <f>T("510146316")</f>
        <v>510146316</v>
      </c>
      <c r="F605" s="19" t="s">
        <v>17</v>
      </c>
      <c r="G605" s="19" t="s">
        <v>14</v>
      </c>
      <c r="H605" s="19" t="str">
        <f>T("607250830")</f>
        <v>607250830</v>
      </c>
      <c r="I605" s="19" t="s">
        <v>1246</v>
      </c>
      <c r="J605" s="19" t="s">
        <v>1247</v>
      </c>
      <c r="K605" s="19" t="str">
        <f>T("21800")</f>
        <v>21800</v>
      </c>
      <c r="L605" s="19" t="s">
        <v>19</v>
      </c>
      <c r="M605" s="21" t="s">
        <v>0</v>
      </c>
      <c r="N605" s="31">
        <v>45217</v>
      </c>
    </row>
    <row r="606" spans="1:14" ht="16" hidden="1" x14ac:dyDescent="0.2">
      <c r="A606" s="19" t="s">
        <v>1503</v>
      </c>
      <c r="B606" s="20">
        <v>45216</v>
      </c>
      <c r="C606" s="19" t="str">
        <f>T("330241298:0830378750")</f>
        <v>330241298:0830378750</v>
      </c>
      <c r="D606" s="19" t="str">
        <f>T("SOL2309FBC008608-")</f>
        <v>SOL2309FBC008608-</v>
      </c>
      <c r="E606" s="19" t="str">
        <f>T("510146046")</f>
        <v>510146046</v>
      </c>
      <c r="F606" s="19" t="s">
        <v>17</v>
      </c>
      <c r="G606" s="19" t="s">
        <v>14</v>
      </c>
      <c r="H606" s="19" t="str">
        <f>T("607250857")</f>
        <v>607250857</v>
      </c>
      <c r="I606" s="19" t="s">
        <v>1504</v>
      </c>
      <c r="J606" s="19" t="s">
        <v>1505</v>
      </c>
      <c r="K606" s="19" t="str">
        <f>T("30420")</f>
        <v>30420</v>
      </c>
      <c r="L606" s="19" t="s">
        <v>19</v>
      </c>
      <c r="M606" s="21" t="s">
        <v>0</v>
      </c>
      <c r="N606" s="31">
        <v>45218</v>
      </c>
    </row>
    <row r="607" spans="1:14" ht="16" hidden="1" x14ac:dyDescent="0.2">
      <c r="A607" s="19" t="s">
        <v>1506</v>
      </c>
      <c r="B607" s="20">
        <v>45216</v>
      </c>
      <c r="C607" s="19" t="str">
        <f>T("330241368:0830378789")</f>
        <v>330241368:0830378789</v>
      </c>
      <c r="D607" s="19" t="str">
        <f>T("WC HEBRAS")</f>
        <v>WC HEBRAS</v>
      </c>
      <c r="E607" s="19" t="str">
        <f>T("510146574")</f>
        <v>510146574</v>
      </c>
      <c r="F607" s="19" t="s">
        <v>17</v>
      </c>
      <c r="G607" s="19" t="s">
        <v>14</v>
      </c>
      <c r="H607" s="19" t="str">
        <f>T("607250865")</f>
        <v>607250865</v>
      </c>
      <c r="I607" s="19" t="s">
        <v>1507</v>
      </c>
      <c r="J607" s="19" t="s">
        <v>1508</v>
      </c>
      <c r="K607" s="19" t="str">
        <f>T("87700")</f>
        <v>87700</v>
      </c>
      <c r="L607" s="19" t="s">
        <v>19</v>
      </c>
      <c r="M607" s="21" t="s">
        <v>0</v>
      </c>
      <c r="N607" s="31">
        <v>45218</v>
      </c>
    </row>
    <row r="608" spans="1:14" ht="16" hidden="1" x14ac:dyDescent="0.2">
      <c r="A608" s="19" t="s">
        <v>1509</v>
      </c>
      <c r="B608" s="20">
        <v>45216</v>
      </c>
      <c r="C608" s="19" t="str">
        <f>T("330241307:0830378754")</f>
        <v>330241307:0830378754</v>
      </c>
      <c r="D608" s="19" t="str">
        <f>T("stock circulateur")</f>
        <v>stock circulateur</v>
      </c>
      <c r="E608" s="19" t="str">
        <f>T("510146024")</f>
        <v>510146024</v>
      </c>
      <c r="F608" s="19" t="s">
        <v>17</v>
      </c>
      <c r="G608" s="19" t="s">
        <v>14</v>
      </c>
      <c r="H608" s="19" t="str">
        <f>T("607250843")</f>
        <v>607250843</v>
      </c>
      <c r="I608" s="19" t="s">
        <v>437</v>
      </c>
      <c r="J608" s="19" t="s">
        <v>438</v>
      </c>
      <c r="K608" s="19" t="str">
        <f>T("37510")</f>
        <v>37510</v>
      </c>
      <c r="L608" s="19" t="s">
        <v>19</v>
      </c>
      <c r="M608" s="21" t="s">
        <v>0</v>
      </c>
      <c r="N608" s="31">
        <v>45217</v>
      </c>
    </row>
    <row r="609" spans="1:14" ht="16" hidden="1" x14ac:dyDescent="0.2">
      <c r="A609" s="19" t="s">
        <v>1510</v>
      </c>
      <c r="B609" s="20">
        <v>45216</v>
      </c>
      <c r="C609" s="19" t="str">
        <f>T("330241363:0830378111")</f>
        <v>330241363:0830378111</v>
      </c>
      <c r="D609" s="19" t="str">
        <f>T("SOL2309FBC008545-")</f>
        <v>SOL2309FBC008545-</v>
      </c>
      <c r="E609" s="19" t="str">
        <f>T("510145961")</f>
        <v>510145961</v>
      </c>
      <c r="F609" s="19" t="s">
        <v>16</v>
      </c>
      <c r="G609" s="19" t="s">
        <v>14</v>
      </c>
      <c r="H609" s="19" t="str">
        <f>T("607250888")</f>
        <v>607250888</v>
      </c>
      <c r="I609" s="19" t="s">
        <v>1511</v>
      </c>
      <c r="J609" s="19" t="s">
        <v>1512</v>
      </c>
      <c r="K609" s="19" t="str">
        <f>T("69230")</f>
        <v>69230</v>
      </c>
      <c r="L609" s="19" t="s">
        <v>19</v>
      </c>
      <c r="M609" s="21" t="s">
        <v>0</v>
      </c>
      <c r="N609" s="31">
        <v>45217</v>
      </c>
    </row>
    <row r="610" spans="1:14" ht="16" hidden="1" x14ac:dyDescent="0.2">
      <c r="A610" s="19" t="s">
        <v>1513</v>
      </c>
      <c r="B610" s="20">
        <v>45216</v>
      </c>
      <c r="C610" s="19" t="str">
        <f>T("330241479:0830378830")</f>
        <v>330241479:0830378830</v>
      </c>
      <c r="D610" s="19" t="str">
        <f>T("WC ATW-RTU-07")</f>
        <v>WC ATW-RTU-07</v>
      </c>
      <c r="E610" s="19" t="str">
        <f>T("510146592")</f>
        <v>510146592</v>
      </c>
      <c r="F610" s="19" t="s">
        <v>17</v>
      </c>
      <c r="G610" s="19" t="s">
        <v>14</v>
      </c>
      <c r="H610" s="19" t="str">
        <f>T("607250891")</f>
        <v>607250891</v>
      </c>
      <c r="I610" s="19" t="s">
        <v>1514</v>
      </c>
      <c r="J610" s="19" t="s">
        <v>1515</v>
      </c>
      <c r="K610" s="19" t="str">
        <f>T("34270")</f>
        <v>34270</v>
      </c>
      <c r="L610" s="19" t="s">
        <v>19</v>
      </c>
      <c r="M610" s="21" t="s">
        <v>0</v>
      </c>
      <c r="N610" s="31">
        <v>45219</v>
      </c>
    </row>
    <row r="611" spans="1:14" ht="16" hidden="1" x14ac:dyDescent="0.2">
      <c r="A611" s="19" t="s">
        <v>1516</v>
      </c>
      <c r="B611" s="20">
        <v>45216</v>
      </c>
      <c r="C611" s="19" t="str">
        <f>T("330241425:0830378134")</f>
        <v>330241425:0830378134</v>
      </c>
      <c r="D611" s="19" t="str">
        <f>T("CDC127660 CB0002")</f>
        <v>CDC127660 CB0002</v>
      </c>
      <c r="E611" s="19" t="str">
        <f>T("510146260")</f>
        <v>510146260</v>
      </c>
      <c r="F611" s="19" t="s">
        <v>17</v>
      </c>
      <c r="G611" s="19" t="s">
        <v>14</v>
      </c>
      <c r="H611" s="19" t="str">
        <f>T("607250914")</f>
        <v>607250914</v>
      </c>
      <c r="I611" s="19" t="s">
        <v>1517</v>
      </c>
      <c r="J611" s="19" t="s">
        <v>1518</v>
      </c>
      <c r="K611" s="19" t="str">
        <f>T("33310")</f>
        <v>33310</v>
      </c>
      <c r="L611" s="19" t="s">
        <v>19</v>
      </c>
      <c r="M611" s="21" t="s">
        <v>0</v>
      </c>
      <c r="N611" s="31">
        <v>45217</v>
      </c>
    </row>
    <row r="612" spans="1:14" ht="16" hidden="1" x14ac:dyDescent="0.2">
      <c r="A612" s="19" t="s">
        <v>1519</v>
      </c>
      <c r="B612" s="20">
        <v>45216</v>
      </c>
      <c r="C612" s="19" t="str">
        <f>T("330241460:0830378823")</f>
        <v>330241460:0830378823</v>
      </c>
      <c r="D612" s="19" t="str">
        <f>T("CDC127887 SB0002")</f>
        <v>CDC127887 SB0002</v>
      </c>
      <c r="E612" s="19" t="str">
        <f>T("510146378")</f>
        <v>510146378</v>
      </c>
      <c r="F612" s="19" t="s">
        <v>16</v>
      </c>
      <c r="G612" s="19" t="s">
        <v>14</v>
      </c>
      <c r="H612" s="19" t="str">
        <f>T("607250905")</f>
        <v>607250905</v>
      </c>
      <c r="I612" s="19" t="s">
        <v>1325</v>
      </c>
      <c r="J612" s="19" t="s">
        <v>1326</v>
      </c>
      <c r="K612" s="19" t="str">
        <f>T("16160")</f>
        <v>16160</v>
      </c>
      <c r="L612" s="19" t="s">
        <v>19</v>
      </c>
      <c r="M612" s="21" t="s">
        <v>0</v>
      </c>
      <c r="N612" s="31">
        <v>45218</v>
      </c>
    </row>
    <row r="613" spans="1:14" ht="16" hidden="1" x14ac:dyDescent="0.2">
      <c r="A613" s="19" t="s">
        <v>1520</v>
      </c>
      <c r="B613" s="20">
        <v>45216</v>
      </c>
      <c r="C613" s="19" t="str">
        <f>T("330241472:0830378826")</f>
        <v>330241472:0830378826</v>
      </c>
      <c r="D613" s="19" t="str">
        <f>T("SOL2309FBC008725-")</f>
        <v>SOL2309FBC008725-</v>
      </c>
      <c r="E613" s="19" t="str">
        <f>T("510146119")</f>
        <v>510146119</v>
      </c>
      <c r="F613" s="19" t="s">
        <v>17</v>
      </c>
      <c r="G613" s="19" t="s">
        <v>14</v>
      </c>
      <c r="H613" s="19" t="str">
        <f>T("607250928")</f>
        <v>607250928</v>
      </c>
      <c r="I613" s="19" t="s">
        <v>1521</v>
      </c>
      <c r="J613" s="19" t="s">
        <v>1522</v>
      </c>
      <c r="K613" s="19" t="str">
        <f>T("31220")</f>
        <v>31220</v>
      </c>
      <c r="L613" s="19" t="s">
        <v>19</v>
      </c>
      <c r="M613" s="21" t="s">
        <v>0</v>
      </c>
      <c r="N613" s="31">
        <v>45217</v>
      </c>
    </row>
    <row r="614" spans="1:14" ht="16" hidden="1" x14ac:dyDescent="0.2">
      <c r="A614" s="19" t="s">
        <v>1523</v>
      </c>
      <c r="B614" s="20">
        <v>45216</v>
      </c>
      <c r="C614" s="19" t="str">
        <f>T("330241374:0830378793")</f>
        <v>330241374:0830378793</v>
      </c>
      <c r="D614" s="19" t="str">
        <f>T("WC METZ")</f>
        <v>WC METZ</v>
      </c>
      <c r="E614" s="19" t="str">
        <f>T("510146585")</f>
        <v>510146585</v>
      </c>
      <c r="F614" s="19" t="s">
        <v>17</v>
      </c>
      <c r="G614" s="19" t="s">
        <v>14</v>
      </c>
      <c r="H614" s="19" t="str">
        <f>T("607250931")</f>
        <v>607250931</v>
      </c>
      <c r="I614" s="19" t="s">
        <v>851</v>
      </c>
      <c r="J614" s="19" t="s">
        <v>852</v>
      </c>
      <c r="K614" s="19" t="str">
        <f>T("54180")</f>
        <v>54180</v>
      </c>
      <c r="L614" s="19" t="s">
        <v>19</v>
      </c>
      <c r="M614" s="21" t="s">
        <v>0</v>
      </c>
      <c r="N614" s="31">
        <v>45217</v>
      </c>
    </row>
    <row r="615" spans="1:14" ht="16" hidden="1" x14ac:dyDescent="0.2">
      <c r="A615" s="19" t="s">
        <v>1524</v>
      </c>
      <c r="B615" s="20">
        <v>45216</v>
      </c>
      <c r="C615" s="19" t="str">
        <f>T("330241361:0830378786")</f>
        <v>330241361:0830378786</v>
      </c>
      <c r="D615" s="19" t="str">
        <f>T("88048")</f>
        <v>88048</v>
      </c>
      <c r="E615" s="19" t="str">
        <f>T("510146506")</f>
        <v>510146506</v>
      </c>
      <c r="F615" s="19" t="s">
        <v>17</v>
      </c>
      <c r="G615" s="19" t="s">
        <v>14</v>
      </c>
      <c r="H615" s="19" t="str">
        <f>T("607250945")</f>
        <v>607250945</v>
      </c>
      <c r="I615" s="19" t="s">
        <v>1525</v>
      </c>
      <c r="J615" s="19" t="s">
        <v>1526</v>
      </c>
      <c r="K615" s="19" t="str">
        <f>T("77290")</f>
        <v>77290</v>
      </c>
      <c r="L615" s="19" t="s">
        <v>19</v>
      </c>
      <c r="M615" s="21" t="s">
        <v>0</v>
      </c>
      <c r="N615" s="31">
        <v>45217</v>
      </c>
    </row>
    <row r="616" spans="1:14" ht="16" hidden="1" x14ac:dyDescent="0.2">
      <c r="A616" s="19" t="s">
        <v>1527</v>
      </c>
      <c r="B616" s="20">
        <v>45216</v>
      </c>
      <c r="C616" s="19" t="str">
        <f>T("330241371:0830378790")</f>
        <v>330241371:0830378790</v>
      </c>
      <c r="D616" s="19" t="str">
        <f>T("WC GUIDON")</f>
        <v>WC GUIDON</v>
      </c>
      <c r="E616" s="19" t="str">
        <f>T("510146579")</f>
        <v>510146579</v>
      </c>
      <c r="F616" s="19" t="s">
        <v>17</v>
      </c>
      <c r="G616" s="19" t="s">
        <v>14</v>
      </c>
      <c r="H616" s="19" t="str">
        <f>T("607250959")</f>
        <v>607250959</v>
      </c>
      <c r="I616" s="19" t="s">
        <v>851</v>
      </c>
      <c r="J616" s="19" t="s">
        <v>852</v>
      </c>
      <c r="K616" s="19" t="str">
        <f>T("54180")</f>
        <v>54180</v>
      </c>
      <c r="L616" s="19" t="s">
        <v>19</v>
      </c>
      <c r="M616" s="21" t="s">
        <v>0</v>
      </c>
      <c r="N616" s="31">
        <v>45217</v>
      </c>
    </row>
    <row r="617" spans="1:14" ht="16" hidden="1" x14ac:dyDescent="0.2">
      <c r="A617" s="19" t="s">
        <v>1528</v>
      </c>
      <c r="B617" s="20">
        <v>45216</v>
      </c>
      <c r="C617" s="19" t="str">
        <f>T("330241572:0830378324")</f>
        <v>330241572:0830378324</v>
      </c>
      <c r="D617" s="19" t="str">
        <f>T("WC MOUTON")</f>
        <v>WC MOUTON</v>
      </c>
      <c r="E617" s="19" t="str">
        <f>T("510146686")</f>
        <v>510146686</v>
      </c>
      <c r="F617" s="19" t="s">
        <v>17</v>
      </c>
      <c r="G617" s="19" t="s">
        <v>14</v>
      </c>
      <c r="H617" s="19" t="str">
        <f>T("607250962")</f>
        <v>607250962</v>
      </c>
      <c r="I617" s="19" t="s">
        <v>1529</v>
      </c>
      <c r="J617" s="19" t="s">
        <v>1530</v>
      </c>
      <c r="K617" s="19" t="str">
        <f>T("07000")</f>
        <v>07000</v>
      </c>
      <c r="L617" s="19" t="s">
        <v>19</v>
      </c>
      <c r="M617" s="21" t="s">
        <v>0</v>
      </c>
      <c r="N617" s="31">
        <v>45217</v>
      </c>
    </row>
    <row r="618" spans="1:14" ht="16" hidden="1" x14ac:dyDescent="0.2">
      <c r="A618" s="19" t="s">
        <v>1531</v>
      </c>
      <c r="B618" s="20">
        <v>45216</v>
      </c>
      <c r="C618" s="19" t="str">
        <f>T("330241373:0830378792")</f>
        <v>330241373:0830378792</v>
      </c>
      <c r="D618" s="19" t="str">
        <f>T("WC GUIDON")</f>
        <v>WC GUIDON</v>
      </c>
      <c r="E618" s="19" t="str">
        <f>T("510146583")</f>
        <v>510146583</v>
      </c>
      <c r="F618" s="19" t="s">
        <v>17</v>
      </c>
      <c r="G618" s="19" t="s">
        <v>14</v>
      </c>
      <c r="H618" s="19" t="str">
        <f>T("607250976")</f>
        <v>607250976</v>
      </c>
      <c r="I618" s="19" t="s">
        <v>851</v>
      </c>
      <c r="J618" s="19" t="s">
        <v>852</v>
      </c>
      <c r="K618" s="19" t="str">
        <f>T("54180")</f>
        <v>54180</v>
      </c>
      <c r="L618" s="19" t="s">
        <v>19</v>
      </c>
      <c r="M618" s="21" t="s">
        <v>0</v>
      </c>
      <c r="N618" s="31">
        <v>45217</v>
      </c>
    </row>
    <row r="619" spans="1:14" ht="16" hidden="1" x14ac:dyDescent="0.2">
      <c r="A619" s="19" t="s">
        <v>1532</v>
      </c>
      <c r="B619" s="20">
        <v>45216</v>
      </c>
      <c r="C619" s="19" t="str">
        <f>T("330241416:0830378808")</f>
        <v>330241416:0830378808</v>
      </c>
      <c r="D619" s="19" t="str">
        <f>T("00100286-11311 39")</f>
        <v>00100286-11311 39</v>
      </c>
      <c r="E619" s="19" t="str">
        <f>T("510146263")</f>
        <v>510146263</v>
      </c>
      <c r="F619" s="19" t="s">
        <v>17</v>
      </c>
      <c r="G619" s="19" t="s">
        <v>14</v>
      </c>
      <c r="H619" s="19" t="str">
        <f>T("607250980")</f>
        <v>607250980</v>
      </c>
      <c r="I619" s="19" t="s">
        <v>76</v>
      </c>
      <c r="J619" s="19" t="s">
        <v>1120</v>
      </c>
      <c r="K619" s="19" t="str">
        <f>T("18000")</f>
        <v>18000</v>
      </c>
      <c r="L619" s="19" t="s">
        <v>19</v>
      </c>
      <c r="M619" s="21" t="s">
        <v>0</v>
      </c>
      <c r="N619" s="31">
        <v>45218</v>
      </c>
    </row>
    <row r="620" spans="1:14" ht="16" hidden="1" x14ac:dyDescent="0.2">
      <c r="A620" s="19" t="s">
        <v>1533</v>
      </c>
      <c r="B620" s="20">
        <v>45216</v>
      </c>
      <c r="C620" s="19" t="str">
        <f>T("330241410:0830378804")</f>
        <v>330241410:0830378804</v>
      </c>
      <c r="D620" s="19" t="str">
        <f>T("COSBANN")</f>
        <v>COSBANN</v>
      </c>
      <c r="E620" s="19" t="str">
        <f>T("510145999")</f>
        <v>510145999</v>
      </c>
      <c r="F620" s="19" t="s">
        <v>17</v>
      </c>
      <c r="G620" s="19" t="s">
        <v>14</v>
      </c>
      <c r="H620" s="19" t="str">
        <f>T("607250993")</f>
        <v>607250993</v>
      </c>
      <c r="I620" s="19" t="s">
        <v>437</v>
      </c>
      <c r="J620" s="19" t="s">
        <v>438</v>
      </c>
      <c r="K620" s="19" t="str">
        <f>T("37510")</f>
        <v>37510</v>
      </c>
      <c r="L620" s="19" t="s">
        <v>19</v>
      </c>
      <c r="M620" s="21" t="s">
        <v>0</v>
      </c>
      <c r="N620" s="31">
        <v>45217</v>
      </c>
    </row>
    <row r="621" spans="1:14" ht="16" hidden="1" x14ac:dyDescent="0.2">
      <c r="A621" s="19" t="s">
        <v>1534</v>
      </c>
      <c r="B621" s="20">
        <v>45216</v>
      </c>
      <c r="C621" s="19" t="str">
        <f>T("330241422:0830378811")</f>
        <v>330241422:0830378811</v>
      </c>
      <c r="D621" s="19" t="str">
        <f>T("CDC127542 E0013 S")</f>
        <v>CDC127542 E0013 S</v>
      </c>
      <c r="E621" s="19" t="str">
        <f>T("510146240")</f>
        <v>510146240</v>
      </c>
      <c r="F621" s="19" t="s">
        <v>17</v>
      </c>
      <c r="G621" s="19" t="s">
        <v>14</v>
      </c>
      <c r="H621" s="19" t="str">
        <f>T("607251000")</f>
        <v>607251000</v>
      </c>
      <c r="I621" s="19" t="s">
        <v>1535</v>
      </c>
      <c r="J621" s="19" t="s">
        <v>1536</v>
      </c>
      <c r="K621" s="19" t="str">
        <f>T("40990")</f>
        <v>40990</v>
      </c>
      <c r="L621" s="19" t="s">
        <v>19</v>
      </c>
      <c r="M621" s="21" t="s">
        <v>0</v>
      </c>
      <c r="N621" s="31">
        <v>45218</v>
      </c>
    </row>
    <row r="622" spans="1:14" ht="16" hidden="1" x14ac:dyDescent="0.2">
      <c r="A622" s="19" t="s">
        <v>1537</v>
      </c>
      <c r="B622" s="20">
        <v>45216</v>
      </c>
      <c r="C622" s="19" t="str">
        <f>T("330241465:0830378825")</f>
        <v>330241465:0830378825</v>
      </c>
      <c r="D622" s="19" t="str">
        <f>T("1911688")</f>
        <v>1911688</v>
      </c>
      <c r="E622" s="19" t="str">
        <f>T("510146819")</f>
        <v>510146819</v>
      </c>
      <c r="F622" s="19" t="s">
        <v>17</v>
      </c>
      <c r="G622" s="19" t="s">
        <v>14</v>
      </c>
      <c r="H622" s="19" t="str">
        <f>T("607251013")</f>
        <v>607251013</v>
      </c>
      <c r="I622" s="19" t="s">
        <v>1538</v>
      </c>
      <c r="J622" s="19" t="s">
        <v>1539</v>
      </c>
      <c r="K622" s="19" t="str">
        <f>T("45140")</f>
        <v>45140</v>
      </c>
      <c r="L622" s="19" t="s">
        <v>19</v>
      </c>
      <c r="M622" s="21" t="s">
        <v>0</v>
      </c>
      <c r="N622" s="31">
        <v>45217</v>
      </c>
    </row>
    <row r="623" spans="1:14" ht="16" hidden="1" x14ac:dyDescent="0.2">
      <c r="A623" s="19" t="s">
        <v>1540</v>
      </c>
      <c r="B623" s="20">
        <v>45216</v>
      </c>
      <c r="C623" s="19" t="str">
        <f>T("330241488:0830378833")</f>
        <v>330241488:0830378833</v>
      </c>
      <c r="D623" s="19" t="str">
        <f>T("SOL2310FBC008789-")</f>
        <v>SOL2310FBC008789-</v>
      </c>
      <c r="E623" s="19" t="str">
        <f>T("510146213")</f>
        <v>510146213</v>
      </c>
      <c r="F623" s="19" t="s">
        <v>17</v>
      </c>
      <c r="G623" s="19" t="s">
        <v>14</v>
      </c>
      <c r="H623" s="19" t="str">
        <f>T("607251027")</f>
        <v>607251027</v>
      </c>
      <c r="I623" s="19" t="s">
        <v>1541</v>
      </c>
      <c r="J623" s="19" t="s">
        <v>1542</v>
      </c>
      <c r="K623" s="19" t="str">
        <f>T("12000")</f>
        <v>12000</v>
      </c>
      <c r="L623" s="19" t="s">
        <v>19</v>
      </c>
      <c r="M623" s="21" t="s">
        <v>0</v>
      </c>
      <c r="N623" s="31">
        <v>45218</v>
      </c>
    </row>
    <row r="624" spans="1:14" ht="16" hidden="1" x14ac:dyDescent="0.2">
      <c r="A624" s="19" t="s">
        <v>1543</v>
      </c>
      <c r="B624" s="20">
        <v>45216</v>
      </c>
      <c r="C624" s="19" t="str">
        <f>T("330241405:0830378801")</f>
        <v>330241405:0830378801</v>
      </c>
      <c r="D624" s="19" t="str">
        <f>T("171727/AC")</f>
        <v>171727/AC</v>
      </c>
      <c r="E624" s="19" t="str">
        <f>T("510146376")</f>
        <v>510146376</v>
      </c>
      <c r="F624" s="19" t="s">
        <v>17</v>
      </c>
      <c r="G624" s="19" t="s">
        <v>14</v>
      </c>
      <c r="H624" s="19" t="str">
        <f>T("607251035")</f>
        <v>607251035</v>
      </c>
      <c r="I624" s="19" t="s">
        <v>1544</v>
      </c>
      <c r="J624" s="19" t="s">
        <v>1545</v>
      </c>
      <c r="K624" s="19" t="str">
        <f>T("25390")</f>
        <v>25390</v>
      </c>
      <c r="L624" s="19" t="s">
        <v>19</v>
      </c>
      <c r="M624" s="21" t="s">
        <v>0</v>
      </c>
      <c r="N624" s="31">
        <v>45217</v>
      </c>
    </row>
    <row r="625" spans="1:14" ht="16" hidden="1" x14ac:dyDescent="0.2">
      <c r="A625" s="19" t="s">
        <v>1546</v>
      </c>
      <c r="B625" s="20">
        <v>45216</v>
      </c>
      <c r="C625" s="19" t="str">
        <f>T("330241365:0830378113")</f>
        <v>330241365:0830378113</v>
      </c>
      <c r="D625" s="19" t="str">
        <f>T("171021/AC")</f>
        <v>171021/AC</v>
      </c>
      <c r="E625" s="19" t="str">
        <f>T("510146361")</f>
        <v>510146361</v>
      </c>
      <c r="F625" s="19" t="s">
        <v>17</v>
      </c>
      <c r="G625" s="19" t="s">
        <v>14</v>
      </c>
      <c r="H625" s="19" t="str">
        <f>T("607251044")</f>
        <v>607251044</v>
      </c>
      <c r="I625" s="19" t="s">
        <v>1547</v>
      </c>
      <c r="J625" s="19" t="s">
        <v>1548</v>
      </c>
      <c r="K625" s="19" t="str">
        <f>T("70700")</f>
        <v>70700</v>
      </c>
      <c r="L625" s="19" t="s">
        <v>19</v>
      </c>
      <c r="M625" s="21" t="s">
        <v>0</v>
      </c>
      <c r="N625" s="31">
        <v>45219</v>
      </c>
    </row>
    <row r="626" spans="1:14" ht="16" hidden="1" x14ac:dyDescent="0.2">
      <c r="A626" s="19" t="s">
        <v>1549</v>
      </c>
      <c r="B626" s="20">
        <v>45216</v>
      </c>
      <c r="C626" s="19" t="str">
        <f>T("330241312:0830378756")</f>
        <v>330241312:0830378756</v>
      </c>
      <c r="D626" s="19" t="str">
        <f>T("CDE6710-BENDEJGUE")</f>
        <v>CDE6710-BENDEJGUE</v>
      </c>
      <c r="E626" s="19" t="str">
        <f>T("510146017")</f>
        <v>510146017</v>
      </c>
      <c r="F626" s="19" t="s">
        <v>17</v>
      </c>
      <c r="G626" s="19" t="s">
        <v>14</v>
      </c>
      <c r="H626" s="19" t="str">
        <f>T("607251058")</f>
        <v>607251058</v>
      </c>
      <c r="I626" s="19" t="s">
        <v>1550</v>
      </c>
      <c r="J626" s="19" t="s">
        <v>1551</v>
      </c>
      <c r="K626" s="19" t="str">
        <f>T("69700")</f>
        <v>69700</v>
      </c>
      <c r="L626" s="19" t="s">
        <v>19</v>
      </c>
      <c r="M626" s="21" t="s">
        <v>0</v>
      </c>
      <c r="N626" s="31">
        <v>45218</v>
      </c>
    </row>
    <row r="627" spans="1:14" ht="16" hidden="1" x14ac:dyDescent="0.2">
      <c r="A627" s="19" t="s">
        <v>1552</v>
      </c>
      <c r="B627" s="20">
        <v>45216</v>
      </c>
      <c r="C627" s="19" t="str">
        <f>T("330241477:0830378829")</f>
        <v>330241477:0830378829</v>
      </c>
      <c r="D627" s="19" t="str">
        <f>T("SOL2310FBC008756-")</f>
        <v>SOL2310FBC008756-</v>
      </c>
      <c r="E627" s="19" t="str">
        <f>T("510146173")</f>
        <v>510146173</v>
      </c>
      <c r="F627" s="19" t="s">
        <v>17</v>
      </c>
      <c r="G627" s="19" t="s">
        <v>14</v>
      </c>
      <c r="H627" s="19" t="str">
        <f>T("607251061")</f>
        <v>607251061</v>
      </c>
      <c r="I627" s="19" t="s">
        <v>1553</v>
      </c>
      <c r="J627" s="19" t="s">
        <v>1554</v>
      </c>
      <c r="K627" s="19" t="str">
        <f>T("34700")</f>
        <v>34700</v>
      </c>
      <c r="L627" s="19" t="s">
        <v>19</v>
      </c>
      <c r="M627" s="21" t="s">
        <v>0</v>
      </c>
      <c r="N627" s="31">
        <v>45218</v>
      </c>
    </row>
    <row r="628" spans="1:14" ht="16" hidden="1" x14ac:dyDescent="0.2">
      <c r="A628" s="19" t="s">
        <v>1555</v>
      </c>
      <c r="B628" s="20">
        <v>45216</v>
      </c>
      <c r="C628" s="19" t="str">
        <f>T("330241366:0830378788")</f>
        <v>330241366:0830378788</v>
      </c>
      <c r="D628" s="19" t="str">
        <f>T("C2309266 HYDECLIM")</f>
        <v>C2309266 HYDECLIM</v>
      </c>
      <c r="E628" s="19" t="str">
        <f>T("510146097")</f>
        <v>510146097</v>
      </c>
      <c r="F628" s="19" t="s">
        <v>17</v>
      </c>
      <c r="G628" s="19" t="s">
        <v>14</v>
      </c>
      <c r="H628" s="19" t="str">
        <f>T("607251075")</f>
        <v>607251075</v>
      </c>
      <c r="I628" s="19" t="s">
        <v>260</v>
      </c>
      <c r="J628" s="19" t="s">
        <v>261</v>
      </c>
      <c r="K628" s="19" t="str">
        <f>T("59650")</f>
        <v>59650</v>
      </c>
      <c r="L628" s="19" t="s">
        <v>19</v>
      </c>
      <c r="M628" s="21" t="s">
        <v>0</v>
      </c>
      <c r="N628" s="31">
        <v>45218</v>
      </c>
    </row>
    <row r="629" spans="1:14" ht="16" x14ac:dyDescent="0.2">
      <c r="A629" s="19" t="s">
        <v>1556</v>
      </c>
      <c r="B629" s="20">
        <v>45216</v>
      </c>
      <c r="C629" s="19" t="str">
        <f>T("330241440:0830378821")</f>
        <v>330241440:0830378821</v>
      </c>
      <c r="D629" s="19" t="str">
        <f>T("WC AVL37-CF231000")</f>
        <v>WC AVL37-CF231000</v>
      </c>
      <c r="E629" s="19" t="str">
        <f>T("510146692")</f>
        <v>510146692</v>
      </c>
      <c r="F629" s="19" t="s">
        <v>17</v>
      </c>
      <c r="G629" s="19" t="s">
        <v>14</v>
      </c>
      <c r="H629" s="19" t="str">
        <f>T("607251089")</f>
        <v>607251089</v>
      </c>
      <c r="I629" s="19" t="s">
        <v>1557</v>
      </c>
      <c r="J629" s="19" t="s">
        <v>1558</v>
      </c>
      <c r="K629" s="19" t="str">
        <f>T("44242")</f>
        <v>44242</v>
      </c>
      <c r="L629" s="19" t="s">
        <v>19</v>
      </c>
      <c r="M629" s="21" t="s">
        <v>1</v>
      </c>
      <c r="N629" s="21"/>
    </row>
    <row r="630" spans="1:14" ht="16" hidden="1" x14ac:dyDescent="0.2">
      <c r="A630" s="19" t="s">
        <v>1559</v>
      </c>
      <c r="B630" s="20">
        <v>45216</v>
      </c>
      <c r="C630" s="19" t="str">
        <f>T("330241409:0830378803")</f>
        <v>330241409:0830378803</v>
      </c>
      <c r="D630" s="19" t="str">
        <f>T("SOL2309FBC008688-")</f>
        <v>SOL2309FBC008688-</v>
      </c>
      <c r="E630" s="19" t="str">
        <f>T("510145989")</f>
        <v>510145989</v>
      </c>
      <c r="F630" s="19" t="s">
        <v>17</v>
      </c>
      <c r="G630" s="19" t="s">
        <v>14</v>
      </c>
      <c r="H630" s="19" t="str">
        <f>T("607251092")</f>
        <v>607251092</v>
      </c>
      <c r="I630" s="19" t="s">
        <v>1560</v>
      </c>
      <c r="J630" s="19" t="s">
        <v>1561</v>
      </c>
      <c r="K630" s="19" t="str">
        <f>T("69680")</f>
        <v>69680</v>
      </c>
      <c r="L630" s="19" t="s">
        <v>19</v>
      </c>
      <c r="M630" s="21" t="s">
        <v>0</v>
      </c>
      <c r="N630" s="31">
        <v>45217</v>
      </c>
    </row>
    <row r="631" spans="1:14" ht="16" hidden="1" x14ac:dyDescent="0.2">
      <c r="A631" s="19" t="s">
        <v>1562</v>
      </c>
      <c r="B631" s="20">
        <v>45216</v>
      </c>
      <c r="C631" s="19" t="str">
        <f>T("330241618:0830378834")</f>
        <v>330241618:0830378834</v>
      </c>
      <c r="D631" s="19" t="str">
        <f>T("00100247-SAV COMP")</f>
        <v>00100247-SAV COMP</v>
      </c>
      <c r="E631" s="19" t="str">
        <f>T("510146198")</f>
        <v>510146198</v>
      </c>
      <c r="F631" s="19" t="s">
        <v>16</v>
      </c>
      <c r="G631" s="19" t="s">
        <v>14</v>
      </c>
      <c r="H631" s="19" t="str">
        <f>T("607251132")</f>
        <v>607251132</v>
      </c>
      <c r="I631" s="19" t="s">
        <v>386</v>
      </c>
      <c r="J631" s="19" t="s">
        <v>1563</v>
      </c>
      <c r="K631" s="19" t="str">
        <f>T("13854")</f>
        <v>13854</v>
      </c>
      <c r="L631" s="19" t="s">
        <v>19</v>
      </c>
      <c r="M631" s="21" t="s">
        <v>0</v>
      </c>
      <c r="N631" s="31">
        <v>45217</v>
      </c>
    </row>
    <row r="632" spans="1:14" ht="16" hidden="1" x14ac:dyDescent="0.2">
      <c r="A632" s="19" t="s">
        <v>1564</v>
      </c>
      <c r="B632" s="20">
        <v>45216</v>
      </c>
      <c r="C632" s="19" t="str">
        <f>T("330241427:0830378813")</f>
        <v>330241427:0830378813</v>
      </c>
      <c r="D632" s="19" t="str">
        <f>T("CDC127806 MB0043")</f>
        <v>CDC127806 MB0043</v>
      </c>
      <c r="E632" s="19" t="str">
        <f>T("510146337")</f>
        <v>510146337</v>
      </c>
      <c r="F632" s="19" t="s">
        <v>17</v>
      </c>
      <c r="G632" s="19" t="s">
        <v>14</v>
      </c>
      <c r="H632" s="19" t="str">
        <f>T("607251115")</f>
        <v>607251115</v>
      </c>
      <c r="I632" s="19" t="s">
        <v>1565</v>
      </c>
      <c r="J632" s="19" t="s">
        <v>1566</v>
      </c>
      <c r="K632" s="19" t="str">
        <f>T("33650")</f>
        <v>33650</v>
      </c>
      <c r="L632" s="19" t="s">
        <v>19</v>
      </c>
      <c r="M632" s="21" t="s">
        <v>0</v>
      </c>
      <c r="N632" s="31">
        <v>45217</v>
      </c>
    </row>
    <row r="633" spans="1:14" ht="16" hidden="1" x14ac:dyDescent="0.2">
      <c r="A633" s="19" t="s">
        <v>1567</v>
      </c>
      <c r="B633" s="20">
        <v>45216</v>
      </c>
      <c r="C633" s="19" t="str">
        <f>T("330241615:0830378818")</f>
        <v>330241615:0830378818</v>
      </c>
      <c r="D633" s="19" t="str">
        <f>T("00100150-SAV IMPE")</f>
        <v>00100150-SAV IMPE</v>
      </c>
      <c r="E633" s="19" t="str">
        <f>T("510146160")</f>
        <v>510146160</v>
      </c>
      <c r="F633" s="19" t="s">
        <v>17</v>
      </c>
      <c r="G633" s="19" t="s">
        <v>14</v>
      </c>
      <c r="H633" s="19" t="str">
        <f>T("607251129")</f>
        <v>607251129</v>
      </c>
      <c r="I633" s="19" t="s">
        <v>1568</v>
      </c>
      <c r="J633" s="19" t="s">
        <v>1569</v>
      </c>
      <c r="K633" s="19" t="str">
        <f>T("06110")</f>
        <v>06110</v>
      </c>
      <c r="L633" s="19" t="s">
        <v>19</v>
      </c>
      <c r="M633" s="21" t="s">
        <v>0</v>
      </c>
      <c r="N633" s="31">
        <v>45217</v>
      </c>
    </row>
    <row r="634" spans="1:14" ht="16" hidden="1" x14ac:dyDescent="0.2">
      <c r="A634" s="19" t="s">
        <v>1570</v>
      </c>
      <c r="B634" s="20">
        <v>45216</v>
      </c>
      <c r="C634" s="19" t="str">
        <f>T("330241442:0830378144")</f>
        <v>330241442:0830378144</v>
      </c>
      <c r="D634" s="19" t="str">
        <f>T("WC246458 GB0056/V")</f>
        <v>WC246458 GB0056/V</v>
      </c>
      <c r="E634" s="19" t="str">
        <f>T("510146702")</f>
        <v>510146702</v>
      </c>
      <c r="F634" s="19" t="s">
        <v>17</v>
      </c>
      <c r="G634" s="19" t="s">
        <v>14</v>
      </c>
      <c r="H634" s="19" t="str">
        <f>T("607251146")</f>
        <v>607251146</v>
      </c>
      <c r="I634" s="19" t="s">
        <v>1571</v>
      </c>
      <c r="J634" s="19" t="s">
        <v>1572</v>
      </c>
      <c r="K634" s="19" t="str">
        <f>T("86600")</f>
        <v>86600</v>
      </c>
      <c r="L634" s="19" t="s">
        <v>19</v>
      </c>
      <c r="M634" s="21" t="s">
        <v>0</v>
      </c>
      <c r="N634" s="31">
        <v>45218</v>
      </c>
    </row>
    <row r="635" spans="1:14" ht="16" hidden="1" x14ac:dyDescent="0.2">
      <c r="A635" s="19" t="s">
        <v>1573</v>
      </c>
      <c r="B635" s="20">
        <v>45216</v>
      </c>
      <c r="C635" s="19" t="str">
        <f>T("330241619:0830378835")</f>
        <v>330241619:0830378835</v>
      </c>
      <c r="D635" s="19" t="str">
        <f>T("C2310015 - HYD 44")</f>
        <v>C2310015 - HYD 44</v>
      </c>
      <c r="E635" s="19" t="str">
        <f>T("510146238")</f>
        <v>510146238</v>
      </c>
      <c r="F635" s="19" t="s">
        <v>16</v>
      </c>
      <c r="G635" s="19" t="s">
        <v>14</v>
      </c>
      <c r="H635" s="19" t="str">
        <f>T("607251150")</f>
        <v>607251150</v>
      </c>
      <c r="I635" s="19" t="s">
        <v>1574</v>
      </c>
      <c r="J635" s="19" t="s">
        <v>1575</v>
      </c>
      <c r="K635" s="19" t="str">
        <f>T("81000")</f>
        <v>81000</v>
      </c>
      <c r="L635" s="19" t="s">
        <v>19</v>
      </c>
      <c r="M635" s="21" t="s">
        <v>0</v>
      </c>
      <c r="N635" s="31">
        <v>45218</v>
      </c>
    </row>
    <row r="636" spans="1:14" ht="16" hidden="1" x14ac:dyDescent="0.2">
      <c r="A636" s="19" t="s">
        <v>1576</v>
      </c>
      <c r="B636" s="20">
        <v>45216</v>
      </c>
      <c r="C636" s="19" t="str">
        <f>T("330241576:0830378328")</f>
        <v>330241576:0830378328</v>
      </c>
      <c r="D636" s="19" t="str">
        <f>T("00100379-SAV RAK2")</f>
        <v>00100379-SAV RAK2</v>
      </c>
      <c r="E636" s="19" t="str">
        <f>T("510146551")</f>
        <v>510146551</v>
      </c>
      <c r="F636" s="19" t="s">
        <v>16</v>
      </c>
      <c r="G636" s="19" t="s">
        <v>14</v>
      </c>
      <c r="H636" s="19" t="str">
        <f>T("607251163")</f>
        <v>607251163</v>
      </c>
      <c r="I636" s="19" t="s">
        <v>225</v>
      </c>
      <c r="J636" s="19" t="s">
        <v>226</v>
      </c>
      <c r="K636" s="19" t="str">
        <f>T("06370")</f>
        <v>06370</v>
      </c>
      <c r="L636" s="19" t="s">
        <v>19</v>
      </c>
      <c r="M636" s="21" t="s">
        <v>0</v>
      </c>
      <c r="N636" s="31">
        <v>45217</v>
      </c>
    </row>
    <row r="637" spans="1:14" ht="16" hidden="1" x14ac:dyDescent="0.2">
      <c r="A637" s="19" t="s">
        <v>1577</v>
      </c>
      <c r="B637" s="20">
        <v>45216</v>
      </c>
      <c r="C637" s="19" t="str">
        <f>T("330241429:0830378814")</f>
        <v>330241429:0830378814</v>
      </c>
      <c r="D637" s="19" t="str">
        <f>T("172518/AC")</f>
        <v>172518/AC</v>
      </c>
      <c r="E637" s="19" t="str">
        <f>T("510146588")</f>
        <v>510146588</v>
      </c>
      <c r="F637" s="19" t="s">
        <v>17</v>
      </c>
      <c r="G637" s="19" t="s">
        <v>14</v>
      </c>
      <c r="H637" s="19" t="str">
        <f>T("607251177")</f>
        <v>607251177</v>
      </c>
      <c r="I637" s="19" t="s">
        <v>1578</v>
      </c>
      <c r="J637" s="19" t="s">
        <v>1579</v>
      </c>
      <c r="K637" s="19" t="str">
        <f>T("25480")</f>
        <v>25480</v>
      </c>
      <c r="L637" s="19" t="s">
        <v>19</v>
      </c>
      <c r="M637" s="21" t="s">
        <v>0</v>
      </c>
      <c r="N637" s="31">
        <v>45217</v>
      </c>
    </row>
    <row r="638" spans="1:14" ht="16" hidden="1" x14ac:dyDescent="0.2">
      <c r="A638" s="19" t="s">
        <v>1580</v>
      </c>
      <c r="B638" s="20">
        <v>45216</v>
      </c>
      <c r="C638" s="19" t="str">
        <f>T("330241614:0830378817")</f>
        <v>330241614:0830378817</v>
      </c>
      <c r="D638" s="19" t="str">
        <f>T("00100136-SAV RWM4")</f>
        <v>00100136-SAV RWM4</v>
      </c>
      <c r="E638" s="19" t="str">
        <f>T("510146155")</f>
        <v>510146155</v>
      </c>
      <c r="F638" s="19" t="s">
        <v>17</v>
      </c>
      <c r="G638" s="19" t="s">
        <v>14</v>
      </c>
      <c r="H638" s="19" t="str">
        <f>T("607251185")</f>
        <v>607251185</v>
      </c>
      <c r="I638" s="19" t="s">
        <v>1581</v>
      </c>
      <c r="J638" s="19" t="s">
        <v>1582</v>
      </c>
      <c r="K638" s="19" t="str">
        <f>T("04100")</f>
        <v>04100</v>
      </c>
      <c r="L638" s="19" t="s">
        <v>19</v>
      </c>
      <c r="M638" s="21" t="s">
        <v>0</v>
      </c>
      <c r="N638" s="31">
        <v>45218</v>
      </c>
    </row>
    <row r="639" spans="1:14" ht="16" hidden="1" x14ac:dyDescent="0.2">
      <c r="A639" s="19" t="s">
        <v>1583</v>
      </c>
      <c r="B639" s="20">
        <v>45216</v>
      </c>
      <c r="C639" s="19" t="str">
        <f>T("330241401:0830378122")</f>
        <v>330241401:0830378122</v>
      </c>
      <c r="D639" s="19" t="str">
        <f>T("171198/AC")</f>
        <v>171198/AC</v>
      </c>
      <c r="E639" s="19" t="str">
        <f>T("510146370")</f>
        <v>510146370</v>
      </c>
      <c r="F639" s="19" t="s">
        <v>17</v>
      </c>
      <c r="G639" s="19" t="s">
        <v>14</v>
      </c>
      <c r="H639" s="19" t="str">
        <f>T("607251194")</f>
        <v>607251194</v>
      </c>
      <c r="I639" s="19" t="s">
        <v>21</v>
      </c>
      <c r="J639" s="19" t="s">
        <v>1171</v>
      </c>
      <c r="K639" s="19" t="str">
        <f>T("25220")</f>
        <v>25220</v>
      </c>
      <c r="L639" s="19" t="s">
        <v>19</v>
      </c>
      <c r="M639" s="21" t="s">
        <v>0</v>
      </c>
      <c r="N639" s="31">
        <v>45217</v>
      </c>
    </row>
    <row r="640" spans="1:14" ht="16" hidden="1" x14ac:dyDescent="0.2">
      <c r="A640" s="19" t="s">
        <v>1584</v>
      </c>
      <c r="B640" s="20">
        <v>45216</v>
      </c>
      <c r="C640" s="19" t="str">
        <f>T("330241529:0830378857")</f>
        <v>330241529:0830378857</v>
      </c>
      <c r="D640" s="19" t="str">
        <f>T("501230113")</f>
        <v>501230113</v>
      </c>
      <c r="E640" s="19" t="str">
        <f>T("560021762")</f>
        <v>560021762</v>
      </c>
      <c r="F640" s="19" t="s">
        <v>17</v>
      </c>
      <c r="G640" s="19" t="s">
        <v>14</v>
      </c>
      <c r="H640" s="19" t="str">
        <f>T("607251203")</f>
        <v>607251203</v>
      </c>
      <c r="I640" s="19" t="s">
        <v>1316</v>
      </c>
      <c r="J640" s="19" t="s">
        <v>1317</v>
      </c>
      <c r="K640" s="19" t="str">
        <f>T("616 00")</f>
        <v>616 00</v>
      </c>
      <c r="L640" s="19" t="s">
        <v>1215</v>
      </c>
      <c r="M640" s="21" t="s">
        <v>0</v>
      </c>
      <c r="N640" s="31">
        <v>45217</v>
      </c>
    </row>
    <row r="641" spans="1:14" ht="16" hidden="1" x14ac:dyDescent="0.2">
      <c r="A641" s="19" t="s">
        <v>1585</v>
      </c>
      <c r="B641" s="20">
        <v>45216</v>
      </c>
      <c r="C641" s="19" t="str">
        <f>T("330241417:0830378809")</f>
        <v>330241417:0830378809</v>
      </c>
      <c r="D641" s="19" t="str">
        <f>T("00100302-SAV 9633")</f>
        <v>00100302-SAV 9633</v>
      </c>
      <c r="E641" s="19" t="str">
        <f>T("510146299")</f>
        <v>510146299</v>
      </c>
      <c r="F641" s="19" t="s">
        <v>17</v>
      </c>
      <c r="G641" s="19" t="s">
        <v>14</v>
      </c>
      <c r="H641" s="19" t="str">
        <f>T("607251217")</f>
        <v>607251217</v>
      </c>
      <c r="I641" s="19" t="s">
        <v>1586</v>
      </c>
      <c r="J641" s="19" t="s">
        <v>1587</v>
      </c>
      <c r="K641" s="19" t="str">
        <f>T("13001")</f>
        <v>13001</v>
      </c>
      <c r="L641" s="19" t="s">
        <v>19</v>
      </c>
      <c r="M641" s="21" t="s">
        <v>0</v>
      </c>
      <c r="N641" s="31">
        <v>45217</v>
      </c>
    </row>
    <row r="642" spans="1:14" ht="16" hidden="1" x14ac:dyDescent="0.2">
      <c r="A642" s="19" t="s">
        <v>1588</v>
      </c>
      <c r="B642" s="20">
        <v>45216</v>
      </c>
      <c r="C642" s="19" t="str">
        <f>T("330241526:0830378855")</f>
        <v>330241526:0830378855</v>
      </c>
      <c r="D642" s="19" t="str">
        <f>T("zam/25/09/2023")</f>
        <v>zam/25/09/2023</v>
      </c>
      <c r="E642" s="19" t="str">
        <f>T("560021752")</f>
        <v>560021752</v>
      </c>
      <c r="F642" s="19" t="s">
        <v>17</v>
      </c>
      <c r="G642" s="19" t="s">
        <v>14</v>
      </c>
      <c r="H642" s="19" t="str">
        <f>T("607251248")</f>
        <v>607251248</v>
      </c>
      <c r="I642" s="19" t="s">
        <v>1270</v>
      </c>
      <c r="J642" s="19" t="s">
        <v>1271</v>
      </c>
      <c r="K642" s="19" t="str">
        <f>T("05-840")</f>
        <v>05-840</v>
      </c>
      <c r="L642" s="19" t="s">
        <v>20</v>
      </c>
      <c r="M642" s="21" t="s">
        <v>0</v>
      </c>
      <c r="N642" s="31">
        <v>45217</v>
      </c>
    </row>
    <row r="643" spans="1:14" ht="16" hidden="1" x14ac:dyDescent="0.2">
      <c r="A643" s="19" t="s">
        <v>1589</v>
      </c>
      <c r="B643" s="20">
        <v>45216</v>
      </c>
      <c r="C643" s="19" t="str">
        <f>T("330241567:0830378844")</f>
        <v>330241567:0830378844</v>
      </c>
      <c r="D643" s="19" t="str">
        <f>T("WC-PERIN")</f>
        <v>WC-PERIN</v>
      </c>
      <c r="E643" s="19" t="str">
        <f>T("510146652")</f>
        <v>510146652</v>
      </c>
      <c r="F643" s="19" t="s">
        <v>17</v>
      </c>
      <c r="G643" s="19" t="s">
        <v>14</v>
      </c>
      <c r="H643" s="19" t="str">
        <f>T("607251234")</f>
        <v>607251234</v>
      </c>
      <c r="I643" s="19" t="s">
        <v>47</v>
      </c>
      <c r="J643" s="19" t="s">
        <v>180</v>
      </c>
      <c r="K643" s="19" t="str">
        <f>T("06370")</f>
        <v>06370</v>
      </c>
      <c r="L643" s="19" t="s">
        <v>19</v>
      </c>
      <c r="M643" s="21" t="s">
        <v>0</v>
      </c>
      <c r="N643" s="31">
        <v>45217</v>
      </c>
    </row>
    <row r="644" spans="1:14" ht="16" hidden="1" x14ac:dyDescent="0.2">
      <c r="A644" s="19" t="s">
        <v>1590</v>
      </c>
      <c r="B644" s="20">
        <v>45216</v>
      </c>
      <c r="C644" s="19" t="str">
        <f>T("330241344:0830378766")</f>
        <v>330241344:0830378766</v>
      </c>
      <c r="D644" s="19" t="str">
        <f>T("Tempcold")</f>
        <v>Tempcold</v>
      </c>
      <c r="E644" s="19" t="str">
        <f>T("560021938")</f>
        <v>560021938</v>
      </c>
      <c r="F644" s="19" t="s">
        <v>17</v>
      </c>
      <c r="G644" s="19" t="s">
        <v>14</v>
      </c>
      <c r="H644" s="19" t="str">
        <f>T("607251251")</f>
        <v>607251251</v>
      </c>
      <c r="I644" s="19" t="s">
        <v>1591</v>
      </c>
      <c r="J644" s="19" t="s">
        <v>1176</v>
      </c>
      <c r="K644" s="19" t="str">
        <f>T("42-427")</f>
        <v>42-427</v>
      </c>
      <c r="L644" s="19" t="s">
        <v>20</v>
      </c>
      <c r="M644" s="21" t="s">
        <v>0</v>
      </c>
      <c r="N644" s="31">
        <v>45217</v>
      </c>
    </row>
    <row r="645" spans="1:14" ht="16" hidden="1" x14ac:dyDescent="0.2">
      <c r="A645" s="19" t="s">
        <v>1592</v>
      </c>
      <c r="B645" s="20">
        <v>45216</v>
      </c>
      <c r="C645" s="19" t="str">
        <f>T("330241481:0830378199")</f>
        <v>330241481:0830378199</v>
      </c>
      <c r="D645" s="19" t="str">
        <f>T("WC-MR VERSEIL")</f>
        <v>WC-MR VERSEIL</v>
      </c>
      <c r="E645" s="19" t="str">
        <f>T("510146648")</f>
        <v>510146648</v>
      </c>
      <c r="F645" s="19" t="s">
        <v>17</v>
      </c>
      <c r="G645" s="19" t="s">
        <v>14</v>
      </c>
      <c r="H645" s="19" t="str">
        <f>T("607251265")</f>
        <v>607251265</v>
      </c>
      <c r="I645" s="19" t="s">
        <v>47</v>
      </c>
      <c r="J645" s="19" t="s">
        <v>185</v>
      </c>
      <c r="K645" s="19" t="str">
        <f>T("45140")</f>
        <v>45140</v>
      </c>
      <c r="L645" s="19" t="s">
        <v>19</v>
      </c>
      <c r="M645" s="21" t="s">
        <v>0</v>
      </c>
      <c r="N645" s="31">
        <v>45217</v>
      </c>
    </row>
    <row r="646" spans="1:14" ht="16" hidden="1" x14ac:dyDescent="0.2">
      <c r="A646" s="19" t="s">
        <v>1593</v>
      </c>
      <c r="B646" s="20">
        <v>45216</v>
      </c>
      <c r="C646" s="19" t="str">
        <f>T("330241370:0830378116")</f>
        <v>330241370:0830378116</v>
      </c>
      <c r="D646" s="19" t="str">
        <f>T("WC stock")</f>
        <v>WC stock</v>
      </c>
      <c r="E646" s="19" t="str">
        <f>T("510146577")</f>
        <v>510146577</v>
      </c>
      <c r="F646" s="19" t="s">
        <v>17</v>
      </c>
      <c r="G646" s="19" t="s">
        <v>14</v>
      </c>
      <c r="H646" s="19" t="str">
        <f>T("607251279")</f>
        <v>607251279</v>
      </c>
      <c r="I646" s="19" t="s">
        <v>851</v>
      </c>
      <c r="J646" s="19" t="s">
        <v>852</v>
      </c>
      <c r="K646" s="19" t="str">
        <f>T("54180")</f>
        <v>54180</v>
      </c>
      <c r="L646" s="19" t="s">
        <v>19</v>
      </c>
      <c r="M646" s="21" t="s">
        <v>0</v>
      </c>
      <c r="N646" s="31">
        <v>45217</v>
      </c>
    </row>
    <row r="647" spans="1:14" ht="16" hidden="1" x14ac:dyDescent="0.2">
      <c r="A647" s="19" t="s">
        <v>1594</v>
      </c>
      <c r="B647" s="20">
        <v>45216</v>
      </c>
      <c r="C647" s="19" t="str">
        <f>T("330241306:0830378753")</f>
        <v>330241306:0830378753</v>
      </c>
      <c r="D647" s="19" t="str">
        <f>T("SOL2309FBC008581-")</f>
        <v>SOL2309FBC008581-</v>
      </c>
      <c r="E647" s="19" t="str">
        <f>T("510146033")</f>
        <v>510146033</v>
      </c>
      <c r="F647" s="19" t="s">
        <v>17</v>
      </c>
      <c r="G647" s="19" t="s">
        <v>14</v>
      </c>
      <c r="H647" s="19" t="str">
        <f>T("607251282")</f>
        <v>607251282</v>
      </c>
      <c r="I647" s="19" t="s">
        <v>1595</v>
      </c>
      <c r="J647" s="19" t="s">
        <v>1596</v>
      </c>
      <c r="K647" s="19" t="str">
        <f>T("30900")</f>
        <v>30900</v>
      </c>
      <c r="L647" s="19" t="s">
        <v>19</v>
      </c>
      <c r="M647" s="21" t="s">
        <v>0</v>
      </c>
      <c r="N647" s="31">
        <v>45217</v>
      </c>
    </row>
    <row r="648" spans="1:14" ht="16" hidden="1" x14ac:dyDescent="0.2">
      <c r="A648" s="19" t="s">
        <v>1597</v>
      </c>
      <c r="B648" s="20">
        <v>45216</v>
      </c>
      <c r="C648" s="19" t="str">
        <f>T("330241369:0830378115")</f>
        <v>330241369:0830378115</v>
      </c>
      <c r="D648" s="19" t="str">
        <f>T("WC STOCK METZ")</f>
        <v>WC STOCK METZ</v>
      </c>
      <c r="E648" s="19" t="str">
        <f>T("510146575")</f>
        <v>510146575</v>
      </c>
      <c r="F648" s="19" t="s">
        <v>17</v>
      </c>
      <c r="G648" s="19" t="s">
        <v>14</v>
      </c>
      <c r="H648" s="19" t="str">
        <f>T("607251296")</f>
        <v>607251296</v>
      </c>
      <c r="I648" s="19" t="s">
        <v>851</v>
      </c>
      <c r="J648" s="19" t="s">
        <v>859</v>
      </c>
      <c r="K648" s="19" t="str">
        <f>T("54180")</f>
        <v>54180</v>
      </c>
      <c r="L648" s="19" t="s">
        <v>19</v>
      </c>
      <c r="M648" s="21" t="s">
        <v>0</v>
      </c>
      <c r="N648" s="31">
        <v>45217</v>
      </c>
    </row>
    <row r="649" spans="1:14" ht="16" hidden="1" x14ac:dyDescent="0.2">
      <c r="A649" s="19" t="s">
        <v>1598</v>
      </c>
      <c r="B649" s="20">
        <v>45216</v>
      </c>
      <c r="C649" s="19" t="str">
        <f>T("330241441:0830378143")</f>
        <v>330241441:0830378143</v>
      </c>
      <c r="D649" s="19" t="str">
        <f>T("WC-ETD")</f>
        <v>WC-ETD</v>
      </c>
      <c r="E649" s="19" t="str">
        <f>T("510146696")</f>
        <v>510146696</v>
      </c>
      <c r="F649" s="19" t="s">
        <v>17</v>
      </c>
      <c r="G649" s="19" t="s">
        <v>14</v>
      </c>
      <c r="H649" s="19" t="str">
        <f>T("607251305")</f>
        <v>607251305</v>
      </c>
      <c r="I649" s="19" t="s">
        <v>851</v>
      </c>
      <c r="J649" s="19" t="s">
        <v>859</v>
      </c>
      <c r="K649" s="19" t="str">
        <f>T("54180")</f>
        <v>54180</v>
      </c>
      <c r="L649" s="19" t="s">
        <v>19</v>
      </c>
      <c r="M649" s="21" t="s">
        <v>0</v>
      </c>
      <c r="N649" s="31">
        <v>45217</v>
      </c>
    </row>
    <row r="650" spans="1:14" ht="16" hidden="1" x14ac:dyDescent="0.2">
      <c r="A650" s="19" t="s">
        <v>1599</v>
      </c>
      <c r="B650" s="20">
        <v>45216</v>
      </c>
      <c r="C650" s="19" t="str">
        <f>T("330241435:0830378140")</f>
        <v>330241435:0830378140</v>
      </c>
      <c r="D650" s="19" t="str">
        <f>T("WC-MR RAFFRAY")</f>
        <v>WC-MR RAFFRAY</v>
      </c>
      <c r="E650" s="19" t="str">
        <f>T("510146667")</f>
        <v>510146667</v>
      </c>
      <c r="F650" s="19" t="s">
        <v>17</v>
      </c>
      <c r="G650" s="19" t="s">
        <v>14</v>
      </c>
      <c r="H650" s="19" t="str">
        <f>T("607251319")</f>
        <v>607251319</v>
      </c>
      <c r="I650" s="19" t="s">
        <v>47</v>
      </c>
      <c r="J650" s="19" t="s">
        <v>185</v>
      </c>
      <c r="K650" s="19" t="str">
        <f>T("45140")</f>
        <v>45140</v>
      </c>
      <c r="L650" s="19" t="s">
        <v>19</v>
      </c>
      <c r="M650" s="21" t="s">
        <v>0</v>
      </c>
      <c r="N650" s="31">
        <v>45217</v>
      </c>
    </row>
    <row r="651" spans="1:14" ht="16" hidden="1" x14ac:dyDescent="0.2">
      <c r="A651" s="19" t="s">
        <v>1600</v>
      </c>
      <c r="B651" s="20">
        <v>45216</v>
      </c>
      <c r="C651" s="19" t="str">
        <f>T("330241554:0830378840")</f>
        <v>330241554:0830378840</v>
      </c>
      <c r="D651" s="19" t="str">
        <f>T("HE14495999")</f>
        <v>HE14495999</v>
      </c>
      <c r="E651" s="19" t="str">
        <f>T("510146839")</f>
        <v>510146839</v>
      </c>
      <c r="F651" s="19" t="s">
        <v>17</v>
      </c>
      <c r="G651" s="19" t="s">
        <v>14</v>
      </c>
      <c r="H651" s="19" t="str">
        <f>T("607251336")</f>
        <v>607251336</v>
      </c>
      <c r="I651" s="19" t="s">
        <v>1601</v>
      </c>
      <c r="J651" s="19" t="s">
        <v>1602</v>
      </c>
      <c r="K651" s="19" t="str">
        <f>T("44260")</f>
        <v>44260</v>
      </c>
      <c r="L651" s="19" t="s">
        <v>19</v>
      </c>
      <c r="M651" s="21" t="s">
        <v>0</v>
      </c>
      <c r="N651" s="31">
        <v>45217</v>
      </c>
    </row>
    <row r="652" spans="1:14" ht="16" hidden="1" x14ac:dyDescent="0.2">
      <c r="A652" s="19" t="s">
        <v>1603</v>
      </c>
      <c r="B652" s="20">
        <v>45216</v>
      </c>
      <c r="C652" s="19" t="str">
        <f>T("330241583:0830378847")</f>
        <v>330241583:0830378847</v>
      </c>
      <c r="D652" s="19" t="str">
        <f>T("00100235-SAV RAS4")</f>
        <v>00100235-SAV RAS4</v>
      </c>
      <c r="E652" s="19" t="str">
        <f>T("510146187")</f>
        <v>510146187</v>
      </c>
      <c r="F652" s="19" t="s">
        <v>17</v>
      </c>
      <c r="G652" s="19" t="s">
        <v>14</v>
      </c>
      <c r="H652" s="19" t="str">
        <f>T("607251340")</f>
        <v>607251340</v>
      </c>
      <c r="I652" s="19" t="s">
        <v>225</v>
      </c>
      <c r="J652" s="19" t="s">
        <v>226</v>
      </c>
      <c r="K652" s="19" t="str">
        <f>T("06370")</f>
        <v>06370</v>
      </c>
      <c r="L652" s="19" t="s">
        <v>19</v>
      </c>
      <c r="M652" s="21" t="s">
        <v>0</v>
      </c>
      <c r="N652" s="31">
        <v>45217</v>
      </c>
    </row>
    <row r="653" spans="1:14" ht="16" hidden="1" x14ac:dyDescent="0.2">
      <c r="A653" s="19" t="s">
        <v>1604</v>
      </c>
      <c r="B653" s="20">
        <v>45216</v>
      </c>
      <c r="C653" s="19" t="str">
        <f>T("330241328:0830378760")</f>
        <v>330241328:0830378760</v>
      </c>
      <c r="D653" s="19" t="str">
        <f>T("BC15822-AR38543")</f>
        <v>BC15822-AR38543</v>
      </c>
      <c r="E653" s="19" t="str">
        <f>T("510146289")</f>
        <v>510146289</v>
      </c>
      <c r="F653" s="19" t="s">
        <v>16</v>
      </c>
      <c r="G653" s="19" t="s">
        <v>14</v>
      </c>
      <c r="H653" s="19" t="str">
        <f>T("607251353")</f>
        <v>607251353</v>
      </c>
      <c r="I653" s="19" t="s">
        <v>1605</v>
      </c>
      <c r="J653" s="19" t="s">
        <v>1606</v>
      </c>
      <c r="K653" s="19" t="str">
        <f>T("76500")</f>
        <v>76500</v>
      </c>
      <c r="L653" s="19" t="s">
        <v>19</v>
      </c>
      <c r="M653" s="21" t="s">
        <v>0</v>
      </c>
      <c r="N653" s="31">
        <v>45218</v>
      </c>
    </row>
    <row r="654" spans="1:14" ht="16" hidden="1" x14ac:dyDescent="0.2">
      <c r="A654" s="19" t="s">
        <v>1607</v>
      </c>
      <c r="B654" s="20">
        <v>45216</v>
      </c>
      <c r="C654" s="19" t="str">
        <f>T("330241483:0830378831")</f>
        <v>330241483:0830378831</v>
      </c>
      <c r="D654" s="19" t="str">
        <f>T("WC-CARTER CASH PO")</f>
        <v>WC-CARTER CASH PO</v>
      </c>
      <c r="E654" s="19" t="str">
        <f>T("510146651")</f>
        <v>510146651</v>
      </c>
      <c r="F654" s="19" t="s">
        <v>17</v>
      </c>
      <c r="G654" s="19" t="s">
        <v>14</v>
      </c>
      <c r="H654" s="19" t="str">
        <f>T("607251367")</f>
        <v>607251367</v>
      </c>
      <c r="I654" s="19" t="s">
        <v>47</v>
      </c>
      <c r="J654" s="19" t="s">
        <v>435</v>
      </c>
      <c r="K654" s="19" t="str">
        <f>T("83160")</f>
        <v>83160</v>
      </c>
      <c r="L654" s="19" t="s">
        <v>19</v>
      </c>
      <c r="M654" s="21" t="s">
        <v>0</v>
      </c>
      <c r="N654" s="31">
        <v>45218</v>
      </c>
    </row>
    <row r="655" spans="1:14" ht="16" hidden="1" x14ac:dyDescent="0.2">
      <c r="A655" s="19" t="s">
        <v>1608</v>
      </c>
      <c r="B655" s="20">
        <v>45216</v>
      </c>
      <c r="C655" s="19" t="str">
        <f>T("330241476:0830378828")</f>
        <v>330241476:0830378828</v>
      </c>
      <c r="D655" s="19" t="str">
        <f>T("SAVC Hasan DEMIRT")</f>
        <v>SAVC Hasan DEMIRT</v>
      </c>
      <c r="E655" s="19" t="str">
        <f>T("510146201")</f>
        <v>510146201</v>
      </c>
      <c r="F655" s="19" t="s">
        <v>17</v>
      </c>
      <c r="G655" s="19" t="s">
        <v>14</v>
      </c>
      <c r="H655" s="19" t="str">
        <f>T("607251375")</f>
        <v>607251375</v>
      </c>
      <c r="I655" s="19" t="s">
        <v>199</v>
      </c>
      <c r="J655" s="19" t="s">
        <v>200</v>
      </c>
      <c r="K655" s="19" t="str">
        <f>T("14123")</f>
        <v>14123</v>
      </c>
      <c r="L655" s="19" t="s">
        <v>19</v>
      </c>
      <c r="M655" s="21" t="s">
        <v>0</v>
      </c>
      <c r="N655" s="31">
        <v>45217</v>
      </c>
    </row>
    <row r="656" spans="1:14" ht="16" hidden="1" x14ac:dyDescent="0.2">
      <c r="A656" s="19" t="s">
        <v>1609</v>
      </c>
      <c r="B656" s="20">
        <v>45216</v>
      </c>
      <c r="C656" s="19" t="str">
        <f>T("330239495:0830377210")</f>
        <v>330239495:0830377210</v>
      </c>
      <c r="D656" s="19" t="str">
        <f>T("Sep-23")</f>
        <v>Sep-23</v>
      </c>
      <c r="E656" s="19" t="str">
        <f>T("560021914")</f>
        <v>560021914</v>
      </c>
      <c r="F656" s="19" t="s">
        <v>17</v>
      </c>
      <c r="G656" s="19" t="s">
        <v>15</v>
      </c>
      <c r="H656" s="19" t="str">
        <f>T("1Z1V47910444451250")</f>
        <v>1Z1V47910444451250</v>
      </c>
      <c r="I656" s="19" t="s">
        <v>1610</v>
      </c>
      <c r="J656" s="19" t="s">
        <v>1611</v>
      </c>
      <c r="K656" s="19" t="str">
        <f>T("00148")</f>
        <v>00148</v>
      </c>
      <c r="L656" s="19" t="s">
        <v>18</v>
      </c>
      <c r="M656" s="21" t="s">
        <v>0</v>
      </c>
      <c r="N656" s="31">
        <v>45218</v>
      </c>
    </row>
    <row r="657" spans="1:15" ht="16" hidden="1" x14ac:dyDescent="0.2">
      <c r="A657" s="19" t="s">
        <v>1612</v>
      </c>
      <c r="B657" s="20">
        <v>45216</v>
      </c>
      <c r="C657" s="19" t="str">
        <f>T("330239510:0830377215")</f>
        <v>330239510:0830377215</v>
      </c>
      <c r="D657" s="19" t="str">
        <f>T("elettrica landi")</f>
        <v>elettrica landi</v>
      </c>
      <c r="E657" s="19" t="str">
        <f>T("560021746")</f>
        <v>560021746</v>
      </c>
      <c r="F657" s="19" t="s">
        <v>17</v>
      </c>
      <c r="G657" s="19" t="s">
        <v>15</v>
      </c>
      <c r="H657" s="19" t="str">
        <f>T("1Z1V47910444100861")</f>
        <v>1Z1V47910444100861</v>
      </c>
      <c r="I657" s="19" t="s">
        <v>1613</v>
      </c>
      <c r="J657" s="19" t="s">
        <v>1614</v>
      </c>
      <c r="K657" s="19" t="str">
        <f>T("52022")</f>
        <v>52022</v>
      </c>
      <c r="L657" s="19" t="s">
        <v>18</v>
      </c>
      <c r="M657" s="21" t="s">
        <v>0</v>
      </c>
      <c r="N657" s="31">
        <v>45218</v>
      </c>
    </row>
    <row r="658" spans="1:15" ht="16" hidden="1" x14ac:dyDescent="0.2">
      <c r="A658" s="19" t="s">
        <v>1615</v>
      </c>
      <c r="B658" s="20">
        <v>45216</v>
      </c>
      <c r="C658" s="19" t="str">
        <f>T("330239431:0830377181")</f>
        <v>330239431:0830377181</v>
      </c>
      <c r="D658" s="19" t="str">
        <f>T("BUSCONE")</f>
        <v>BUSCONE</v>
      </c>
      <c r="E658" s="19" t="str">
        <f>T("560021759")</f>
        <v>560021759</v>
      </c>
      <c r="F658" s="19" t="s">
        <v>17</v>
      </c>
      <c r="G658" s="19" t="s">
        <v>15</v>
      </c>
      <c r="H658" s="19" t="str">
        <f>T("1Z1V47910445931471")</f>
        <v>1Z1V47910445931471</v>
      </c>
      <c r="I658" s="19" t="s">
        <v>1616</v>
      </c>
      <c r="J658" s="19" t="s">
        <v>1617</v>
      </c>
      <c r="K658" s="19" t="str">
        <f>T("27010")</f>
        <v>27010</v>
      </c>
      <c r="L658" s="19" t="s">
        <v>18</v>
      </c>
      <c r="M658" s="21" t="s">
        <v>0</v>
      </c>
      <c r="N658" s="31">
        <v>45218</v>
      </c>
      <c r="O658" s="1" t="s">
        <v>66</v>
      </c>
    </row>
    <row r="659" spans="1:15" ht="16" hidden="1" x14ac:dyDescent="0.2">
      <c r="A659" s="19" t="s">
        <v>1618</v>
      </c>
      <c r="B659" s="20">
        <v>45216</v>
      </c>
      <c r="C659" s="19" t="str">
        <f>T("330239564:0830377227")</f>
        <v>330239564:0830377227</v>
      </c>
      <c r="D659" s="19" t="str">
        <f>T("1xLager/1xWiedere")</f>
        <v>1xLager/1xWiedere</v>
      </c>
      <c r="E659" s="19" t="str">
        <f>T("540012347")</f>
        <v>540012347</v>
      </c>
      <c r="F659" s="19" t="s">
        <v>17</v>
      </c>
      <c r="G659" s="19" t="s">
        <v>15</v>
      </c>
      <c r="H659" s="19" t="str">
        <f>T("1Z1V47910443535699")</f>
        <v>1Z1V47910443535699</v>
      </c>
      <c r="I659" s="19" t="s">
        <v>1619</v>
      </c>
      <c r="J659" s="19" t="s">
        <v>1620</v>
      </c>
      <c r="K659" s="19" t="str">
        <f>T("42279")</f>
        <v>42279</v>
      </c>
      <c r="L659" s="19" t="s">
        <v>35</v>
      </c>
      <c r="M659" s="21" t="s">
        <v>0</v>
      </c>
      <c r="N659" s="31">
        <v>45217</v>
      </c>
    </row>
    <row r="660" spans="1:15" ht="16" hidden="1" x14ac:dyDescent="0.2">
      <c r="A660" s="19" t="s">
        <v>1621</v>
      </c>
      <c r="B660" s="20">
        <v>45216</v>
      </c>
      <c r="C660" s="19" t="str">
        <f>T("330239447:0830374121")</f>
        <v>330239447:0830374121</v>
      </c>
      <c r="D660" s="19" t="str">
        <f>T("247074M")</f>
        <v>247074M</v>
      </c>
      <c r="E660" s="19" t="str">
        <f>T("560021817")</f>
        <v>560021817</v>
      </c>
      <c r="F660" s="19" t="s">
        <v>17</v>
      </c>
      <c r="G660" s="19" t="s">
        <v>15</v>
      </c>
      <c r="H660" s="19" t="str">
        <f>T("1Z1V47910443509306")</f>
        <v>1Z1V47910443509306</v>
      </c>
      <c r="I660" s="19" t="s">
        <v>1622</v>
      </c>
      <c r="J660" s="19" t="s">
        <v>1623</v>
      </c>
      <c r="K660" s="19" t="str">
        <f>T("95024")</f>
        <v>95024</v>
      </c>
      <c r="L660" s="19" t="s">
        <v>18</v>
      </c>
      <c r="M660" s="21" t="s">
        <v>0</v>
      </c>
      <c r="N660" s="31">
        <v>45218</v>
      </c>
    </row>
    <row r="661" spans="1:15" ht="16" hidden="1" x14ac:dyDescent="0.2">
      <c r="A661" s="19" t="s">
        <v>1624</v>
      </c>
      <c r="B661" s="20">
        <v>45216</v>
      </c>
      <c r="C661" s="19" t="str">
        <f>T("330239453:0830377200")</f>
        <v>330239453:0830377200</v>
      </c>
      <c r="D661" s="19" t="str">
        <f>T("23248")</f>
        <v>23248</v>
      </c>
      <c r="E661" s="19" t="str">
        <f>T("560021833")</f>
        <v>560021833</v>
      </c>
      <c r="F661" s="19" t="s">
        <v>17</v>
      </c>
      <c r="G661" s="19" t="s">
        <v>15</v>
      </c>
      <c r="H661" s="19" t="str">
        <f>T("1Z1V47910445063918")</f>
        <v>1Z1V47910445063918</v>
      </c>
      <c r="I661" s="19" t="s">
        <v>1625</v>
      </c>
      <c r="J661" s="19" t="s">
        <v>1626</v>
      </c>
      <c r="K661" s="19" t="str">
        <f>T("54100")</f>
        <v>54100</v>
      </c>
      <c r="L661" s="19" t="s">
        <v>18</v>
      </c>
      <c r="M661" s="21" t="s">
        <v>0</v>
      </c>
      <c r="N661" s="31">
        <v>45217</v>
      </c>
    </row>
    <row r="662" spans="1:15" ht="16" hidden="1" x14ac:dyDescent="0.2">
      <c r="A662" s="19" t="s">
        <v>1627</v>
      </c>
      <c r="B662" s="20">
        <v>45216</v>
      </c>
      <c r="C662" s="19" t="str">
        <f>T("330237914:0830378043")</f>
        <v>330237914:0830378043</v>
      </c>
      <c r="D662" s="19" t="str">
        <f>T("WC 9709")</f>
        <v>WC 9709</v>
      </c>
      <c r="E662" s="19" t="str">
        <f>T("560021882")</f>
        <v>560021882</v>
      </c>
      <c r="F662" s="19" t="s">
        <v>17</v>
      </c>
      <c r="G662" s="19" t="s">
        <v>15</v>
      </c>
      <c r="H662" s="19" t="str">
        <f>T("1Z1V47910444299523")</f>
        <v>1Z1V47910444299523</v>
      </c>
      <c r="I662" s="19" t="s">
        <v>112</v>
      </c>
      <c r="J662" s="19" t="s">
        <v>113</v>
      </c>
      <c r="K662" s="19" t="str">
        <f>T("80014")</f>
        <v>80014</v>
      </c>
      <c r="L662" s="19" t="s">
        <v>18</v>
      </c>
      <c r="M662" s="21" t="s">
        <v>0</v>
      </c>
      <c r="N662" s="31">
        <v>45219</v>
      </c>
    </row>
    <row r="663" spans="1:15" ht="16" hidden="1" x14ac:dyDescent="0.2">
      <c r="A663" s="19" t="s">
        <v>1628</v>
      </c>
      <c r="B663" s="20">
        <v>45216</v>
      </c>
      <c r="C663" s="19" t="str">
        <f>T("330239529:0830378053")</f>
        <v>330239529:0830378053</v>
      </c>
      <c r="D663" s="19" t="str">
        <f>T("Kom. 231295 / Gan")</f>
        <v>Kom. 231295 / Gan</v>
      </c>
      <c r="E663" s="19" t="str">
        <f>T("540012304")</f>
        <v>540012304</v>
      </c>
      <c r="F663" s="19" t="s">
        <v>17</v>
      </c>
      <c r="G663" s="19" t="s">
        <v>15</v>
      </c>
      <c r="H663" s="19" t="str">
        <f>T("1Z1V47910443316130")</f>
        <v>1Z1V47910443316130</v>
      </c>
      <c r="I663" s="19" t="s">
        <v>1629</v>
      </c>
      <c r="J663" s="19" t="s">
        <v>1630</v>
      </c>
      <c r="K663" s="19" t="str">
        <f>T("55252")</f>
        <v>55252</v>
      </c>
      <c r="L663" s="19" t="s">
        <v>35</v>
      </c>
      <c r="M663" s="21" t="s">
        <v>0</v>
      </c>
      <c r="N663" s="31">
        <v>45217</v>
      </c>
    </row>
    <row r="664" spans="1:15" ht="16" hidden="1" x14ac:dyDescent="0.2">
      <c r="A664" s="19" t="s">
        <v>1631</v>
      </c>
      <c r="B664" s="20">
        <v>45216</v>
      </c>
      <c r="C664" s="19" t="str">
        <f>T("330239505:0830378051")</f>
        <v>330239505:0830378051</v>
      </c>
      <c r="D664" s="19" t="str">
        <f>T("SERVICE.COM842 SR")</f>
        <v>SERVICE.COM842 SR</v>
      </c>
      <c r="E664" s="19" t="str">
        <f>T("560021736")</f>
        <v>560021736</v>
      </c>
      <c r="F664" s="19" t="s">
        <v>17</v>
      </c>
      <c r="G664" s="19" t="s">
        <v>15</v>
      </c>
      <c r="H664" s="19" t="str">
        <f>T("1Z1V47910444213749")</f>
        <v>1Z1V47910444213749</v>
      </c>
      <c r="I664" s="19" t="s">
        <v>1632</v>
      </c>
      <c r="J664" s="19" t="s">
        <v>1633</v>
      </c>
      <c r="K664" s="19" t="str">
        <f>T("31048")</f>
        <v>31048</v>
      </c>
      <c r="L664" s="19" t="s">
        <v>18</v>
      </c>
      <c r="M664" s="21" t="s">
        <v>0</v>
      </c>
      <c r="N664" s="31">
        <v>45217</v>
      </c>
    </row>
    <row r="665" spans="1:15" ht="16" hidden="1" x14ac:dyDescent="0.2">
      <c r="A665" s="19" t="s">
        <v>1634</v>
      </c>
      <c r="B665" s="20">
        <v>45216</v>
      </c>
      <c r="C665" s="19" t="str">
        <f>T("330239527:0830378052")</f>
        <v>330239527:0830378052</v>
      </c>
      <c r="D665" s="19" t="str">
        <f>T("Kom. 231139 / Gan")</f>
        <v>Kom. 231139 / Gan</v>
      </c>
      <c r="E665" s="19" t="str">
        <f>T("540012307")</f>
        <v>540012307</v>
      </c>
      <c r="F665" s="19" t="s">
        <v>17</v>
      </c>
      <c r="G665" s="19" t="s">
        <v>15</v>
      </c>
      <c r="H665" s="19" t="str">
        <f>T("1Z1V47910443092355")</f>
        <v>1Z1V47910443092355</v>
      </c>
      <c r="I665" s="19" t="s">
        <v>1629</v>
      </c>
      <c r="J665" s="19" t="s">
        <v>1630</v>
      </c>
      <c r="K665" s="19" t="str">
        <f>T("55252")</f>
        <v>55252</v>
      </c>
      <c r="L665" s="19" t="s">
        <v>35</v>
      </c>
      <c r="M665" s="21" t="s">
        <v>0</v>
      </c>
      <c r="N665" s="31">
        <v>45217</v>
      </c>
    </row>
    <row r="666" spans="1:15" ht="16" hidden="1" x14ac:dyDescent="0.2">
      <c r="A666" s="19" t="s">
        <v>1635</v>
      </c>
      <c r="B666" s="20">
        <v>45216</v>
      </c>
      <c r="C666" s="19" t="str">
        <f>T("330239441:0830378050")</f>
        <v>330239441:0830378050</v>
      </c>
      <c r="D666" s="19" t="str">
        <f>T("3940")</f>
        <v>3940</v>
      </c>
      <c r="E666" s="19" t="str">
        <f>T("560021786")</f>
        <v>560021786</v>
      </c>
      <c r="F666" s="19" t="s">
        <v>17</v>
      </c>
      <c r="G666" s="19" t="s">
        <v>15</v>
      </c>
      <c r="H666" s="19" t="str">
        <f>T("1Z1V47910445051967")</f>
        <v>1Z1V47910445051967</v>
      </c>
      <c r="I666" s="19" t="s">
        <v>1636</v>
      </c>
      <c r="J666" s="19" t="s">
        <v>1637</v>
      </c>
      <c r="K666" s="19" t="str">
        <f>T("20138")</f>
        <v>20138</v>
      </c>
      <c r="L666" s="19" t="s">
        <v>18</v>
      </c>
      <c r="M666" s="21" t="s">
        <v>0</v>
      </c>
      <c r="N666" s="31">
        <v>45217</v>
      </c>
    </row>
    <row r="667" spans="1:15" ht="16" hidden="1" x14ac:dyDescent="0.2">
      <c r="A667" s="19" t="s">
        <v>1638</v>
      </c>
      <c r="B667" s="20">
        <v>45216</v>
      </c>
      <c r="C667" s="19" t="str">
        <f>T("330241564:0830378260")</f>
        <v>330241564:0830378260</v>
      </c>
      <c r="D667" s="19" t="str">
        <f>T("Dec-23")</f>
        <v>Dec-23</v>
      </c>
      <c r="E667" s="19" t="str">
        <f>T("560021920")</f>
        <v>560021920</v>
      </c>
      <c r="F667" s="19" t="s">
        <v>17</v>
      </c>
      <c r="G667" s="19" t="s">
        <v>15</v>
      </c>
      <c r="H667" s="19" t="str">
        <f>T("1Z1V47910443192578")</f>
        <v>1Z1V47910443192578</v>
      </c>
      <c r="I667" s="19" t="s">
        <v>1639</v>
      </c>
      <c r="J667" s="19" t="s">
        <v>1640</v>
      </c>
      <c r="K667" s="19" t="str">
        <f>T("33033")</f>
        <v>33033</v>
      </c>
      <c r="L667" s="19" t="s">
        <v>18</v>
      </c>
      <c r="M667" s="21" t="s">
        <v>0</v>
      </c>
      <c r="N667" s="31">
        <v>45217</v>
      </c>
    </row>
    <row r="668" spans="1:15" ht="16" hidden="1" x14ac:dyDescent="0.2">
      <c r="A668" s="19" t="s">
        <v>1641</v>
      </c>
      <c r="B668" s="20">
        <v>45216</v>
      </c>
      <c r="C668" s="19" t="str">
        <f>T("330241392:0830378182")</f>
        <v>330241392:0830378182</v>
      </c>
      <c r="D668" s="19" t="str">
        <f>T("WC 9696")</f>
        <v>WC 9696</v>
      </c>
      <c r="E668" s="19" t="str">
        <f>T("560021990")</f>
        <v>560021990</v>
      </c>
      <c r="F668" s="19" t="s">
        <v>17</v>
      </c>
      <c r="G668" s="19" t="s">
        <v>15</v>
      </c>
      <c r="H668" s="19" t="str">
        <f>T("1Z1V47910445614180")</f>
        <v>1Z1V47910445614180</v>
      </c>
      <c r="I668" s="19" t="s">
        <v>969</v>
      </c>
      <c r="J668" s="19" t="s">
        <v>969</v>
      </c>
      <c r="K668" s="19" t="str">
        <f>T("21052")</f>
        <v>21052</v>
      </c>
      <c r="L668" s="19" t="s">
        <v>18</v>
      </c>
      <c r="M668" s="21" t="s">
        <v>0</v>
      </c>
      <c r="N668" s="31">
        <v>45217</v>
      </c>
    </row>
    <row r="669" spans="1:15" ht="16" hidden="1" x14ac:dyDescent="0.2">
      <c r="A669" s="19" t="s">
        <v>1642</v>
      </c>
      <c r="B669" s="20">
        <v>45216</v>
      </c>
      <c r="C669" s="19" t="str">
        <f>T("330241505:0830378238")</f>
        <v>330241505:0830378238</v>
      </c>
      <c r="D669" s="19" t="str">
        <f>T("DITILLO")</f>
        <v>DITILLO</v>
      </c>
      <c r="E669" s="19" t="str">
        <f>T("560021933")</f>
        <v>560021933</v>
      </c>
      <c r="F669" s="19" t="s">
        <v>17</v>
      </c>
      <c r="G669" s="19" t="s">
        <v>15</v>
      </c>
      <c r="H669" s="19" t="str">
        <f>T("1Z1V47910445416797")</f>
        <v>1Z1V47910445416797</v>
      </c>
      <c r="I669" s="19" t="s">
        <v>1643</v>
      </c>
      <c r="J669" s="19" t="s">
        <v>1644</v>
      </c>
      <c r="K669" s="19" t="str">
        <f>T("47521")</f>
        <v>47521</v>
      </c>
      <c r="L669" s="19" t="s">
        <v>18</v>
      </c>
      <c r="M669" s="21" t="s">
        <v>0</v>
      </c>
      <c r="N669" s="31">
        <v>45217</v>
      </c>
    </row>
    <row r="670" spans="1:15" ht="16" hidden="1" x14ac:dyDescent="0.2">
      <c r="A670" s="19" t="s">
        <v>1645</v>
      </c>
      <c r="B670" s="20">
        <v>45216</v>
      </c>
      <c r="C670" s="19" t="str">
        <f>T("330241390:0830378181")</f>
        <v>330241390:0830378181</v>
      </c>
      <c r="D670" s="19" t="str">
        <f>T("of 810")</f>
        <v>of 810</v>
      </c>
      <c r="E670" s="19" t="str">
        <f>T("560021987")</f>
        <v>560021987</v>
      </c>
      <c r="F670" s="19" t="s">
        <v>17</v>
      </c>
      <c r="G670" s="19" t="s">
        <v>15</v>
      </c>
      <c r="H670" s="19" t="str">
        <f>T("1Z1V47910444700409")</f>
        <v>1Z1V47910444700409</v>
      </c>
      <c r="I670" s="19" t="s">
        <v>1029</v>
      </c>
      <c r="J670" s="19" t="s">
        <v>1030</v>
      </c>
      <c r="K670" s="19" t="str">
        <f>T("48018")</f>
        <v>48018</v>
      </c>
      <c r="L670" s="19" t="s">
        <v>18</v>
      </c>
      <c r="M670" s="21" t="s">
        <v>0</v>
      </c>
      <c r="N670" s="31">
        <v>45217</v>
      </c>
    </row>
    <row r="671" spans="1:15" ht="16" hidden="1" x14ac:dyDescent="0.2">
      <c r="A671" s="19" t="s">
        <v>1646</v>
      </c>
      <c r="B671" s="20">
        <v>45216</v>
      </c>
      <c r="C671" s="19" t="str">
        <f>T("330241507:0830378240")</f>
        <v>330241507:0830378240</v>
      </c>
      <c r="D671" s="19" t="str">
        <f>T("ZH")</f>
        <v>ZH</v>
      </c>
      <c r="E671" s="19" t="str">
        <f>T("560021935")</f>
        <v>560021935</v>
      </c>
      <c r="F671" s="19" t="s">
        <v>17</v>
      </c>
      <c r="G671" s="19" t="s">
        <v>15</v>
      </c>
      <c r="H671" s="19" t="str">
        <f>T("1Z1V47910445565019")</f>
        <v>1Z1V47910445565019</v>
      </c>
      <c r="I671" s="19" t="s">
        <v>1647</v>
      </c>
      <c r="J671" s="19" t="s">
        <v>1648</v>
      </c>
      <c r="K671" s="19" t="str">
        <f>T("41122")</f>
        <v>41122</v>
      </c>
      <c r="L671" s="19" t="s">
        <v>18</v>
      </c>
      <c r="M671" s="21" t="s">
        <v>0</v>
      </c>
      <c r="N671" s="31">
        <v>45217</v>
      </c>
    </row>
    <row r="672" spans="1:15" ht="16" hidden="1" x14ac:dyDescent="0.2">
      <c r="A672" s="19" t="s">
        <v>1649</v>
      </c>
      <c r="B672" s="20">
        <v>45216</v>
      </c>
      <c r="C672" s="19" t="str">
        <f>T("330241522:0830378252")</f>
        <v>330241522:0830378252</v>
      </c>
      <c r="D672" s="19" t="str">
        <f>T("ORD FORN 17-23")</f>
        <v>ORD FORN 17-23</v>
      </c>
      <c r="E672" s="19" t="str">
        <f>T("560021974")</f>
        <v>560021974</v>
      </c>
      <c r="F672" s="19" t="s">
        <v>17</v>
      </c>
      <c r="G672" s="19" t="s">
        <v>15</v>
      </c>
      <c r="H672" s="19" t="str">
        <f>T("1Z1V47910444110627")</f>
        <v>1Z1V47910444110627</v>
      </c>
      <c r="I672" s="19" t="s">
        <v>928</v>
      </c>
      <c r="J672" s="19" t="s">
        <v>929</v>
      </c>
      <c r="K672" s="19" t="str">
        <f>T("61047")</f>
        <v>61047</v>
      </c>
      <c r="L672" s="19" t="s">
        <v>18</v>
      </c>
      <c r="M672" s="21" t="s">
        <v>0</v>
      </c>
      <c r="N672" s="31">
        <v>45217</v>
      </c>
    </row>
    <row r="673" spans="1:15" ht="16" hidden="1" x14ac:dyDescent="0.2">
      <c r="A673" s="19" t="s">
        <v>1650</v>
      </c>
      <c r="B673" s="20">
        <v>45216</v>
      </c>
      <c r="C673" s="19" t="str">
        <f>T("330241517:0830378248")</f>
        <v>330241517:0830378248</v>
      </c>
      <c r="D673" s="19" t="str">
        <f>T("WC 9696")</f>
        <v>WC 9696</v>
      </c>
      <c r="E673" s="19" t="str">
        <f>T("560021950")</f>
        <v>560021950</v>
      </c>
      <c r="F673" s="19" t="s">
        <v>17</v>
      </c>
      <c r="G673" s="19" t="s">
        <v>15</v>
      </c>
      <c r="H673" s="19" t="str">
        <f>T("1Z1V47910445437238")</f>
        <v>1Z1V47910445437238</v>
      </c>
      <c r="I673" s="19" t="s">
        <v>969</v>
      </c>
      <c r="J673" s="19" t="s">
        <v>969</v>
      </c>
      <c r="K673" s="19" t="str">
        <f>T("21052")</f>
        <v>21052</v>
      </c>
      <c r="L673" s="19" t="s">
        <v>18</v>
      </c>
      <c r="M673" s="21" t="s">
        <v>0</v>
      </c>
      <c r="N673" s="31">
        <v>45217</v>
      </c>
    </row>
    <row r="674" spans="1:15" ht="16" hidden="1" x14ac:dyDescent="0.2">
      <c r="A674" s="19" t="s">
        <v>1651</v>
      </c>
      <c r="B674" s="20">
        <v>45216</v>
      </c>
      <c r="C674" s="19" t="str">
        <f>T("330241499:0830378233")</f>
        <v>330241499:0830378233</v>
      </c>
      <c r="D674" s="19" t="str">
        <f>T("schede")</f>
        <v>schede</v>
      </c>
      <c r="E674" s="19" t="str">
        <f>T("560021924")</f>
        <v>560021924</v>
      </c>
      <c r="F674" s="19" t="s">
        <v>17</v>
      </c>
      <c r="G674" s="19" t="s">
        <v>15</v>
      </c>
      <c r="H674" s="19" t="str">
        <f>T("1Z1V47910445644844")</f>
        <v>1Z1V47910445644844</v>
      </c>
      <c r="I674" s="19" t="s">
        <v>1652</v>
      </c>
      <c r="J674" s="19" t="s">
        <v>1653</v>
      </c>
      <c r="K674" s="19" t="str">
        <f>T("37062")</f>
        <v>37062</v>
      </c>
      <c r="L674" s="19" t="s">
        <v>18</v>
      </c>
      <c r="M674" s="21" t="s">
        <v>0</v>
      </c>
      <c r="N674" s="31">
        <v>45217</v>
      </c>
    </row>
    <row r="675" spans="1:15" ht="16" hidden="1" x14ac:dyDescent="0.2">
      <c r="A675" s="19" t="s">
        <v>1654</v>
      </c>
      <c r="B675" s="20">
        <v>45216</v>
      </c>
      <c r="C675" s="19" t="str">
        <f>T("330241519:0830378249")</f>
        <v>330241519:0830378249</v>
      </c>
      <c r="D675" s="19" t="str">
        <f>T("19783-STRADIOTTO")</f>
        <v>19783-STRADIOTTO</v>
      </c>
      <c r="E675" s="19" t="str">
        <f>T("560021957")</f>
        <v>560021957</v>
      </c>
      <c r="F675" s="19" t="s">
        <v>17</v>
      </c>
      <c r="G675" s="19" t="s">
        <v>15</v>
      </c>
      <c r="H675" s="19" t="str">
        <f>T("1Z1V47910445103062")</f>
        <v>1Z1V47910445103062</v>
      </c>
      <c r="I675" s="19" t="s">
        <v>117</v>
      </c>
      <c r="J675" s="19" t="s">
        <v>1492</v>
      </c>
      <c r="K675" s="19" t="str">
        <f>T("31010")</f>
        <v>31010</v>
      </c>
      <c r="L675" s="19" t="s">
        <v>18</v>
      </c>
      <c r="M675" s="21" t="s">
        <v>0</v>
      </c>
      <c r="N675" s="31">
        <v>45217</v>
      </c>
    </row>
    <row r="676" spans="1:15" ht="16" hidden="1" x14ac:dyDescent="0.2">
      <c r="A676" s="19" t="s">
        <v>1655</v>
      </c>
      <c r="B676" s="20">
        <v>45216</v>
      </c>
      <c r="C676" s="19" t="str">
        <f>T("330241498:0830378232")</f>
        <v>330241498:0830378232</v>
      </c>
      <c r="D676" s="19" t="str">
        <f>T("of 793")</f>
        <v>of 793</v>
      </c>
      <c r="E676" s="19" t="str">
        <f>T("560021923")</f>
        <v>560021923</v>
      </c>
      <c r="F676" s="19" t="s">
        <v>17</v>
      </c>
      <c r="G676" s="19" t="s">
        <v>15</v>
      </c>
      <c r="H676" s="19" t="str">
        <f>T("1Z1V47910444285289")</f>
        <v>1Z1V47910444285289</v>
      </c>
      <c r="I676" s="19" t="s">
        <v>1029</v>
      </c>
      <c r="J676" s="19" t="s">
        <v>1030</v>
      </c>
      <c r="K676" s="19" t="str">
        <f>T("48018")</f>
        <v>48018</v>
      </c>
      <c r="L676" s="19" t="s">
        <v>18</v>
      </c>
      <c r="M676" s="21" t="s">
        <v>0</v>
      </c>
      <c r="N676" s="31">
        <v>45217</v>
      </c>
    </row>
    <row r="677" spans="1:15" ht="16" hidden="1" x14ac:dyDescent="0.2">
      <c r="A677" s="19" t="s">
        <v>1656</v>
      </c>
      <c r="B677" s="20">
        <v>45216</v>
      </c>
      <c r="C677" s="19" t="str">
        <f>T("330241521:0830378251")</f>
        <v>330241521:0830378251</v>
      </c>
      <c r="D677" s="19" t="str">
        <f>T("VERONESE")</f>
        <v>VERONESE</v>
      </c>
      <c r="E677" s="19" t="str">
        <f>T("560021986")</f>
        <v>560021986</v>
      </c>
      <c r="F677" s="19" t="s">
        <v>17</v>
      </c>
      <c r="G677" s="19" t="s">
        <v>15</v>
      </c>
      <c r="H677" s="19" t="str">
        <f>T("1Z1V47910443397893")</f>
        <v>1Z1V47910443397893</v>
      </c>
      <c r="I677" s="19" t="s">
        <v>1657</v>
      </c>
      <c r="J677" s="19" t="s">
        <v>1658</v>
      </c>
      <c r="K677" s="19" t="str">
        <f>T("30015")</f>
        <v>30015</v>
      </c>
      <c r="L677" s="19" t="s">
        <v>18</v>
      </c>
      <c r="M677" s="21" t="s">
        <v>0</v>
      </c>
      <c r="N677" s="31">
        <v>45217</v>
      </c>
    </row>
    <row r="678" spans="1:15" ht="16" hidden="1" x14ac:dyDescent="0.2">
      <c r="A678" s="19" t="s">
        <v>1659</v>
      </c>
      <c r="B678" s="20">
        <v>45216</v>
      </c>
      <c r="C678" s="19" t="str">
        <f>T("330241515:0830378246")</f>
        <v>330241515:0830378246</v>
      </c>
      <c r="D678" s="19" t="str">
        <f>T("WC 9722")</f>
        <v>WC 9722</v>
      </c>
      <c r="E678" s="19" t="str">
        <f>T("560021948")</f>
        <v>560021948</v>
      </c>
      <c r="F678" s="19" t="s">
        <v>17</v>
      </c>
      <c r="G678" s="19" t="s">
        <v>15</v>
      </c>
      <c r="H678" s="19" t="str">
        <f>T("1Z1V47910444991506")</f>
        <v>1Z1V47910444991506</v>
      </c>
      <c r="I678" s="19" t="s">
        <v>999</v>
      </c>
      <c r="J678" s="19" t="s">
        <v>999</v>
      </c>
      <c r="K678" s="19" t="str">
        <f>T("25047")</f>
        <v>25047</v>
      </c>
      <c r="L678" s="19" t="s">
        <v>18</v>
      </c>
      <c r="M678" s="21" t="s">
        <v>0</v>
      </c>
      <c r="N678" s="31">
        <v>45217</v>
      </c>
    </row>
    <row r="679" spans="1:15" ht="16" hidden="1" x14ac:dyDescent="0.2">
      <c r="A679" s="19" t="s">
        <v>1660</v>
      </c>
      <c r="B679" s="20">
        <v>45216</v>
      </c>
      <c r="C679" s="19" t="str">
        <f>T("330241509:0830378242")</f>
        <v>330241509:0830378242</v>
      </c>
      <c r="D679" s="19" t="str">
        <f>T("Iaccarini Michele")</f>
        <v>Iaccarini Michele</v>
      </c>
      <c r="E679" s="19" t="str">
        <f>T("560021937")</f>
        <v>560021937</v>
      </c>
      <c r="F679" s="19" t="s">
        <v>17</v>
      </c>
      <c r="G679" s="19" t="s">
        <v>15</v>
      </c>
      <c r="H679" s="19" t="str">
        <f>T("1Z1V47910445166110")</f>
        <v>1Z1V47910445166110</v>
      </c>
      <c r="I679" s="19" t="s">
        <v>1661</v>
      </c>
      <c r="J679" s="19" t="s">
        <v>1662</v>
      </c>
      <c r="K679" s="19" t="str">
        <f>T("70132")</f>
        <v>70132</v>
      </c>
      <c r="L679" s="19" t="s">
        <v>18</v>
      </c>
      <c r="M679" s="21" t="s">
        <v>1</v>
      </c>
      <c r="N679" s="21"/>
      <c r="O679" s="1" t="s">
        <v>1922</v>
      </c>
    </row>
    <row r="680" spans="1:15" ht="16" hidden="1" x14ac:dyDescent="0.2">
      <c r="A680" s="19" t="s">
        <v>1663</v>
      </c>
      <c r="B680" s="20">
        <v>45216</v>
      </c>
      <c r="C680" s="19" t="str">
        <f>T("330241589:0830378335")</f>
        <v>330241589:0830378335</v>
      </c>
      <c r="D680" s="19" t="str">
        <f>T("WC 9730")</f>
        <v>WC 9730</v>
      </c>
      <c r="E680" s="19" t="str">
        <f>T("560021999")</f>
        <v>560021999</v>
      </c>
      <c r="F680" s="19" t="s">
        <v>17</v>
      </c>
      <c r="G680" s="19" t="s">
        <v>15</v>
      </c>
      <c r="H680" s="19" t="str">
        <f>T("1Z1V47910443021725")</f>
        <v>1Z1V47910443021725</v>
      </c>
      <c r="I680" s="19" t="s">
        <v>1664</v>
      </c>
      <c r="J680" s="19" t="s">
        <v>1665</v>
      </c>
      <c r="K680" s="19" t="str">
        <f>T("06055")</f>
        <v>06055</v>
      </c>
      <c r="L680" s="19" t="s">
        <v>18</v>
      </c>
      <c r="M680" s="21" t="s">
        <v>0</v>
      </c>
      <c r="N680" s="31">
        <v>45218</v>
      </c>
    </row>
    <row r="681" spans="1:15" ht="16" hidden="1" x14ac:dyDescent="0.2">
      <c r="A681" s="19" t="s">
        <v>1666</v>
      </c>
      <c r="B681" s="20">
        <v>45216</v>
      </c>
      <c r="C681" s="19" t="str">
        <f>T("330241508:0830378241")</f>
        <v>330241508:0830378241</v>
      </c>
      <c r="D681" s="19" t="str">
        <f>T("TURCHI")</f>
        <v>TURCHI</v>
      </c>
      <c r="E681" s="19" t="str">
        <f>T("560021936")</f>
        <v>560021936</v>
      </c>
      <c r="F681" s="19" t="s">
        <v>17</v>
      </c>
      <c r="G681" s="19" t="s">
        <v>15</v>
      </c>
      <c r="H681" s="19" t="str">
        <f>T("1Z1V47910443658333")</f>
        <v>1Z1V47910443658333</v>
      </c>
      <c r="I681" s="19" t="s">
        <v>1667</v>
      </c>
      <c r="J681" s="19" t="s">
        <v>1668</v>
      </c>
      <c r="K681" s="19" t="str">
        <f>T("50013")</f>
        <v>50013</v>
      </c>
      <c r="L681" s="19" t="s">
        <v>18</v>
      </c>
      <c r="M681" s="21" t="s">
        <v>0</v>
      </c>
      <c r="N681" s="31">
        <v>45217</v>
      </c>
    </row>
    <row r="682" spans="1:15" ht="16" hidden="1" x14ac:dyDescent="0.2">
      <c r="A682" s="19" t="s">
        <v>1669</v>
      </c>
      <c r="B682" s="20">
        <v>45216</v>
      </c>
      <c r="C682" s="19" t="str">
        <f>T("330241588:0830378334")</f>
        <v>330241588:0830378334</v>
      </c>
      <c r="D682" s="19" t="str">
        <f>T("WC 9104")</f>
        <v>WC 9104</v>
      </c>
      <c r="E682" s="19" t="str">
        <f>T("560021994")</f>
        <v>560021994</v>
      </c>
      <c r="F682" s="19" t="s">
        <v>17</v>
      </c>
      <c r="G682" s="19" t="s">
        <v>15</v>
      </c>
      <c r="H682" s="19" t="str">
        <f>T("1Z1V47910443175944")</f>
        <v>1Z1V47910443175944</v>
      </c>
      <c r="I682" s="19" t="s">
        <v>1670</v>
      </c>
      <c r="J682" s="19" t="s">
        <v>1670</v>
      </c>
      <c r="K682" s="19" t="str">
        <f>T("09028")</f>
        <v>09028</v>
      </c>
      <c r="L682" s="19" t="s">
        <v>18</v>
      </c>
      <c r="M682" s="21" t="s">
        <v>0</v>
      </c>
      <c r="N682" s="31">
        <v>45219</v>
      </c>
    </row>
    <row r="683" spans="1:15" ht="16" hidden="1" x14ac:dyDescent="0.2">
      <c r="A683" s="19" t="s">
        <v>1671</v>
      </c>
      <c r="B683" s="20">
        <v>45216</v>
      </c>
      <c r="C683" s="19" t="str">
        <f>T("330241520:0830378250")</f>
        <v>330241520:0830378250</v>
      </c>
      <c r="D683" s="19" t="str">
        <f>T("247814M")</f>
        <v>247814M</v>
      </c>
      <c r="E683" s="19" t="str">
        <f>T("560021958")</f>
        <v>560021958</v>
      </c>
      <c r="F683" s="19" t="s">
        <v>17</v>
      </c>
      <c r="G683" s="19" t="s">
        <v>15</v>
      </c>
      <c r="H683" s="19" t="str">
        <f>T("1Z1V47910443674557")</f>
        <v>1Z1V47910443674557</v>
      </c>
      <c r="I683" s="19" t="s">
        <v>1622</v>
      </c>
      <c r="J683" s="19" t="s">
        <v>1623</v>
      </c>
      <c r="K683" s="19" t="str">
        <f>T("95024")</f>
        <v>95024</v>
      </c>
      <c r="L683" s="19" t="s">
        <v>18</v>
      </c>
      <c r="M683" s="21" t="s">
        <v>0</v>
      </c>
      <c r="N683" s="31">
        <v>45218</v>
      </c>
    </row>
    <row r="684" spans="1:15" ht="16" hidden="1" x14ac:dyDescent="0.2">
      <c r="A684" s="19" t="s">
        <v>1672</v>
      </c>
      <c r="B684" s="20">
        <v>45216</v>
      </c>
      <c r="C684" s="19" t="str">
        <f>T("330241502:0830378235")</f>
        <v>330241502:0830378235</v>
      </c>
      <c r="D684" s="19" t="str">
        <f>T("ORD FORN 16/23")</f>
        <v>ORD FORN 16/23</v>
      </c>
      <c r="E684" s="19" t="str">
        <f>T("560021929")</f>
        <v>560021929</v>
      </c>
      <c r="F684" s="19" t="s">
        <v>17</v>
      </c>
      <c r="G684" s="19" t="s">
        <v>15</v>
      </c>
      <c r="H684" s="19" t="str">
        <f>T("1Z1V47910444254160")</f>
        <v>1Z1V47910444254160</v>
      </c>
      <c r="I684" s="19" t="s">
        <v>928</v>
      </c>
      <c r="J684" s="19" t="s">
        <v>929</v>
      </c>
      <c r="K684" s="19" t="str">
        <f>T("61047")</f>
        <v>61047</v>
      </c>
      <c r="L684" s="19" t="s">
        <v>18</v>
      </c>
      <c r="M684" s="21" t="s">
        <v>0</v>
      </c>
      <c r="N684" s="31">
        <v>45217</v>
      </c>
    </row>
    <row r="685" spans="1:15" ht="16" hidden="1" x14ac:dyDescent="0.2">
      <c r="A685" s="19" t="s">
        <v>1673</v>
      </c>
      <c r="B685" s="20">
        <v>45216</v>
      </c>
      <c r="C685" s="19" t="str">
        <f>T("330241500:0830378234")</f>
        <v>330241500:0830378234</v>
      </c>
      <c r="D685" s="19" t="str">
        <f>T("lido blu")</f>
        <v>lido blu</v>
      </c>
      <c r="E685" s="19" t="str">
        <f>T("560021926")</f>
        <v>560021926</v>
      </c>
      <c r="F685" s="19" t="s">
        <v>17</v>
      </c>
      <c r="G685" s="19" t="s">
        <v>15</v>
      </c>
      <c r="H685" s="19" t="str">
        <f>T("1Z1V47910444014777")</f>
        <v>1Z1V47910444014777</v>
      </c>
      <c r="I685" s="19" t="s">
        <v>728</v>
      </c>
      <c r="J685" s="19" t="s">
        <v>729</v>
      </c>
      <c r="K685" s="19" t="str">
        <f>T("38066")</f>
        <v>38066</v>
      </c>
      <c r="L685" s="19" t="s">
        <v>18</v>
      </c>
      <c r="M685" s="21" t="s">
        <v>0</v>
      </c>
      <c r="N685" s="31">
        <v>45217</v>
      </c>
    </row>
    <row r="686" spans="1:15" ht="16" hidden="1" x14ac:dyDescent="0.2">
      <c r="A686" s="19" t="s">
        <v>1674</v>
      </c>
      <c r="B686" s="20">
        <v>45216</v>
      </c>
      <c r="C686" s="19" t="str">
        <f>T("330241511:0830378244")</f>
        <v>330241511:0830378244</v>
      </c>
      <c r="D686" s="19" t="str">
        <f>T("WC MILETI")</f>
        <v>WC MILETI</v>
      </c>
      <c r="E686" s="19" t="str">
        <f>T("560021940")</f>
        <v>560021940</v>
      </c>
      <c r="F686" s="19" t="s">
        <v>17</v>
      </c>
      <c r="G686" s="19" t="s">
        <v>15</v>
      </c>
      <c r="H686" s="19" t="str">
        <f>T("1Z1V47910445056382")</f>
        <v>1Z1V47910445056382</v>
      </c>
      <c r="I686" s="19" t="s">
        <v>1675</v>
      </c>
      <c r="J686" s="19" t="s">
        <v>1675</v>
      </c>
      <c r="K686" s="19" t="str">
        <f>T("70043")</f>
        <v>70043</v>
      </c>
      <c r="L686" s="19" t="s">
        <v>18</v>
      </c>
      <c r="M686" s="21" t="s">
        <v>0</v>
      </c>
      <c r="N686" s="31">
        <v>45218</v>
      </c>
    </row>
    <row r="687" spans="1:15" ht="16" hidden="1" x14ac:dyDescent="0.2">
      <c r="A687" s="19" t="s">
        <v>1676</v>
      </c>
      <c r="B687" s="20">
        <v>45216</v>
      </c>
      <c r="C687" s="19" t="str">
        <f>T("330241506:0830378239")</f>
        <v>330241506:0830378239</v>
      </c>
      <c r="D687" s="19" t="str">
        <f>T("MANUZZI-PASINI")</f>
        <v>MANUZZI-PASINI</v>
      </c>
      <c r="E687" s="19" t="str">
        <f>T("560021932")</f>
        <v>560021932</v>
      </c>
      <c r="F687" s="19" t="s">
        <v>17</v>
      </c>
      <c r="G687" s="19" t="s">
        <v>15</v>
      </c>
      <c r="H687" s="19" t="str">
        <f>T("1Z1V47910443478993")</f>
        <v>1Z1V47910443478993</v>
      </c>
      <c r="I687" s="19" t="s">
        <v>1643</v>
      </c>
      <c r="J687" s="19" t="s">
        <v>1644</v>
      </c>
      <c r="K687" s="19" t="str">
        <f>T("47521")</f>
        <v>47521</v>
      </c>
      <c r="L687" s="19" t="s">
        <v>18</v>
      </c>
      <c r="M687" s="21" t="s">
        <v>0</v>
      </c>
      <c r="N687" s="31">
        <v>45217</v>
      </c>
    </row>
    <row r="688" spans="1:15" ht="16" hidden="1" x14ac:dyDescent="0.2">
      <c r="A688" s="19" t="s">
        <v>1677</v>
      </c>
      <c r="B688" s="20">
        <v>45216</v>
      </c>
      <c r="C688" s="19" t="str">
        <f>T("330241393:0830378798")</f>
        <v>330241393:0830378798</v>
      </c>
      <c r="D688" s="19" t="str">
        <f>T("WC 9638")</f>
        <v>WC 9638</v>
      </c>
      <c r="E688" s="19" t="str">
        <f>T("560021991")</f>
        <v>560021991</v>
      </c>
      <c r="F688" s="19" t="s">
        <v>17</v>
      </c>
      <c r="G688" s="19" t="s">
        <v>15</v>
      </c>
      <c r="H688" s="19" t="str">
        <f>T("1Z1V47910443867214")</f>
        <v>1Z1V47910443867214</v>
      </c>
      <c r="I688" s="19" t="s">
        <v>1652</v>
      </c>
      <c r="J688" s="19" t="s">
        <v>1652</v>
      </c>
      <c r="K688" s="19" t="str">
        <f>T("37062")</f>
        <v>37062</v>
      </c>
      <c r="L688" s="19" t="s">
        <v>18</v>
      </c>
      <c r="M688" s="21" t="s">
        <v>1</v>
      </c>
      <c r="N688" s="31">
        <v>45217</v>
      </c>
      <c r="O688" s="1" t="s">
        <v>60</v>
      </c>
    </row>
    <row r="689" spans="1:14" ht="16" hidden="1" x14ac:dyDescent="0.2">
      <c r="A689" s="19" t="s">
        <v>1678</v>
      </c>
      <c r="B689" s="20">
        <v>45216</v>
      </c>
      <c r="C689" s="19" t="str">
        <f>T("330241510:0830378243")</f>
        <v>330241510:0830378243</v>
      </c>
      <c r="D689" s="19" t="str">
        <f>T("WC 9721")</f>
        <v>WC 9721</v>
      </c>
      <c r="E689" s="19" t="str">
        <f>T("560021939")</f>
        <v>560021939</v>
      </c>
      <c r="F689" s="19" t="s">
        <v>17</v>
      </c>
      <c r="G689" s="19" t="s">
        <v>15</v>
      </c>
      <c r="H689" s="19" t="str">
        <f>T("1Z1V47910443979433")</f>
        <v>1Z1V47910443979433</v>
      </c>
      <c r="I689" s="19" t="s">
        <v>999</v>
      </c>
      <c r="J689" s="19" t="s">
        <v>999</v>
      </c>
      <c r="K689" s="19" t="str">
        <f>T("25047")</f>
        <v>25047</v>
      </c>
      <c r="L689" s="19" t="s">
        <v>18</v>
      </c>
      <c r="M689" s="21" t="s">
        <v>0</v>
      </c>
      <c r="N689" s="31">
        <v>45217</v>
      </c>
    </row>
    <row r="690" spans="1:14" ht="16" hidden="1" x14ac:dyDescent="0.2">
      <c r="A690" s="19" t="s">
        <v>1679</v>
      </c>
      <c r="B690" s="20">
        <v>45216</v>
      </c>
      <c r="C690" s="19" t="str">
        <f>T("330241516:0830378247")</f>
        <v>330241516:0830378247</v>
      </c>
      <c r="D690" s="19" t="str">
        <f>T("WC 9693 + 9694")</f>
        <v>WC 9693 + 9694</v>
      </c>
      <c r="E690" s="19" t="str">
        <f>T("560021949")</f>
        <v>560021949</v>
      </c>
      <c r="F690" s="19" t="s">
        <v>17</v>
      </c>
      <c r="G690" s="19" t="s">
        <v>15</v>
      </c>
      <c r="H690" s="19" t="str">
        <f>T("1Z1V47910445807043")</f>
        <v>1Z1V47910445807043</v>
      </c>
      <c r="I690" s="19" t="s">
        <v>1001</v>
      </c>
      <c r="J690" s="19" t="s">
        <v>1001</v>
      </c>
      <c r="K690" s="19" t="str">
        <f>T("24044")</f>
        <v>24044</v>
      </c>
      <c r="L690" s="19" t="s">
        <v>18</v>
      </c>
      <c r="M690" s="21" t="s">
        <v>0</v>
      </c>
      <c r="N690" s="31">
        <v>45218</v>
      </c>
    </row>
    <row r="691" spans="1:14" ht="16" hidden="1" x14ac:dyDescent="0.2">
      <c r="A691" s="19" t="s">
        <v>1680</v>
      </c>
      <c r="B691" s="20">
        <v>45216</v>
      </c>
      <c r="C691" s="19" t="str">
        <f>T("330241514:0830378245")</f>
        <v>330241514:0830378245</v>
      </c>
      <c r="D691" s="19" t="str">
        <f>T("WC ORIZON SPA")</f>
        <v>WC ORIZON SPA</v>
      </c>
      <c r="E691" s="19" t="str">
        <f>T("560021947")</f>
        <v>560021947</v>
      </c>
      <c r="F691" s="19" t="s">
        <v>17</v>
      </c>
      <c r="G691" s="19" t="s">
        <v>15</v>
      </c>
      <c r="H691" s="19" t="str">
        <f>T("1Z1V47910445615652")</f>
        <v>1Z1V47910445615652</v>
      </c>
      <c r="I691" s="19" t="s">
        <v>1675</v>
      </c>
      <c r="J691" s="19" t="s">
        <v>1675</v>
      </c>
      <c r="K691" s="19" t="str">
        <f>T("70043")</f>
        <v>70043</v>
      </c>
      <c r="L691" s="19" t="s">
        <v>18</v>
      </c>
      <c r="M691" s="21" t="s">
        <v>0</v>
      </c>
      <c r="N691" s="31">
        <v>45218</v>
      </c>
    </row>
    <row r="692" spans="1:14" ht="16" hidden="1" x14ac:dyDescent="0.2">
      <c r="A692" s="19" t="s">
        <v>1681</v>
      </c>
      <c r="B692" s="20">
        <v>45216</v>
      </c>
      <c r="C692" s="19" t="str">
        <f>T("330241518:0830378852")</f>
        <v>330241518:0830378852</v>
      </c>
      <c r="D692" s="19" t="str">
        <f>T("313")</f>
        <v>313</v>
      </c>
      <c r="E692" s="19" t="str">
        <f>T("560021956")</f>
        <v>560021956</v>
      </c>
      <c r="F692" s="19" t="s">
        <v>17</v>
      </c>
      <c r="G692" s="19" t="s">
        <v>15</v>
      </c>
      <c r="H692" s="19" t="str">
        <f>T("1Z1V47910445505262")</f>
        <v>1Z1V47910445505262</v>
      </c>
      <c r="I692" s="19" t="s">
        <v>1682</v>
      </c>
      <c r="J692" s="19" t="s">
        <v>1683</v>
      </c>
      <c r="K692" s="19" t="str">
        <f>T("80014")</f>
        <v>80014</v>
      </c>
      <c r="L692" s="19" t="s">
        <v>18</v>
      </c>
      <c r="M692" s="21" t="s">
        <v>0</v>
      </c>
      <c r="N692" s="31">
        <v>45218</v>
      </c>
    </row>
    <row r="693" spans="1:14" ht="16" hidden="1" x14ac:dyDescent="0.2">
      <c r="A693" s="19" t="s">
        <v>1684</v>
      </c>
      <c r="B693" s="20">
        <v>45217</v>
      </c>
      <c r="C693" s="19" t="str">
        <f>T("330240845:0830377312")</f>
        <v>330240845:0830377312</v>
      </c>
      <c r="D693" s="19" t="str">
        <f>T("Frigicoll")</f>
        <v>Frigicoll</v>
      </c>
      <c r="E693" s="19" t="str">
        <f>T("530019987")</f>
        <v>530019987</v>
      </c>
      <c r="F693" s="19" t="s">
        <v>16</v>
      </c>
      <c r="G693" s="19" t="s">
        <v>2409</v>
      </c>
      <c r="H693" s="19" t="str">
        <f>T("DSD120524")</f>
        <v>DSD120524</v>
      </c>
      <c r="I693" s="19" t="s">
        <v>1685</v>
      </c>
      <c r="J693" s="19" t="s">
        <v>1686</v>
      </c>
      <c r="K693" s="19" t="str">
        <f>T("08960")</f>
        <v>08960</v>
      </c>
      <c r="L693" s="19" t="s">
        <v>32</v>
      </c>
      <c r="M693" s="21" t="s">
        <v>0</v>
      </c>
      <c r="N693" s="31">
        <v>45218</v>
      </c>
    </row>
    <row r="694" spans="1:14" ht="16" hidden="1" x14ac:dyDescent="0.2">
      <c r="A694" s="19" t="s">
        <v>1687</v>
      </c>
      <c r="B694" s="20">
        <v>45217</v>
      </c>
      <c r="C694" s="19" t="str">
        <f>T("330241581:0830378859")</f>
        <v>330241581:0830378859</v>
      </c>
      <c r="D694" s="19" t="str">
        <f>T("3004840")</f>
        <v>3004840</v>
      </c>
      <c r="E694" s="19" t="str">
        <f>T("530020151")</f>
        <v>530020151</v>
      </c>
      <c r="F694" s="19" t="s">
        <v>16</v>
      </c>
      <c r="G694" s="19" t="s">
        <v>2409</v>
      </c>
      <c r="H694" s="19" t="str">
        <f>T("DSD121150")</f>
        <v>DSD121150</v>
      </c>
      <c r="I694" s="19" t="s">
        <v>1688</v>
      </c>
      <c r="J694" s="19" t="s">
        <v>1689</v>
      </c>
      <c r="K694" s="19" t="str">
        <f>T("08940")</f>
        <v>08940</v>
      </c>
      <c r="L694" s="19" t="s">
        <v>32</v>
      </c>
      <c r="M694" s="21" t="s">
        <v>0</v>
      </c>
      <c r="N694" s="31">
        <v>45218</v>
      </c>
    </row>
    <row r="695" spans="1:14" ht="16" hidden="1" x14ac:dyDescent="0.2">
      <c r="A695" s="19" t="s">
        <v>1690</v>
      </c>
      <c r="B695" s="20">
        <v>45217</v>
      </c>
      <c r="C695" s="19" t="str">
        <f>T("330241582:0830378860")</f>
        <v>330241582:0830378860</v>
      </c>
      <c r="D695" s="19" t="str">
        <f>T("PR1105067-OT11134")</f>
        <v>PR1105067-OT11134</v>
      </c>
      <c r="E695" s="19" t="str">
        <f>T("530020152")</f>
        <v>530020152</v>
      </c>
      <c r="F695" s="19" t="s">
        <v>16</v>
      </c>
      <c r="G695" s="19" t="s">
        <v>33</v>
      </c>
      <c r="H695" s="19" t="str">
        <f>T("DSD121124")</f>
        <v>DSD121124</v>
      </c>
      <c r="I695" s="19" t="s">
        <v>1691</v>
      </c>
      <c r="J695" s="19" t="s">
        <v>1692</v>
      </c>
      <c r="K695" s="19" t="str">
        <f>T("08042")</f>
        <v>08042</v>
      </c>
      <c r="L695" s="19" t="s">
        <v>32</v>
      </c>
      <c r="M695" s="21" t="s">
        <v>0</v>
      </c>
      <c r="N695" s="31">
        <v>45217</v>
      </c>
    </row>
    <row r="696" spans="1:14" ht="16" x14ac:dyDescent="0.2">
      <c r="A696" s="19" t="s">
        <v>1693</v>
      </c>
      <c r="B696" s="20">
        <v>45217</v>
      </c>
      <c r="C696" s="19" t="str">
        <f>T("330239662:0830377154")</f>
        <v>330239662:0830377154</v>
      </c>
      <c r="D696" s="19" t="str">
        <f>T("4500355598")</f>
        <v>4500355598</v>
      </c>
      <c r="E696" s="19" t="str">
        <f>T("560021750")</f>
        <v>560021750</v>
      </c>
      <c r="F696" s="19" t="s">
        <v>16</v>
      </c>
      <c r="G696" s="19" t="s">
        <v>14</v>
      </c>
      <c r="H696" s="19" t="str">
        <f>T("607251574")</f>
        <v>607251574</v>
      </c>
      <c r="I696" s="19" t="s">
        <v>1694</v>
      </c>
      <c r="J696" s="19" t="s">
        <v>1695</v>
      </c>
      <c r="K696" s="19" t="str">
        <f>T("144 52")</f>
        <v>144 52</v>
      </c>
      <c r="L696" s="19" t="s">
        <v>36</v>
      </c>
      <c r="M696" s="21" t="s">
        <v>1</v>
      </c>
      <c r="N696" s="21"/>
    </row>
    <row r="697" spans="1:14" ht="16" hidden="1" x14ac:dyDescent="0.2">
      <c r="A697" s="19" t="s">
        <v>1696</v>
      </c>
      <c r="B697" s="20">
        <v>45217</v>
      </c>
      <c r="C697" s="19" t="str">
        <f>T("330241524:0830378854")</f>
        <v>330241524:0830378854</v>
      </c>
      <c r="D697" s="19" t="str">
        <f>T("Tempcold")</f>
        <v>Tempcold</v>
      </c>
      <c r="E697" s="19" t="str">
        <f>T("560021735")</f>
        <v>560021735</v>
      </c>
      <c r="F697" s="19" t="s">
        <v>17</v>
      </c>
      <c r="G697" s="19" t="s">
        <v>14</v>
      </c>
      <c r="H697" s="19" t="str">
        <f>T("607251398")</f>
        <v>607251398</v>
      </c>
      <c r="I697" s="19" t="s">
        <v>1697</v>
      </c>
      <c r="J697" s="19" t="s">
        <v>1176</v>
      </c>
      <c r="K697" s="19" t="str">
        <f>T("58-307")</f>
        <v>58-307</v>
      </c>
      <c r="L697" s="19" t="s">
        <v>20</v>
      </c>
      <c r="M697" s="21" t="s">
        <v>0</v>
      </c>
      <c r="N697" s="31">
        <v>45218</v>
      </c>
    </row>
    <row r="698" spans="1:14" ht="16" hidden="1" x14ac:dyDescent="0.2">
      <c r="A698" s="19" t="s">
        <v>1698</v>
      </c>
      <c r="B698" s="20">
        <v>45217</v>
      </c>
      <c r="C698" s="19" t="str">
        <f>T("330241448:0830378822")</f>
        <v>330241448:0830378822</v>
      </c>
      <c r="D698" s="19" t="str">
        <f>T("172864/TH")</f>
        <v>172864/TH</v>
      </c>
      <c r="E698" s="19" t="str">
        <f>T("510146859")</f>
        <v>510146859</v>
      </c>
      <c r="F698" s="19" t="s">
        <v>16</v>
      </c>
      <c r="G698" s="19" t="s">
        <v>14</v>
      </c>
      <c r="H698" s="19" t="str">
        <f>T("607251407")</f>
        <v>607251407</v>
      </c>
      <c r="I698" s="19" t="s">
        <v>1699</v>
      </c>
      <c r="J698" s="19" t="s">
        <v>1700</v>
      </c>
      <c r="K698" s="19" t="str">
        <f>T("39240")</f>
        <v>39240</v>
      </c>
      <c r="L698" s="19" t="s">
        <v>19</v>
      </c>
      <c r="M698" s="21" t="s">
        <v>0</v>
      </c>
      <c r="N698" s="31">
        <v>45219</v>
      </c>
    </row>
    <row r="699" spans="1:14" ht="16" hidden="1" x14ac:dyDescent="0.2">
      <c r="A699" s="19" t="s">
        <v>1701</v>
      </c>
      <c r="B699" s="20">
        <v>45217</v>
      </c>
      <c r="C699" s="19" t="str">
        <f>T("330239452:0830377199")</f>
        <v>330239452:0830377199</v>
      </c>
      <c r="D699" s="19" t="str">
        <f>T("PELIZZI")</f>
        <v>PELIZZI</v>
      </c>
      <c r="E699" s="19" t="str">
        <f>T("560021832")</f>
        <v>560021832</v>
      </c>
      <c r="F699" s="19" t="s">
        <v>16</v>
      </c>
      <c r="G699" s="19" t="s">
        <v>14</v>
      </c>
      <c r="H699" s="19" t="str">
        <f>T("607251415")</f>
        <v>607251415</v>
      </c>
      <c r="I699" s="19" t="s">
        <v>1702</v>
      </c>
      <c r="J699" s="19" t="s">
        <v>1703</v>
      </c>
      <c r="K699" s="19" t="str">
        <f>T("26039")</f>
        <v>26039</v>
      </c>
      <c r="L699" s="19" t="s">
        <v>18</v>
      </c>
      <c r="M699" s="21" t="s">
        <v>0</v>
      </c>
      <c r="N699" s="31">
        <v>45219</v>
      </c>
    </row>
    <row r="700" spans="1:14" ht="16" hidden="1" x14ac:dyDescent="0.2">
      <c r="A700" s="19" t="s">
        <v>1704</v>
      </c>
      <c r="B700" s="20">
        <v>45217</v>
      </c>
      <c r="C700" s="19" t="str">
        <f>T("330241528:0830378856")</f>
        <v>330241528:0830378856</v>
      </c>
      <c r="D700" s="19" t="str">
        <f>T("Tempcold")</f>
        <v>Tempcold</v>
      </c>
      <c r="E700" s="19" t="str">
        <f>T("560021760")</f>
        <v>560021760</v>
      </c>
      <c r="F700" s="19" t="s">
        <v>17</v>
      </c>
      <c r="G700" s="19" t="s">
        <v>14</v>
      </c>
      <c r="H700" s="19" t="str">
        <f>T("607251588")</f>
        <v>607251588</v>
      </c>
      <c r="I700" s="19" t="s">
        <v>1705</v>
      </c>
      <c r="J700" s="19" t="s">
        <v>1176</v>
      </c>
      <c r="K700" s="19" t="str">
        <f>T("37-320")</f>
        <v>37-320</v>
      </c>
      <c r="L700" s="19" t="s">
        <v>20</v>
      </c>
      <c r="M700" s="21" t="s">
        <v>0</v>
      </c>
      <c r="N700" s="31">
        <v>45219</v>
      </c>
    </row>
    <row r="701" spans="1:14" ht="16" hidden="1" x14ac:dyDescent="0.2">
      <c r="A701" s="19" t="s">
        <v>1706</v>
      </c>
      <c r="B701" s="20">
        <v>45217</v>
      </c>
      <c r="C701" s="19" t="str">
        <f>T("330241473:0830378827")</f>
        <v>330241473:0830378827</v>
      </c>
      <c r="D701" s="19" t="str">
        <f>T("SOL2309FBC008729-")</f>
        <v>SOL2309FBC008729-</v>
      </c>
      <c r="E701" s="19" t="str">
        <f>T("510146122")</f>
        <v>510146122</v>
      </c>
      <c r="F701" s="19" t="s">
        <v>16</v>
      </c>
      <c r="G701" s="19" t="s">
        <v>14</v>
      </c>
      <c r="H701" s="19" t="str">
        <f>T("607251438")</f>
        <v>607251438</v>
      </c>
      <c r="I701" s="19" t="s">
        <v>1595</v>
      </c>
      <c r="J701" s="19" t="s">
        <v>1596</v>
      </c>
      <c r="K701" s="19" t="str">
        <f>T("30900")</f>
        <v>30900</v>
      </c>
      <c r="L701" s="19" t="s">
        <v>19</v>
      </c>
      <c r="M701" s="21" t="s">
        <v>0</v>
      </c>
      <c r="N701" s="31">
        <v>45218</v>
      </c>
    </row>
    <row r="702" spans="1:14" ht="16" hidden="1" x14ac:dyDescent="0.2">
      <c r="A702" s="19" t="s">
        <v>1707</v>
      </c>
      <c r="B702" s="20">
        <v>45217</v>
      </c>
      <c r="C702" s="19" t="str">
        <f>T("330241562:0830378258")</f>
        <v>330241562:0830378258</v>
      </c>
      <c r="D702" s="19" t="str">
        <f>T("GEROTTO RENATO")</f>
        <v>GEROTTO RENATO</v>
      </c>
      <c r="E702" s="19" t="str">
        <f>T("560021896")</f>
        <v>560021896</v>
      </c>
      <c r="F702" s="19" t="s">
        <v>16</v>
      </c>
      <c r="G702" s="19" t="s">
        <v>14</v>
      </c>
      <c r="H702" s="19" t="str">
        <f>T("607251441")</f>
        <v>607251441</v>
      </c>
      <c r="I702" s="19" t="s">
        <v>1708</v>
      </c>
      <c r="J702" s="19" t="s">
        <v>1709</v>
      </c>
      <c r="K702" s="19" t="str">
        <f>T("31044")</f>
        <v>31044</v>
      </c>
      <c r="L702" s="19" t="s">
        <v>18</v>
      </c>
      <c r="M702" s="21" t="s">
        <v>0</v>
      </c>
      <c r="N702" s="31">
        <v>45222</v>
      </c>
    </row>
    <row r="703" spans="1:14" ht="16" hidden="1" x14ac:dyDescent="0.2">
      <c r="A703" s="19" t="s">
        <v>1710</v>
      </c>
      <c r="B703" s="20">
        <v>45217</v>
      </c>
      <c r="C703" s="19" t="str">
        <f>T("330241372:0830378791")</f>
        <v>330241372:0830378791</v>
      </c>
      <c r="D703" s="19" t="str">
        <f>T("WC SOCAFNA")</f>
        <v>WC SOCAFNA</v>
      </c>
      <c r="E703" s="19" t="str">
        <f>T("510146581")</f>
        <v>510146581</v>
      </c>
      <c r="F703" s="19" t="s">
        <v>16</v>
      </c>
      <c r="G703" s="19" t="s">
        <v>14</v>
      </c>
      <c r="H703" s="19" t="str">
        <f>T("607251455")</f>
        <v>607251455</v>
      </c>
      <c r="I703" s="19" t="s">
        <v>1711</v>
      </c>
      <c r="J703" s="19" t="s">
        <v>1712</v>
      </c>
      <c r="K703" s="19" t="str">
        <f>T("47250")</f>
        <v>47250</v>
      </c>
      <c r="L703" s="19" t="s">
        <v>19</v>
      </c>
      <c r="M703" s="21" t="s">
        <v>0</v>
      </c>
      <c r="N703" s="31">
        <v>45219</v>
      </c>
    </row>
    <row r="704" spans="1:14" ht="16" hidden="1" x14ac:dyDescent="0.2">
      <c r="A704" s="19" t="s">
        <v>1713</v>
      </c>
      <c r="B704" s="20">
        <v>45217</v>
      </c>
      <c r="C704" s="19" t="str">
        <f>T("330241578:0830378329")</f>
        <v>330241578:0830378329</v>
      </c>
      <c r="D704" s="19" t="str">
        <f>T("00100433-SAV CF23")</f>
        <v>00100433-SAV CF23</v>
      </c>
      <c r="E704" s="19" t="str">
        <f>T("510146715")</f>
        <v>510146715</v>
      </c>
      <c r="F704" s="19" t="s">
        <v>16</v>
      </c>
      <c r="G704" s="19" t="s">
        <v>14</v>
      </c>
      <c r="H704" s="19" t="str">
        <f>T("607251469")</f>
        <v>607251469</v>
      </c>
      <c r="I704" s="19" t="s">
        <v>1714</v>
      </c>
      <c r="J704" s="19" t="s">
        <v>1715</v>
      </c>
      <c r="K704" s="19" t="str">
        <f>T("06370")</f>
        <v>06370</v>
      </c>
      <c r="L704" s="19" t="s">
        <v>19</v>
      </c>
      <c r="M704" s="21" t="s">
        <v>0</v>
      </c>
      <c r="N704" s="31">
        <v>45218</v>
      </c>
    </row>
    <row r="705" spans="1:14" ht="16" hidden="1" x14ac:dyDescent="0.2">
      <c r="A705" s="19" t="s">
        <v>1716</v>
      </c>
      <c r="B705" s="20">
        <v>45217</v>
      </c>
      <c r="C705" s="19" t="str">
        <f>T("330241552:0830378839")</f>
        <v>330241552:0830378839</v>
      </c>
      <c r="D705" s="19" t="str">
        <f>T("22910341")</f>
        <v>22910341</v>
      </c>
      <c r="E705" s="19" t="str">
        <f>T("510146785")</f>
        <v>510146785</v>
      </c>
      <c r="F705" s="19" t="s">
        <v>17</v>
      </c>
      <c r="G705" s="19" t="s">
        <v>14</v>
      </c>
      <c r="H705" s="19" t="str">
        <f>T("607251676")</f>
        <v>607251676</v>
      </c>
      <c r="I705" s="19" t="s">
        <v>53</v>
      </c>
      <c r="J705" s="19" t="s">
        <v>1717</v>
      </c>
      <c r="K705" s="19" t="str">
        <f>T("34978")</f>
        <v>34978</v>
      </c>
      <c r="L705" s="19" t="s">
        <v>19</v>
      </c>
      <c r="M705" s="21" t="s">
        <v>0</v>
      </c>
      <c r="N705" s="31">
        <v>45218</v>
      </c>
    </row>
    <row r="706" spans="1:14" ht="16" hidden="1" x14ac:dyDescent="0.2">
      <c r="A706" s="19" t="s">
        <v>1718</v>
      </c>
      <c r="B706" s="20">
        <v>45217</v>
      </c>
      <c r="C706" s="19" t="str">
        <f>T("330241559:0830378843")</f>
        <v>330241559:0830378843</v>
      </c>
      <c r="D706" s="19" t="str">
        <f>T("171272/AC")</f>
        <v>171272/AC</v>
      </c>
      <c r="E706" s="19" t="str">
        <f>T("510146375")</f>
        <v>510146375</v>
      </c>
      <c r="F706" s="19" t="s">
        <v>17</v>
      </c>
      <c r="G706" s="19" t="s">
        <v>14</v>
      </c>
      <c r="H706" s="19" t="str">
        <f>T("607251472")</f>
        <v>607251472</v>
      </c>
      <c r="I706" s="19" t="s">
        <v>1719</v>
      </c>
      <c r="J706" s="19" t="s">
        <v>1720</v>
      </c>
      <c r="K706" s="19" t="str">
        <f>T("25390")</f>
        <v>25390</v>
      </c>
      <c r="L706" s="19" t="s">
        <v>19</v>
      </c>
      <c r="M706" s="21" t="s">
        <v>0</v>
      </c>
      <c r="N706" s="31">
        <v>45219</v>
      </c>
    </row>
    <row r="707" spans="1:14" ht="16" hidden="1" x14ac:dyDescent="0.2">
      <c r="A707" s="19" t="s">
        <v>1721</v>
      </c>
      <c r="B707" s="20">
        <v>45217</v>
      </c>
      <c r="C707" s="19" t="str">
        <f>T("330241406:0830378802")</f>
        <v>330241406:0830378802</v>
      </c>
      <c r="D707" s="19" t="str">
        <f>T("172278/AC")</f>
        <v>172278/AC</v>
      </c>
      <c r="E707" s="19" t="str">
        <f>T("510146387")</f>
        <v>510146387</v>
      </c>
      <c r="F707" s="19" t="s">
        <v>17</v>
      </c>
      <c r="G707" s="19" t="s">
        <v>14</v>
      </c>
      <c r="H707" s="19" t="str">
        <f>T("607251486")</f>
        <v>607251486</v>
      </c>
      <c r="I707" s="19" t="s">
        <v>1722</v>
      </c>
      <c r="J707" s="19" t="s">
        <v>1723</v>
      </c>
      <c r="K707" s="19" t="str">
        <f>T("25220")</f>
        <v>25220</v>
      </c>
      <c r="L707" s="19" t="s">
        <v>19</v>
      </c>
      <c r="M707" s="21" t="s">
        <v>0</v>
      </c>
      <c r="N707" s="31">
        <v>45218</v>
      </c>
    </row>
    <row r="708" spans="1:14" ht="16" hidden="1" x14ac:dyDescent="0.2">
      <c r="A708" s="19" t="s">
        <v>1724</v>
      </c>
      <c r="B708" s="20">
        <v>45217</v>
      </c>
      <c r="C708" s="19" t="str">
        <f>T("330241577:0830378846")</f>
        <v>330241577:0830378846</v>
      </c>
      <c r="D708" s="19" t="str">
        <f>T("00100381-SAV YUTA")</f>
        <v>00100381-SAV YUTA</v>
      </c>
      <c r="E708" s="19" t="str">
        <f>T("510146552")</f>
        <v>510146552</v>
      </c>
      <c r="F708" s="19" t="s">
        <v>17</v>
      </c>
      <c r="G708" s="19" t="s">
        <v>14</v>
      </c>
      <c r="H708" s="19" t="str">
        <f>T("607251490")</f>
        <v>607251490</v>
      </c>
      <c r="I708" s="19" t="s">
        <v>283</v>
      </c>
      <c r="J708" s="19" t="s">
        <v>284</v>
      </c>
      <c r="K708" s="19" t="str">
        <f>T("06700")</f>
        <v>06700</v>
      </c>
      <c r="L708" s="19" t="s">
        <v>19</v>
      </c>
      <c r="M708" s="21" t="s">
        <v>0</v>
      </c>
      <c r="N708" s="31">
        <v>45218</v>
      </c>
    </row>
    <row r="709" spans="1:14" ht="16" hidden="1" x14ac:dyDescent="0.2">
      <c r="A709" s="19" t="s">
        <v>1725</v>
      </c>
      <c r="B709" s="20">
        <v>45217</v>
      </c>
      <c r="C709" s="19" t="str">
        <f>T("330241332:0830378761")</f>
        <v>330241332:0830378761</v>
      </c>
      <c r="D709" s="19" t="str">
        <f>T("Tempcold")</f>
        <v>Tempcold</v>
      </c>
      <c r="E709" s="19" t="str">
        <f>T("560021793")</f>
        <v>560021793</v>
      </c>
      <c r="F709" s="19" t="s">
        <v>17</v>
      </c>
      <c r="G709" s="19" t="s">
        <v>14</v>
      </c>
      <c r="H709" s="19" t="str">
        <f>T("607251509")</f>
        <v>607251509</v>
      </c>
      <c r="I709" s="19" t="s">
        <v>1726</v>
      </c>
      <c r="J709" s="19" t="s">
        <v>1176</v>
      </c>
      <c r="K709" s="19" t="str">
        <f>T("60-111")</f>
        <v>60-111</v>
      </c>
      <c r="L709" s="19" t="s">
        <v>20</v>
      </c>
      <c r="M709" s="21" t="s">
        <v>0</v>
      </c>
      <c r="N709" s="31">
        <v>45218</v>
      </c>
    </row>
    <row r="710" spans="1:14" ht="16" x14ac:dyDescent="0.2">
      <c r="A710" s="19" t="s">
        <v>1727</v>
      </c>
      <c r="B710" s="20">
        <v>45217</v>
      </c>
      <c r="C710" s="19" t="str">
        <f>T("330241385:0830378176")</f>
        <v>330241385:0830378176</v>
      </c>
      <c r="D710" s="19" t="str">
        <f>T("Vaminstal01")</f>
        <v>Vaminstal01</v>
      </c>
      <c r="E710" s="19" t="str">
        <f>T("560021922")</f>
        <v>560021922</v>
      </c>
      <c r="F710" s="19" t="s">
        <v>16</v>
      </c>
      <c r="G710" s="19" t="s">
        <v>14</v>
      </c>
      <c r="H710" s="19" t="str">
        <f>T("607251512")</f>
        <v>607251512</v>
      </c>
      <c r="I710" s="19" t="s">
        <v>1728</v>
      </c>
      <c r="J710" s="19" t="s">
        <v>1729</v>
      </c>
      <c r="K710" s="19" t="str">
        <f>T("300272")</f>
        <v>300272</v>
      </c>
      <c r="L710" s="19" t="s">
        <v>1730</v>
      </c>
      <c r="M710" s="21" t="s">
        <v>1</v>
      </c>
      <c r="N710" s="21"/>
    </row>
    <row r="711" spans="1:14" ht="16" x14ac:dyDescent="0.2">
      <c r="A711" s="19" t="s">
        <v>1731</v>
      </c>
      <c r="B711" s="20">
        <v>45217</v>
      </c>
      <c r="C711" s="19" t="str">
        <f>T("330241464:0830378824")</f>
        <v>330241464:0830378824</v>
      </c>
      <c r="D711" s="19" t="str">
        <f>T("CDC127928 E0050 S")</f>
        <v>CDC127928 E0050 S</v>
      </c>
      <c r="E711" s="19" t="str">
        <f>T("510146451")</f>
        <v>510146451</v>
      </c>
      <c r="F711" s="19" t="s">
        <v>16</v>
      </c>
      <c r="G711" s="19" t="s">
        <v>14</v>
      </c>
      <c r="H711" s="19" t="str">
        <f>T("607251526")</f>
        <v>607251526</v>
      </c>
      <c r="I711" s="19" t="s">
        <v>1732</v>
      </c>
      <c r="J711" s="19" t="s">
        <v>1733</v>
      </c>
      <c r="K711" s="19" t="str">
        <f>T("64120")</f>
        <v>64120</v>
      </c>
      <c r="L711" s="19" t="s">
        <v>19</v>
      </c>
      <c r="M711" s="21" t="s">
        <v>1</v>
      </c>
      <c r="N711" s="21"/>
    </row>
    <row r="712" spans="1:14" ht="16" hidden="1" x14ac:dyDescent="0.2">
      <c r="A712" s="19" t="s">
        <v>1734</v>
      </c>
      <c r="B712" s="20">
        <v>45217</v>
      </c>
      <c r="C712" s="19" t="str">
        <f>T("330241322:0830378758")</f>
        <v>330241322:0830378758</v>
      </c>
      <c r="D712" s="19" t="str">
        <f>T("BC15789-AR38465")</f>
        <v>BC15789-AR38465</v>
      </c>
      <c r="E712" s="19" t="str">
        <f>T("510146281")</f>
        <v>510146281</v>
      </c>
      <c r="F712" s="19" t="s">
        <v>16</v>
      </c>
      <c r="G712" s="19" t="s">
        <v>14</v>
      </c>
      <c r="H712" s="19" t="str">
        <f>T("607251530")</f>
        <v>607251530</v>
      </c>
      <c r="I712" s="19" t="s">
        <v>1297</v>
      </c>
      <c r="J712" s="19" t="s">
        <v>1735</v>
      </c>
      <c r="K712" s="19" t="str">
        <f>T("14120")</f>
        <v>14120</v>
      </c>
      <c r="L712" s="19" t="s">
        <v>19</v>
      </c>
      <c r="M712" s="21" t="s">
        <v>0</v>
      </c>
      <c r="N712" s="31">
        <v>45219</v>
      </c>
    </row>
    <row r="713" spans="1:14" ht="16" hidden="1" x14ac:dyDescent="0.2">
      <c r="A713" s="19" t="s">
        <v>1736</v>
      </c>
      <c r="B713" s="20">
        <v>45217</v>
      </c>
      <c r="C713" s="19" t="str">
        <f>T("330241413:0830378806")</f>
        <v>330241413:0830378806</v>
      </c>
      <c r="D713" s="19" t="str">
        <f>T("C2309268 HYD 44BC")</f>
        <v>C2309268 HYD 44BC</v>
      </c>
      <c r="E713" s="19" t="str">
        <f>T("510146100")</f>
        <v>510146100</v>
      </c>
      <c r="F713" s="19" t="s">
        <v>17</v>
      </c>
      <c r="G713" s="19" t="s">
        <v>14</v>
      </c>
      <c r="H713" s="19" t="str">
        <f>T("607251543")</f>
        <v>607251543</v>
      </c>
      <c r="I713" s="19" t="s">
        <v>1149</v>
      </c>
      <c r="J713" s="19" t="s">
        <v>1737</v>
      </c>
      <c r="K713" s="19" t="str">
        <f>T("17180")</f>
        <v>17180</v>
      </c>
      <c r="L713" s="19" t="s">
        <v>19</v>
      </c>
      <c r="M713" s="21" t="s">
        <v>0</v>
      </c>
      <c r="N713" s="31">
        <v>45219</v>
      </c>
    </row>
    <row r="714" spans="1:14" ht="16" hidden="1" x14ac:dyDescent="0.2">
      <c r="A714" s="19" t="s">
        <v>1738</v>
      </c>
      <c r="B714" s="20">
        <v>45217</v>
      </c>
      <c r="C714" s="19" t="str">
        <f>T("330241426:0830378812")</f>
        <v>330241426:0830378812</v>
      </c>
      <c r="D714" s="19" t="str">
        <f>T("CDC127803 T0034 S")</f>
        <v>CDC127803 T0034 S</v>
      </c>
      <c r="E714" s="19" t="str">
        <f>T("510146336")</f>
        <v>510146336</v>
      </c>
      <c r="F714" s="19" t="s">
        <v>16</v>
      </c>
      <c r="G714" s="19" t="s">
        <v>14</v>
      </c>
      <c r="H714" s="19" t="str">
        <f>T("607251557")</f>
        <v>607251557</v>
      </c>
      <c r="I714" s="19" t="s">
        <v>1739</v>
      </c>
      <c r="J714" s="19" t="s">
        <v>1740</v>
      </c>
      <c r="K714" s="19" t="str">
        <f>T("64240")</f>
        <v>64240</v>
      </c>
      <c r="L714" s="19" t="s">
        <v>19</v>
      </c>
      <c r="M714" s="21" t="s">
        <v>0</v>
      </c>
      <c r="N714" s="31">
        <v>45219</v>
      </c>
    </row>
    <row r="715" spans="1:14" ht="16" x14ac:dyDescent="0.2">
      <c r="A715" s="19" t="s">
        <v>1741</v>
      </c>
      <c r="B715" s="20">
        <v>45217</v>
      </c>
      <c r="C715" s="19" t="str">
        <f>T("330241484:0830378832")</f>
        <v>330241484:0830378832</v>
      </c>
      <c r="D715" s="19" t="str">
        <f>T("WC-CP Clim concep")</f>
        <v>WC-CP Clim concep</v>
      </c>
      <c r="E715" s="19" t="str">
        <f>T("510146653")</f>
        <v>510146653</v>
      </c>
      <c r="F715" s="19" t="s">
        <v>16</v>
      </c>
      <c r="G715" s="19" t="s">
        <v>14</v>
      </c>
      <c r="H715" s="19" t="str">
        <f>T("607251591")</f>
        <v>607251591</v>
      </c>
      <c r="I715" s="19" t="s">
        <v>1742</v>
      </c>
      <c r="J715" s="19" t="s">
        <v>1743</v>
      </c>
      <c r="K715" s="19" t="str">
        <f>T("83200")</f>
        <v>83200</v>
      </c>
      <c r="L715" s="19" t="s">
        <v>19</v>
      </c>
      <c r="M715" s="21" t="s">
        <v>1</v>
      </c>
      <c r="N715" s="21"/>
    </row>
    <row r="716" spans="1:14" ht="16" hidden="1" x14ac:dyDescent="0.2">
      <c r="A716" s="19" t="s">
        <v>1744</v>
      </c>
      <c r="B716" s="20">
        <v>45217</v>
      </c>
      <c r="C716" s="19" t="str">
        <f>T("330241362:0830378787")</f>
        <v>330241362:0830378787</v>
      </c>
      <c r="D716" s="19" t="str">
        <f>T("24012")</f>
        <v>24012</v>
      </c>
      <c r="E716" s="19" t="str">
        <f>T("510146766")</f>
        <v>510146766</v>
      </c>
      <c r="F716" s="19" t="s">
        <v>16</v>
      </c>
      <c r="G716" s="19" t="s">
        <v>14</v>
      </c>
      <c r="H716" s="19" t="str">
        <f>T("607251605")</f>
        <v>607251605</v>
      </c>
      <c r="I716" s="19" t="s">
        <v>1745</v>
      </c>
      <c r="J716" s="19" t="s">
        <v>1746</v>
      </c>
      <c r="K716" s="19" t="str">
        <f>T("59175")</f>
        <v>59175</v>
      </c>
      <c r="L716" s="19" t="s">
        <v>19</v>
      </c>
      <c r="M716" s="21" t="s">
        <v>0</v>
      </c>
      <c r="N716" s="31">
        <v>45219</v>
      </c>
    </row>
    <row r="717" spans="1:14" ht="16" hidden="1" x14ac:dyDescent="0.2">
      <c r="A717" s="19" t="s">
        <v>1747</v>
      </c>
      <c r="B717" s="20">
        <v>45217</v>
      </c>
      <c r="C717" s="19" t="str">
        <f>T("330241571:0830378323")</f>
        <v>330241571:0830378323</v>
      </c>
      <c r="D717" s="19" t="str">
        <f>T("WC MAISONNAS")</f>
        <v>WC MAISONNAS</v>
      </c>
      <c r="E717" s="19" t="str">
        <f>T("510146674")</f>
        <v>510146674</v>
      </c>
      <c r="F717" s="19" t="s">
        <v>17</v>
      </c>
      <c r="G717" s="19" t="s">
        <v>14</v>
      </c>
      <c r="H717" s="19" t="str">
        <f>T("607251614")</f>
        <v>607251614</v>
      </c>
      <c r="I717" s="19" t="s">
        <v>1748</v>
      </c>
      <c r="J717" s="19" t="s">
        <v>1749</v>
      </c>
      <c r="K717" s="19" t="str">
        <f>T("07410")</f>
        <v>07410</v>
      </c>
      <c r="L717" s="19" t="s">
        <v>19</v>
      </c>
      <c r="M717" s="21" t="s">
        <v>0</v>
      </c>
      <c r="N717" s="31">
        <v>45218</v>
      </c>
    </row>
    <row r="718" spans="1:14" ht="16" hidden="1" x14ac:dyDescent="0.2">
      <c r="A718" s="19" t="s">
        <v>1750</v>
      </c>
      <c r="B718" s="20">
        <v>45217</v>
      </c>
      <c r="C718" s="19" t="str">
        <f>T("330241586:0830378849")</f>
        <v>330241586:0830378849</v>
      </c>
      <c r="D718" s="19" t="str">
        <f>T("WC MARTIAL")</f>
        <v>WC MARTIAL</v>
      </c>
      <c r="E718" s="19" t="str">
        <f>T("510146576")</f>
        <v>510146576</v>
      </c>
      <c r="F718" s="19" t="s">
        <v>17</v>
      </c>
      <c r="G718" s="19" t="s">
        <v>14</v>
      </c>
      <c r="H718" s="19" t="str">
        <f>T("607251628")</f>
        <v>607251628</v>
      </c>
      <c r="I718" s="19" t="s">
        <v>1751</v>
      </c>
      <c r="J718" s="19" t="s">
        <v>1752</v>
      </c>
      <c r="K718" s="19" t="str">
        <f>T("07300")</f>
        <v>07300</v>
      </c>
      <c r="L718" s="19" t="s">
        <v>19</v>
      </c>
      <c r="M718" s="21" t="s">
        <v>0</v>
      </c>
      <c r="N718" s="31">
        <v>45218</v>
      </c>
    </row>
    <row r="719" spans="1:14" ht="16" hidden="1" x14ac:dyDescent="0.2">
      <c r="A719" s="19" t="s">
        <v>1753</v>
      </c>
      <c r="B719" s="20">
        <v>45217</v>
      </c>
      <c r="C719" s="19" t="str">
        <f>T("330241555:0830378841")</f>
        <v>330241555:0830378841</v>
      </c>
      <c r="D719" s="19" t="str">
        <f>T("22880154")</f>
        <v>22880154</v>
      </c>
      <c r="E719" s="19" t="str">
        <f>T("510146888")</f>
        <v>510146888</v>
      </c>
      <c r="F719" s="19" t="s">
        <v>16</v>
      </c>
      <c r="G719" s="19" t="s">
        <v>14</v>
      </c>
      <c r="H719" s="19" t="str">
        <f>T("607251631")</f>
        <v>607251631</v>
      </c>
      <c r="I719" s="19" t="s">
        <v>1754</v>
      </c>
      <c r="J719" s="19" t="s">
        <v>1755</v>
      </c>
      <c r="K719" s="19" t="str">
        <f>T("33110")</f>
        <v>33110</v>
      </c>
      <c r="L719" s="19" t="s">
        <v>19</v>
      </c>
      <c r="M719" s="21" t="s">
        <v>0</v>
      </c>
      <c r="N719" s="31">
        <v>45219</v>
      </c>
    </row>
    <row r="720" spans="1:14" ht="16" hidden="1" x14ac:dyDescent="0.2">
      <c r="A720" s="19" t="s">
        <v>1756</v>
      </c>
      <c r="B720" s="20">
        <v>45217</v>
      </c>
      <c r="C720" s="19" t="str">
        <f>T("330241570:0830378845")</f>
        <v>330241570:0830378845</v>
      </c>
      <c r="D720" s="19" t="str">
        <f>T("CF103846")</f>
        <v>CF103846</v>
      </c>
      <c r="E720" s="19" t="str">
        <f>T("510146333")</f>
        <v>510146333</v>
      </c>
      <c r="F720" s="19" t="s">
        <v>16</v>
      </c>
      <c r="G720" s="19" t="s">
        <v>14</v>
      </c>
      <c r="H720" s="19" t="str">
        <f>T("607251659")</f>
        <v>607251659</v>
      </c>
      <c r="I720" s="19" t="s">
        <v>1757</v>
      </c>
      <c r="J720" s="19" t="s">
        <v>1758</v>
      </c>
      <c r="K720" s="19" t="str">
        <f>T("03100")</f>
        <v>03100</v>
      </c>
      <c r="L720" s="19" t="s">
        <v>19</v>
      </c>
      <c r="M720" s="21" t="s">
        <v>0</v>
      </c>
      <c r="N720" s="31">
        <v>45219</v>
      </c>
    </row>
    <row r="721" spans="1:14" ht="16" hidden="1" x14ac:dyDescent="0.2">
      <c r="A721" s="19" t="s">
        <v>1759</v>
      </c>
      <c r="B721" s="20">
        <v>45217</v>
      </c>
      <c r="C721" s="19" t="str">
        <f>T("330241411:0830378805")</f>
        <v>330241411:0830378805</v>
      </c>
      <c r="D721" s="19" t="str">
        <f>T("C2309252 3C STECH")</f>
        <v>C2309252 3C STECH</v>
      </c>
      <c r="E721" s="19" t="str">
        <f>T("510146003")</f>
        <v>510146003</v>
      </c>
      <c r="F721" s="19" t="s">
        <v>16</v>
      </c>
      <c r="G721" s="19" t="s">
        <v>14</v>
      </c>
      <c r="H721" s="19" t="str">
        <f>T("607251662")</f>
        <v>607251662</v>
      </c>
      <c r="I721" s="19" t="s">
        <v>1760</v>
      </c>
      <c r="J721" s="19" t="s">
        <v>1761</v>
      </c>
      <c r="K721" s="19" t="str">
        <f>T("29420")</f>
        <v>29420</v>
      </c>
      <c r="L721" s="19" t="s">
        <v>19</v>
      </c>
      <c r="M721" s="21" t="s">
        <v>0</v>
      </c>
      <c r="N721" s="31">
        <v>45222</v>
      </c>
    </row>
    <row r="722" spans="1:14" ht="16" hidden="1" x14ac:dyDescent="0.2">
      <c r="A722" s="19" t="s">
        <v>1762</v>
      </c>
      <c r="B722" s="20">
        <v>45217</v>
      </c>
      <c r="C722" s="19" t="str">
        <f>T("330241457:0830378158")</f>
        <v>330241457:0830378158</v>
      </c>
      <c r="D722" s="21"/>
      <c r="E722" s="19" t="str">
        <f>T("510146270")</f>
        <v>510146270</v>
      </c>
      <c r="F722" s="19" t="s">
        <v>17</v>
      </c>
      <c r="G722" s="19" t="s">
        <v>14</v>
      </c>
      <c r="H722" s="19" t="str">
        <f>T("607251680")</f>
        <v>607251680</v>
      </c>
      <c r="I722" s="19" t="s">
        <v>23</v>
      </c>
      <c r="J722" s="19" t="s">
        <v>1185</v>
      </c>
      <c r="K722" s="19" t="str">
        <f>T("30100")</f>
        <v>30100</v>
      </c>
      <c r="L722" s="19" t="s">
        <v>19</v>
      </c>
      <c r="M722" s="21" t="s">
        <v>0</v>
      </c>
      <c r="N722" s="31">
        <v>45218</v>
      </c>
    </row>
    <row r="723" spans="1:14" ht="16" hidden="1" x14ac:dyDescent="0.2">
      <c r="A723" s="19" t="s">
        <v>1763</v>
      </c>
      <c r="B723" s="20">
        <v>45217</v>
      </c>
      <c r="C723" s="19" t="str">
        <f>T("330241527:0830379642")</f>
        <v>330241527:0830379642</v>
      </c>
      <c r="D723" s="19" t="str">
        <f>T("zam/26/09/2023")</f>
        <v>zam/26/09/2023</v>
      </c>
      <c r="E723" s="19" t="str">
        <f>T("560021758")</f>
        <v>560021758</v>
      </c>
      <c r="F723" s="19" t="s">
        <v>17</v>
      </c>
      <c r="G723" s="19" t="s">
        <v>14</v>
      </c>
      <c r="H723" s="19" t="str">
        <f>T("607251968")</f>
        <v>607251968</v>
      </c>
      <c r="I723" s="19" t="s">
        <v>1270</v>
      </c>
      <c r="J723" s="19" t="s">
        <v>1271</v>
      </c>
      <c r="K723" s="19" t="str">
        <f>T("05-840")</f>
        <v>05-840</v>
      </c>
      <c r="L723" s="19" t="s">
        <v>20</v>
      </c>
      <c r="M723" s="21" t="s">
        <v>0</v>
      </c>
      <c r="N723" s="31">
        <v>45218</v>
      </c>
    </row>
    <row r="724" spans="1:14" ht="16" hidden="1" x14ac:dyDescent="0.2">
      <c r="A724" s="19" t="s">
        <v>1764</v>
      </c>
      <c r="B724" s="20">
        <v>45217</v>
      </c>
      <c r="C724" s="19" t="str">
        <f>T("330241343:0830379619")</f>
        <v>330241343:0830379619</v>
      </c>
      <c r="D724" s="19" t="str">
        <f>T("Gudrus sildymas -")</f>
        <v>Gudrus sildymas -</v>
      </c>
      <c r="E724" s="19" t="str">
        <f>T("560021934")</f>
        <v>560021934</v>
      </c>
      <c r="F724" s="19" t="s">
        <v>17</v>
      </c>
      <c r="G724" s="19" t="s">
        <v>14</v>
      </c>
      <c r="H724" s="19" t="str">
        <f>T("607251693")</f>
        <v>607251693</v>
      </c>
      <c r="I724" s="19" t="s">
        <v>1479</v>
      </c>
      <c r="J724" s="19" t="s">
        <v>1480</v>
      </c>
      <c r="K724" s="19" t="str">
        <f>T("LT-47175")</f>
        <v>LT-47175</v>
      </c>
      <c r="L724" s="19" t="s">
        <v>1481</v>
      </c>
      <c r="M724" s="21" t="s">
        <v>0</v>
      </c>
      <c r="N724" s="31">
        <v>45218</v>
      </c>
    </row>
    <row r="725" spans="1:14" ht="16" hidden="1" x14ac:dyDescent="0.2">
      <c r="A725" s="19" t="s">
        <v>1765</v>
      </c>
      <c r="B725" s="20">
        <v>45217</v>
      </c>
      <c r="C725" s="19" t="str">
        <f>T("330241584:0830378848")</f>
        <v>330241584:0830378848</v>
      </c>
      <c r="D725" s="19" t="str">
        <f>T("00100336-SAV AFF")</f>
        <v>00100336-SAV AFF</v>
      </c>
      <c r="E725" s="19" t="str">
        <f>T("510146353")</f>
        <v>510146353</v>
      </c>
      <c r="F725" s="19" t="s">
        <v>16</v>
      </c>
      <c r="G725" s="19" t="s">
        <v>14</v>
      </c>
      <c r="H725" s="19" t="str">
        <f>T("607251702")</f>
        <v>607251702</v>
      </c>
      <c r="I725" s="19" t="s">
        <v>1766</v>
      </c>
      <c r="J725" s="19" t="s">
        <v>1767</v>
      </c>
      <c r="K725" s="19" t="str">
        <f>T("06330")</f>
        <v>06330</v>
      </c>
      <c r="L725" s="19" t="s">
        <v>19</v>
      </c>
      <c r="M725" s="21" t="s">
        <v>0</v>
      </c>
      <c r="N725" s="31">
        <v>45218</v>
      </c>
    </row>
    <row r="726" spans="1:14" ht="16" hidden="1" x14ac:dyDescent="0.2">
      <c r="A726" s="19" t="s">
        <v>1768</v>
      </c>
      <c r="B726" s="20">
        <v>45217</v>
      </c>
      <c r="C726" s="19" t="str">
        <f>T("330228551:0830379616")</f>
        <v>330228551:0830379616</v>
      </c>
      <c r="D726" s="19" t="str">
        <f>T("TA2143")</f>
        <v>TA2143</v>
      </c>
      <c r="E726" s="19" t="str">
        <f>T("7660223403")</f>
        <v>7660223403</v>
      </c>
      <c r="F726" s="19" t="s">
        <v>16</v>
      </c>
      <c r="G726" s="19" t="s">
        <v>14</v>
      </c>
      <c r="H726" s="19" t="str">
        <f>T("607251716")</f>
        <v>607251716</v>
      </c>
      <c r="I726" s="19" t="s">
        <v>1769</v>
      </c>
      <c r="J726" s="19" t="s">
        <v>1770</v>
      </c>
      <c r="K726" s="19" t="str">
        <f>T("95000")</f>
        <v>95000</v>
      </c>
      <c r="L726" s="19" t="s">
        <v>19</v>
      </c>
      <c r="M726" s="21" t="s">
        <v>0</v>
      </c>
      <c r="N726" s="31">
        <v>45219</v>
      </c>
    </row>
    <row r="727" spans="1:14" ht="16" hidden="1" x14ac:dyDescent="0.2">
      <c r="A727" s="19" t="s">
        <v>1771</v>
      </c>
      <c r="B727" s="20">
        <v>45217</v>
      </c>
      <c r="C727" s="19" t="str">
        <f>T("330241495:0830379618")</f>
        <v>330241495:0830379618</v>
      </c>
      <c r="D727" s="19" t="str">
        <f>T("CDE6735-M RACHEDI")</f>
        <v>CDE6735-M RACHEDI</v>
      </c>
      <c r="E727" s="19" t="str">
        <f>T("510146321")</f>
        <v>510146321</v>
      </c>
      <c r="F727" s="19" t="s">
        <v>17</v>
      </c>
      <c r="G727" s="19" t="s">
        <v>14</v>
      </c>
      <c r="H727" s="19" t="str">
        <f>T("607251720")</f>
        <v>607251720</v>
      </c>
      <c r="I727" s="19" t="s">
        <v>1772</v>
      </c>
      <c r="J727" s="19" t="s">
        <v>1773</v>
      </c>
      <c r="K727" s="19" t="str">
        <f>T("69700")</f>
        <v>69700</v>
      </c>
      <c r="L727" s="19" t="s">
        <v>19</v>
      </c>
      <c r="M727" s="21" t="s">
        <v>0</v>
      </c>
      <c r="N727" s="31">
        <v>45218</v>
      </c>
    </row>
    <row r="728" spans="1:14" ht="16" hidden="1" x14ac:dyDescent="0.2">
      <c r="A728" s="19" t="s">
        <v>1774</v>
      </c>
      <c r="B728" s="20">
        <v>45217</v>
      </c>
      <c r="C728" s="19" t="str">
        <f>T("330241375:0830378794")</f>
        <v>330241375:0830378794</v>
      </c>
      <c r="D728" s="19" t="str">
        <f>T("WC AXA")</f>
        <v>WC AXA</v>
      </c>
      <c r="E728" s="19" t="str">
        <f>T("510146586")</f>
        <v>510146586</v>
      </c>
      <c r="F728" s="19" t="s">
        <v>17</v>
      </c>
      <c r="G728" s="19" t="s">
        <v>14</v>
      </c>
      <c r="H728" s="19" t="str">
        <f>T("607251733")</f>
        <v>607251733</v>
      </c>
      <c r="I728" s="19" t="s">
        <v>1775</v>
      </c>
      <c r="J728" s="19" t="s">
        <v>1776</v>
      </c>
      <c r="K728" s="19" t="str">
        <f>T("85150")</f>
        <v>85150</v>
      </c>
      <c r="L728" s="19" t="s">
        <v>19</v>
      </c>
      <c r="M728" s="21" t="s">
        <v>0</v>
      </c>
      <c r="N728" s="31">
        <v>45218</v>
      </c>
    </row>
    <row r="729" spans="1:14" ht="16" x14ac:dyDescent="0.2">
      <c r="A729" s="19" t="s">
        <v>1777</v>
      </c>
      <c r="B729" s="20">
        <v>45217</v>
      </c>
      <c r="C729" s="19" t="str">
        <f>T("330241566:0830378731")</f>
        <v>330241566:0830378731</v>
      </c>
      <c r="D729" s="21"/>
      <c r="E729" s="19" t="str">
        <f>T("SW 20231017")</f>
        <v>SW 20231017</v>
      </c>
      <c r="F729" s="19" t="s">
        <v>16</v>
      </c>
      <c r="G729" s="19" t="s">
        <v>14</v>
      </c>
      <c r="H729" s="19" t="str">
        <f>T("607251764")</f>
        <v>607251764</v>
      </c>
      <c r="I729" s="19" t="s">
        <v>1778</v>
      </c>
      <c r="J729" s="19" t="s">
        <v>624</v>
      </c>
      <c r="K729" s="19" t="str">
        <f>T("51216")</f>
        <v>51216</v>
      </c>
      <c r="L729" s="19" t="s">
        <v>625</v>
      </c>
      <c r="M729" s="21" t="s">
        <v>1</v>
      </c>
      <c r="N729" s="21"/>
    </row>
    <row r="730" spans="1:14" ht="16" hidden="1" x14ac:dyDescent="0.2">
      <c r="A730" s="19" t="s">
        <v>1779</v>
      </c>
      <c r="B730" s="20">
        <v>45217</v>
      </c>
      <c r="C730" s="19" t="str">
        <f>T("330241462:0830379617")</f>
        <v>330241462:0830379617</v>
      </c>
      <c r="D730" s="19" t="str">
        <f>T("161562")</f>
        <v>161562</v>
      </c>
      <c r="E730" s="19" t="str">
        <f>T("510146444")</f>
        <v>510146444</v>
      </c>
      <c r="F730" s="19" t="s">
        <v>17</v>
      </c>
      <c r="G730" s="19" t="s">
        <v>14</v>
      </c>
      <c r="H730" s="19" t="str">
        <f>T("607251755")</f>
        <v>607251755</v>
      </c>
      <c r="I730" s="19" t="s">
        <v>670</v>
      </c>
      <c r="J730" s="19" t="s">
        <v>689</v>
      </c>
      <c r="K730" s="19" t="str">
        <f>T("20600")</f>
        <v>20600</v>
      </c>
      <c r="L730" s="19" t="s">
        <v>19</v>
      </c>
      <c r="M730" s="21" t="s">
        <v>0</v>
      </c>
      <c r="N730" s="31">
        <v>45219</v>
      </c>
    </row>
    <row r="731" spans="1:14" ht="16" x14ac:dyDescent="0.2">
      <c r="A731" s="19" t="s">
        <v>1780</v>
      </c>
      <c r="B731" s="20">
        <v>45217</v>
      </c>
      <c r="C731" s="19" t="str">
        <f>T("330229584:0830378960")</f>
        <v>330229584:0830378960</v>
      </c>
      <c r="D731" s="19" t="str">
        <f>T("Gift Criscat")</f>
        <v>Gift Criscat</v>
      </c>
      <c r="E731" s="19" t="str">
        <f>T("7690046958")</f>
        <v>7690046958</v>
      </c>
      <c r="F731" s="19" t="s">
        <v>16</v>
      </c>
      <c r="G731" s="19" t="s">
        <v>14</v>
      </c>
      <c r="H731" s="19" t="str">
        <f>T("607251778")</f>
        <v>607251778</v>
      </c>
      <c r="I731" s="19" t="s">
        <v>1781</v>
      </c>
      <c r="J731" s="19" t="s">
        <v>1782</v>
      </c>
      <c r="K731" s="19" t="str">
        <f>T("077046")</f>
        <v>077046</v>
      </c>
      <c r="L731" s="19" t="s">
        <v>1730</v>
      </c>
      <c r="M731" s="21" t="s">
        <v>1</v>
      </c>
      <c r="N731" s="21"/>
    </row>
    <row r="732" spans="1:14" ht="16" hidden="1" x14ac:dyDescent="0.2">
      <c r="A732" s="19" t="s">
        <v>1783</v>
      </c>
      <c r="B732" s="20">
        <v>45217</v>
      </c>
      <c r="C732" s="19" t="str">
        <f>T("330241414:0830378807")</f>
        <v>330241414:0830378807</v>
      </c>
      <c r="D732" s="19" t="str">
        <f>T("CABINET YZICO / K")</f>
        <v>CABINET YZICO / K</v>
      </c>
      <c r="E732" s="19" t="str">
        <f>T("510146101")</f>
        <v>510146101</v>
      </c>
      <c r="F732" s="19" t="s">
        <v>16</v>
      </c>
      <c r="G732" s="19" t="s">
        <v>14</v>
      </c>
      <c r="H732" s="19" t="str">
        <f>T("607251781")</f>
        <v>607251781</v>
      </c>
      <c r="I732" s="19" t="s">
        <v>1784</v>
      </c>
      <c r="J732" s="19" t="s">
        <v>1785</v>
      </c>
      <c r="K732" s="19" t="str">
        <f>T("93240")</f>
        <v>93240</v>
      </c>
      <c r="L732" s="19" t="s">
        <v>19</v>
      </c>
      <c r="M732" s="21" t="s">
        <v>0</v>
      </c>
      <c r="N732" s="31">
        <v>45219</v>
      </c>
    </row>
    <row r="733" spans="1:14" ht="16" x14ac:dyDescent="0.2">
      <c r="A733" s="19" t="s">
        <v>1786</v>
      </c>
      <c r="B733" s="20">
        <v>45217</v>
      </c>
      <c r="C733" s="19" t="str">
        <f>T("330241382:0830378796")</f>
        <v>330241382:0830378796</v>
      </c>
      <c r="D733" s="19" t="str">
        <f>T("RAS61")</f>
        <v>RAS61</v>
      </c>
      <c r="E733" s="19" t="str">
        <f>T("560021869")</f>
        <v>560021869</v>
      </c>
      <c r="F733" s="19" t="s">
        <v>16</v>
      </c>
      <c r="G733" s="19" t="s">
        <v>14</v>
      </c>
      <c r="H733" s="19" t="str">
        <f>T("607251804")</f>
        <v>607251804</v>
      </c>
      <c r="I733" s="19" t="s">
        <v>42</v>
      </c>
      <c r="J733" s="19" t="s">
        <v>653</v>
      </c>
      <c r="K733" s="19" t="str">
        <f>T("1131")</f>
        <v>1131</v>
      </c>
      <c r="L733" s="19" t="s">
        <v>43</v>
      </c>
      <c r="M733" s="21" t="s">
        <v>1</v>
      </c>
      <c r="N733" s="21"/>
    </row>
    <row r="734" spans="1:14" ht="16" hidden="1" x14ac:dyDescent="0.2">
      <c r="A734" s="19" t="s">
        <v>1787</v>
      </c>
      <c r="B734" s="20">
        <v>45217</v>
      </c>
      <c r="C734" s="19" t="str">
        <f>T("330241391:0830378797")</f>
        <v>330241391:0830378797</v>
      </c>
      <c r="D734" s="19" t="str">
        <f>T("5424-PIZZOL")</f>
        <v>5424-PIZZOL</v>
      </c>
      <c r="E734" s="19" t="str">
        <f>T("560021989")</f>
        <v>560021989</v>
      </c>
      <c r="F734" s="19" t="s">
        <v>16</v>
      </c>
      <c r="G734" s="19" t="s">
        <v>14</v>
      </c>
      <c r="H734" s="19" t="str">
        <f>T("607251818")</f>
        <v>607251818</v>
      </c>
      <c r="I734" s="19" t="s">
        <v>117</v>
      </c>
      <c r="J734" s="19" t="s">
        <v>1492</v>
      </c>
      <c r="K734" s="19" t="str">
        <f>T("31010")</f>
        <v>31010</v>
      </c>
      <c r="L734" s="19" t="s">
        <v>18</v>
      </c>
      <c r="M734" s="21" t="s">
        <v>0</v>
      </c>
      <c r="N734" s="31">
        <v>45222</v>
      </c>
    </row>
    <row r="735" spans="1:14" ht="16" hidden="1" x14ac:dyDescent="0.2">
      <c r="A735" s="19" t="s">
        <v>1788</v>
      </c>
      <c r="B735" s="20">
        <v>45217</v>
      </c>
      <c r="C735" s="19" t="str">
        <f>T("330241532:0830378858")</f>
        <v>330241532:0830378858</v>
      </c>
      <c r="D735" s="19" t="str">
        <f>T("2023-09-29-01")</f>
        <v>2023-09-29-01</v>
      </c>
      <c r="E735" s="19" t="str">
        <f>T("560021789")</f>
        <v>560021789</v>
      </c>
      <c r="F735" s="19" t="s">
        <v>17</v>
      </c>
      <c r="G735" s="19" t="s">
        <v>14</v>
      </c>
      <c r="H735" s="19" t="str">
        <f>T("607251821")</f>
        <v>607251821</v>
      </c>
      <c r="I735" s="19" t="s">
        <v>1479</v>
      </c>
      <c r="J735" s="19" t="s">
        <v>1480</v>
      </c>
      <c r="K735" s="19" t="str">
        <f>T("LT-47175")</f>
        <v>LT-47175</v>
      </c>
      <c r="L735" s="19" t="s">
        <v>1481</v>
      </c>
      <c r="M735" s="21" t="s">
        <v>0</v>
      </c>
      <c r="N735" s="31">
        <v>45218</v>
      </c>
    </row>
    <row r="736" spans="1:14" ht="16" hidden="1" x14ac:dyDescent="0.2">
      <c r="A736" s="19" t="s">
        <v>1789</v>
      </c>
      <c r="B736" s="20">
        <v>45217</v>
      </c>
      <c r="C736" s="19" t="str">
        <f>T("330242297:0830379705")</f>
        <v>330242297:0830379705</v>
      </c>
      <c r="D736" s="19" t="str">
        <f>T("WC-RAHOU MARSEILL")</f>
        <v>WC-RAHOU MARSEILL</v>
      </c>
      <c r="E736" s="19" t="str">
        <f>T("510146726")</f>
        <v>510146726</v>
      </c>
      <c r="F736" s="19" t="s">
        <v>17</v>
      </c>
      <c r="G736" s="19" t="s">
        <v>14</v>
      </c>
      <c r="H736" s="19" t="str">
        <f>T("607251835")</f>
        <v>607251835</v>
      </c>
      <c r="I736" s="19" t="s">
        <v>47</v>
      </c>
      <c r="J736" s="19" t="s">
        <v>1790</v>
      </c>
      <c r="K736" s="19" t="str">
        <f>T("13420")</f>
        <v>13420</v>
      </c>
      <c r="L736" s="19" t="s">
        <v>19</v>
      </c>
      <c r="M736" s="21" t="s">
        <v>0</v>
      </c>
      <c r="N736" s="31">
        <v>45218</v>
      </c>
    </row>
    <row r="737" spans="1:14" ht="16" hidden="1" x14ac:dyDescent="0.2">
      <c r="A737" s="19" t="s">
        <v>1791</v>
      </c>
      <c r="B737" s="20">
        <v>45217</v>
      </c>
      <c r="C737" s="19" t="str">
        <f>T("330242298:0830379706")</f>
        <v>330242298:0830379706</v>
      </c>
      <c r="D737" s="19" t="str">
        <f>T("WC-PAC HYDROLUX")</f>
        <v>WC-PAC HYDROLUX</v>
      </c>
      <c r="E737" s="19" t="str">
        <f>T("510146728")</f>
        <v>510146728</v>
      </c>
      <c r="F737" s="19" t="s">
        <v>17</v>
      </c>
      <c r="G737" s="19" t="s">
        <v>14</v>
      </c>
      <c r="H737" s="19" t="str">
        <f>T("607251849")</f>
        <v>607251849</v>
      </c>
      <c r="I737" s="19" t="s">
        <v>1792</v>
      </c>
      <c r="J737" s="19" t="s">
        <v>1793</v>
      </c>
      <c r="K737" s="19" t="str">
        <f>T("84350")</f>
        <v>84350</v>
      </c>
      <c r="L737" s="19" t="s">
        <v>19</v>
      </c>
      <c r="M737" s="21" t="s">
        <v>0</v>
      </c>
      <c r="N737" s="31">
        <v>45218</v>
      </c>
    </row>
    <row r="738" spans="1:14" ht="16" hidden="1" x14ac:dyDescent="0.2">
      <c r="A738" s="19" t="s">
        <v>1794</v>
      </c>
      <c r="B738" s="20">
        <v>45217</v>
      </c>
      <c r="C738" s="19" t="str">
        <f>T("330241501:0830378783")</f>
        <v>330241501:0830378783</v>
      </c>
      <c r="D738" s="19" t="str">
        <f>T("903815")</f>
        <v>903815</v>
      </c>
      <c r="E738" s="19" t="str">
        <f>T("560021928")</f>
        <v>560021928</v>
      </c>
      <c r="F738" s="19" t="s">
        <v>16</v>
      </c>
      <c r="G738" s="19" t="s">
        <v>14</v>
      </c>
      <c r="H738" s="19" t="str">
        <f>T("607251852")</f>
        <v>607251852</v>
      </c>
      <c r="I738" s="19" t="s">
        <v>1795</v>
      </c>
      <c r="J738" s="19" t="s">
        <v>1796</v>
      </c>
      <c r="K738" s="19" t="str">
        <f>T("25046")</f>
        <v>25046</v>
      </c>
      <c r="L738" s="19" t="s">
        <v>18</v>
      </c>
      <c r="M738" s="21" t="s">
        <v>0</v>
      </c>
      <c r="N738" s="31">
        <v>45219</v>
      </c>
    </row>
    <row r="739" spans="1:14" ht="16" hidden="1" x14ac:dyDescent="0.2">
      <c r="A739" s="19" t="s">
        <v>1797</v>
      </c>
      <c r="B739" s="20">
        <v>45217</v>
      </c>
      <c r="C739" s="19" t="str">
        <f>T("330242310:0830379714")</f>
        <v>330242310:0830379714</v>
      </c>
      <c r="D739" s="19" t="str">
        <f>T("CC300474")</f>
        <v>CC300474</v>
      </c>
      <c r="E739" s="19" t="str">
        <f>T("510146610")</f>
        <v>510146610</v>
      </c>
      <c r="F739" s="19" t="s">
        <v>17</v>
      </c>
      <c r="G739" s="19" t="s">
        <v>14</v>
      </c>
      <c r="H739" s="19" t="str">
        <f>T("607251866")</f>
        <v>607251866</v>
      </c>
      <c r="I739" s="19" t="s">
        <v>1798</v>
      </c>
      <c r="J739" s="19" t="s">
        <v>1799</v>
      </c>
      <c r="K739" s="19" t="str">
        <f>T("03700")</f>
        <v>03700</v>
      </c>
      <c r="L739" s="19" t="s">
        <v>19</v>
      </c>
      <c r="M739" s="21" t="s">
        <v>0</v>
      </c>
      <c r="N739" s="31">
        <v>45219</v>
      </c>
    </row>
    <row r="740" spans="1:14" ht="16" x14ac:dyDescent="0.2">
      <c r="A740" s="19" t="s">
        <v>1800</v>
      </c>
      <c r="B740" s="20">
        <v>45217</v>
      </c>
      <c r="C740" s="19" t="str">
        <f>T("330241563:0830378259")</f>
        <v>330241563:0830378259</v>
      </c>
      <c r="D740" s="19" t="str">
        <f>T("Capaccioli Srl")</f>
        <v>Capaccioli Srl</v>
      </c>
      <c r="E740" s="19" t="str">
        <f>T("560021897")</f>
        <v>560021897</v>
      </c>
      <c r="F740" s="19" t="s">
        <v>16</v>
      </c>
      <c r="G740" s="19" t="s">
        <v>14</v>
      </c>
      <c r="H740" s="19" t="str">
        <f>T("607251870")</f>
        <v>607251870</v>
      </c>
      <c r="I740" s="19" t="s">
        <v>1801</v>
      </c>
      <c r="J740" s="19" t="s">
        <v>1802</v>
      </c>
      <c r="K740" s="19" t="str">
        <f>T("52100")</f>
        <v>52100</v>
      </c>
      <c r="L740" s="19" t="s">
        <v>18</v>
      </c>
      <c r="M740" s="21" t="s">
        <v>1</v>
      </c>
      <c r="N740" s="21"/>
    </row>
    <row r="741" spans="1:14" ht="16" hidden="1" x14ac:dyDescent="0.2">
      <c r="A741" s="19" t="s">
        <v>1803</v>
      </c>
      <c r="B741" s="20">
        <v>45217</v>
      </c>
      <c r="C741" s="19" t="str">
        <f>T("330242300:0830379707")</f>
        <v>330242300:0830379707</v>
      </c>
      <c r="D741" s="19" t="str">
        <f>T("WC-SAV QUESNEL")</f>
        <v>WC-SAV QUESNEL</v>
      </c>
      <c r="E741" s="19" t="str">
        <f>T("510146741")</f>
        <v>510146741</v>
      </c>
      <c r="F741" s="19" t="s">
        <v>17</v>
      </c>
      <c r="G741" s="19" t="s">
        <v>14</v>
      </c>
      <c r="H741" s="19" t="str">
        <f>T("607251883")</f>
        <v>607251883</v>
      </c>
      <c r="I741" s="19" t="s">
        <v>48</v>
      </c>
      <c r="J741" s="19" t="s">
        <v>1804</v>
      </c>
      <c r="K741" s="19" t="str">
        <f>T("50700")</f>
        <v>50700</v>
      </c>
      <c r="L741" s="19" t="s">
        <v>19</v>
      </c>
      <c r="M741" s="21" t="s">
        <v>0</v>
      </c>
      <c r="N741" s="31">
        <v>45219</v>
      </c>
    </row>
    <row r="742" spans="1:14" ht="16" hidden="1" x14ac:dyDescent="0.2">
      <c r="A742" s="19" t="s">
        <v>1805</v>
      </c>
      <c r="B742" s="20">
        <v>45217</v>
      </c>
      <c r="C742" s="19" t="str">
        <f>T("330242309:0830379713")</f>
        <v>330242309:0830379713</v>
      </c>
      <c r="D742" s="19" t="str">
        <f>T("w008907")</f>
        <v>w008907</v>
      </c>
      <c r="E742" s="19" t="str">
        <f>T("510146611")</f>
        <v>510146611</v>
      </c>
      <c r="F742" s="19" t="s">
        <v>17</v>
      </c>
      <c r="G742" s="19" t="s">
        <v>14</v>
      </c>
      <c r="H742" s="19" t="str">
        <f>T("607251906")</f>
        <v>607251906</v>
      </c>
      <c r="I742" s="19" t="s">
        <v>1806</v>
      </c>
      <c r="J742" s="19" t="s">
        <v>1807</v>
      </c>
      <c r="K742" s="19" t="str">
        <f>T("59269")</f>
        <v>59269</v>
      </c>
      <c r="L742" s="19" t="s">
        <v>19</v>
      </c>
      <c r="M742" s="21" t="s">
        <v>0</v>
      </c>
      <c r="N742" s="31">
        <v>45218</v>
      </c>
    </row>
    <row r="743" spans="1:14" ht="16" hidden="1" x14ac:dyDescent="0.2">
      <c r="A743" s="19" t="s">
        <v>1808</v>
      </c>
      <c r="B743" s="20">
        <v>45217</v>
      </c>
      <c r="C743" s="19" t="str">
        <f>T("330241325:0830378759")</f>
        <v>330241325:0830378759</v>
      </c>
      <c r="D743" s="19" t="str">
        <f>T("BC15806-AR38518")</f>
        <v>BC15806-AR38518</v>
      </c>
      <c r="E743" s="19" t="str">
        <f>T("510146284")</f>
        <v>510146284</v>
      </c>
      <c r="F743" s="19" t="s">
        <v>16</v>
      </c>
      <c r="G743" s="19" t="s">
        <v>14</v>
      </c>
      <c r="H743" s="19" t="str">
        <f>T("607251910")</f>
        <v>607251910</v>
      </c>
      <c r="I743" s="19" t="s">
        <v>1809</v>
      </c>
      <c r="J743" s="19" t="s">
        <v>1810</v>
      </c>
      <c r="K743" s="19" t="str">
        <f>T("14570")</f>
        <v>14570</v>
      </c>
      <c r="L743" s="19" t="s">
        <v>19</v>
      </c>
      <c r="M743" s="21" t="s">
        <v>0</v>
      </c>
      <c r="N743" s="31">
        <v>45219</v>
      </c>
    </row>
    <row r="744" spans="1:14" ht="16" hidden="1" x14ac:dyDescent="0.2">
      <c r="A744" s="19" t="s">
        <v>1811</v>
      </c>
      <c r="B744" s="20">
        <v>45217</v>
      </c>
      <c r="C744" s="19" t="str">
        <f>T("330241367:0830378114")</f>
        <v>330241367:0830378114</v>
      </c>
      <c r="D744" s="19" t="str">
        <f>T("172514/AC")</f>
        <v>172514/AC</v>
      </c>
      <c r="E744" s="19" t="str">
        <f>T("510146582")</f>
        <v>510146582</v>
      </c>
      <c r="F744" s="19" t="s">
        <v>16</v>
      </c>
      <c r="G744" s="19" t="s">
        <v>14</v>
      </c>
      <c r="H744" s="19" t="str">
        <f>T("607251923")</f>
        <v>607251923</v>
      </c>
      <c r="I744" s="19" t="s">
        <v>21</v>
      </c>
      <c r="J744" s="19" t="s">
        <v>1171</v>
      </c>
      <c r="K744" s="19" t="str">
        <f>T("25220")</f>
        <v>25220</v>
      </c>
      <c r="L744" s="19" t="s">
        <v>19</v>
      </c>
      <c r="M744" s="21" t="s">
        <v>0</v>
      </c>
      <c r="N744" s="31">
        <v>45219</v>
      </c>
    </row>
    <row r="745" spans="1:14" ht="16" hidden="1" x14ac:dyDescent="0.2">
      <c r="A745" s="19" t="s">
        <v>1812</v>
      </c>
      <c r="B745" s="20">
        <v>45217</v>
      </c>
      <c r="C745" s="19" t="str">
        <f>T("330241296:0830378749")</f>
        <v>330241296:0830378749</v>
      </c>
      <c r="D745" s="19" t="str">
        <f>T("EDILIANS STE FOY")</f>
        <v>EDILIANS STE FOY</v>
      </c>
      <c r="E745" s="19" t="str">
        <f>T("510146059")</f>
        <v>510146059</v>
      </c>
      <c r="F745" s="19" t="s">
        <v>16</v>
      </c>
      <c r="G745" s="19" t="s">
        <v>14</v>
      </c>
      <c r="H745" s="19" t="str">
        <f>T("607251937")</f>
        <v>607251937</v>
      </c>
      <c r="I745" s="19" t="s">
        <v>1813</v>
      </c>
      <c r="J745" s="19" t="s">
        <v>1814</v>
      </c>
      <c r="K745" s="19" t="str">
        <f>T("69400")</f>
        <v>69400</v>
      </c>
      <c r="L745" s="19" t="s">
        <v>19</v>
      </c>
      <c r="M745" s="21" t="s">
        <v>0</v>
      </c>
      <c r="N745" s="31">
        <v>45218</v>
      </c>
    </row>
    <row r="746" spans="1:14" ht="16" hidden="1" x14ac:dyDescent="0.2">
      <c r="A746" s="19" t="s">
        <v>1815</v>
      </c>
      <c r="B746" s="20">
        <v>45217</v>
      </c>
      <c r="C746" s="19" t="str">
        <f>T("330241512:0830378850")</f>
        <v>330241512:0830378850</v>
      </c>
      <c r="D746" s="19" t="str">
        <f>T("WC 9732")</f>
        <v>WC 9732</v>
      </c>
      <c r="E746" s="19" t="str">
        <f>T("560021941")</f>
        <v>560021941</v>
      </c>
      <c r="F746" s="19" t="s">
        <v>16</v>
      </c>
      <c r="G746" s="19" t="s">
        <v>14</v>
      </c>
      <c r="H746" s="19" t="str">
        <f>T("607251945")</f>
        <v>607251945</v>
      </c>
      <c r="I746" s="19" t="s">
        <v>999</v>
      </c>
      <c r="J746" s="19" t="s">
        <v>999</v>
      </c>
      <c r="K746" s="19" t="str">
        <f>T("25047")</f>
        <v>25047</v>
      </c>
      <c r="L746" s="19" t="s">
        <v>18</v>
      </c>
      <c r="M746" s="21" t="s">
        <v>0</v>
      </c>
      <c r="N746" s="31">
        <v>45219</v>
      </c>
    </row>
    <row r="747" spans="1:14" ht="16" hidden="1" x14ac:dyDescent="0.2">
      <c r="A747" s="19" t="s">
        <v>1816</v>
      </c>
      <c r="B747" s="20">
        <v>45217</v>
      </c>
      <c r="C747" s="19" t="str">
        <f>T("330241558:0830378842")</f>
        <v>330241558:0830378842</v>
      </c>
      <c r="D747" s="19" t="str">
        <f>T("13346939")</f>
        <v>13346939</v>
      </c>
      <c r="E747" s="19" t="str">
        <f>T("510146917")</f>
        <v>510146917</v>
      </c>
      <c r="F747" s="19" t="s">
        <v>16</v>
      </c>
      <c r="G747" s="19" t="s">
        <v>14</v>
      </c>
      <c r="H747" s="19" t="str">
        <f>T("607251954")</f>
        <v>607251954</v>
      </c>
      <c r="I747" s="19" t="s">
        <v>1817</v>
      </c>
      <c r="J747" s="19" t="s">
        <v>1818</v>
      </c>
      <c r="K747" s="19" t="str">
        <f>T("34070")</f>
        <v>34070</v>
      </c>
      <c r="L747" s="19" t="s">
        <v>19</v>
      </c>
      <c r="M747" s="21" t="s">
        <v>0</v>
      </c>
      <c r="N747" s="31">
        <v>45218</v>
      </c>
    </row>
    <row r="748" spans="1:14" ht="16" hidden="1" x14ac:dyDescent="0.2">
      <c r="A748" s="19" t="s">
        <v>1819</v>
      </c>
      <c r="B748" s="20">
        <v>45217</v>
      </c>
      <c r="C748" s="19" t="str">
        <f>T("330214627:0830379824")</f>
        <v>330214627:0830379824</v>
      </c>
      <c r="D748" s="19" t="str">
        <f>T("00099501-SAV RAS4")</f>
        <v>00099501-SAV RAS4</v>
      </c>
      <c r="E748" s="19" t="str">
        <f>T("7660221489")</f>
        <v>7660221489</v>
      </c>
      <c r="F748" s="19" t="s">
        <v>16</v>
      </c>
      <c r="G748" s="19" t="s">
        <v>14</v>
      </c>
      <c r="H748" s="19" t="str">
        <f>T("607251971")</f>
        <v>607251971</v>
      </c>
      <c r="I748" s="19" t="s">
        <v>1820</v>
      </c>
      <c r="J748" s="19" t="s">
        <v>1821</v>
      </c>
      <c r="K748" s="19" t="str">
        <f>T("13015")</f>
        <v>13015</v>
      </c>
      <c r="L748" s="19" t="s">
        <v>19</v>
      </c>
      <c r="M748" s="21" t="s">
        <v>0</v>
      </c>
      <c r="N748" s="31">
        <v>45218</v>
      </c>
    </row>
    <row r="749" spans="1:14" ht="16" hidden="1" x14ac:dyDescent="0.2">
      <c r="A749" s="19" t="s">
        <v>1822</v>
      </c>
      <c r="B749" s="20">
        <v>45217</v>
      </c>
      <c r="C749" s="19" t="str">
        <f>T("330241598:0830379621")</f>
        <v>330241598:0830379621</v>
      </c>
      <c r="D749" s="19" t="str">
        <f>T("Hauzvic")</f>
        <v>Hauzvic</v>
      </c>
      <c r="E749" s="19" t="str">
        <f>T("560021866")</f>
        <v>560021866</v>
      </c>
      <c r="F749" s="19" t="s">
        <v>16</v>
      </c>
      <c r="G749" s="19" t="s">
        <v>14</v>
      </c>
      <c r="H749" s="19" t="str">
        <f>T("607251985")</f>
        <v>607251985</v>
      </c>
      <c r="I749" s="19" t="s">
        <v>1823</v>
      </c>
      <c r="J749" s="19" t="s">
        <v>1824</v>
      </c>
      <c r="K749" s="19" t="str">
        <f>T("273 04")</f>
        <v>273 04</v>
      </c>
      <c r="L749" s="19" t="s">
        <v>1215</v>
      </c>
      <c r="M749" s="21" t="s">
        <v>0</v>
      </c>
      <c r="N749" s="31">
        <v>45222</v>
      </c>
    </row>
    <row r="750" spans="1:14" ht="16" hidden="1" x14ac:dyDescent="0.2">
      <c r="A750" s="19" t="s">
        <v>1825</v>
      </c>
      <c r="B750" s="20">
        <v>45217</v>
      </c>
      <c r="C750" s="19" t="str">
        <f>T("330242303:0830379710")</f>
        <v>330242303:0830379710</v>
      </c>
      <c r="D750" s="19" t="str">
        <f>T("WC-BERDOLL")</f>
        <v>WC-BERDOLL</v>
      </c>
      <c r="E750" s="19" t="str">
        <f>T("510146736")</f>
        <v>510146736</v>
      </c>
      <c r="F750" s="19" t="s">
        <v>17</v>
      </c>
      <c r="G750" s="19" t="s">
        <v>14</v>
      </c>
      <c r="H750" s="19" t="str">
        <f>T("607251999")</f>
        <v>607251999</v>
      </c>
      <c r="I750" s="19" t="s">
        <v>1826</v>
      </c>
      <c r="J750" s="19" t="s">
        <v>1827</v>
      </c>
      <c r="K750" s="19" t="str">
        <f>T("44260")</f>
        <v>44260</v>
      </c>
      <c r="L750" s="19" t="s">
        <v>19</v>
      </c>
      <c r="M750" s="21" t="s">
        <v>0</v>
      </c>
      <c r="N750" s="31">
        <v>45218</v>
      </c>
    </row>
    <row r="751" spans="1:14" ht="16" hidden="1" x14ac:dyDescent="0.2">
      <c r="A751" s="19" t="s">
        <v>1828</v>
      </c>
      <c r="B751" s="20">
        <v>45217</v>
      </c>
      <c r="C751" s="19" t="str">
        <f>T("330242302:0830379709")</f>
        <v>330242302:0830379709</v>
      </c>
      <c r="D751" s="19" t="str">
        <f>T("WC-Age et vie Noy")</f>
        <v>WC-Age et vie Noy</v>
      </c>
      <c r="E751" s="19" t="str">
        <f>T("510146737")</f>
        <v>510146737</v>
      </c>
      <c r="F751" s="19" t="s">
        <v>17</v>
      </c>
      <c r="G751" s="19" t="s">
        <v>14</v>
      </c>
      <c r="H751" s="19" t="str">
        <f>T("607252019")</f>
        <v>607252019</v>
      </c>
      <c r="I751" s="19" t="s">
        <v>1829</v>
      </c>
      <c r="J751" s="19" t="s">
        <v>1830</v>
      </c>
      <c r="K751" s="19" t="str">
        <f>T("56800")</f>
        <v>56800</v>
      </c>
      <c r="L751" s="19" t="s">
        <v>19</v>
      </c>
      <c r="M751" s="21" t="s">
        <v>0</v>
      </c>
      <c r="N751" s="31">
        <v>45219</v>
      </c>
    </row>
    <row r="752" spans="1:14" ht="16" hidden="1" x14ac:dyDescent="0.2">
      <c r="A752" s="19" t="s">
        <v>1831</v>
      </c>
      <c r="B752" s="20">
        <v>45217</v>
      </c>
      <c r="C752" s="19" t="str">
        <f>T("330242299:0830379829")</f>
        <v>330242299:0830379829</v>
      </c>
      <c r="D752" s="19" t="str">
        <f>T("WC-M. GODEL")</f>
        <v>WC-M. GODEL</v>
      </c>
      <c r="E752" s="19" t="str">
        <f>T("510146742")</f>
        <v>510146742</v>
      </c>
      <c r="F752" s="19" t="s">
        <v>17</v>
      </c>
      <c r="G752" s="19" t="s">
        <v>14</v>
      </c>
      <c r="H752" s="19" t="str">
        <f>T("607252067")</f>
        <v>607252067</v>
      </c>
      <c r="I752" s="19" t="s">
        <v>1832</v>
      </c>
      <c r="J752" s="19" t="s">
        <v>1833</v>
      </c>
      <c r="K752" s="19" t="str">
        <f>T("72610")</f>
        <v>72610</v>
      </c>
      <c r="L752" s="19" t="s">
        <v>19</v>
      </c>
      <c r="M752" s="21" t="s">
        <v>0</v>
      </c>
      <c r="N752" s="31">
        <v>45218</v>
      </c>
    </row>
    <row r="753" spans="1:14" ht="16" hidden="1" x14ac:dyDescent="0.2">
      <c r="A753" s="19" t="s">
        <v>1834</v>
      </c>
      <c r="B753" s="20">
        <v>45217</v>
      </c>
      <c r="C753" s="19" t="str">
        <f>T("330242306:0830379831")</f>
        <v>330242306:0830379831</v>
      </c>
      <c r="D753" s="19" t="str">
        <f>T("WC-PAC HYDROLUX")</f>
        <v>WC-PAC HYDROLUX</v>
      </c>
      <c r="E753" s="19" t="str">
        <f>T("510146729")</f>
        <v>510146729</v>
      </c>
      <c r="F753" s="19" t="s">
        <v>17</v>
      </c>
      <c r="G753" s="19" t="s">
        <v>14</v>
      </c>
      <c r="H753" s="19" t="str">
        <f>T("607252036")</f>
        <v>607252036</v>
      </c>
      <c r="I753" s="19" t="s">
        <v>47</v>
      </c>
      <c r="J753" s="19" t="s">
        <v>180</v>
      </c>
      <c r="K753" s="19" t="str">
        <f>T("06370")</f>
        <v>06370</v>
      </c>
      <c r="L753" s="19" t="s">
        <v>19</v>
      </c>
      <c r="M753" s="21" t="s">
        <v>0</v>
      </c>
      <c r="N753" s="31">
        <v>45218</v>
      </c>
    </row>
    <row r="754" spans="1:14" ht="16" x14ac:dyDescent="0.2">
      <c r="A754" s="19" t="s">
        <v>1835</v>
      </c>
      <c r="B754" s="20">
        <v>45217</v>
      </c>
      <c r="C754" s="19" t="str">
        <f>T("330242295:0830379827")</f>
        <v>330242295:0830379827</v>
      </c>
      <c r="D754" s="19" t="str">
        <f>T("WC-Hotel de Perri")</f>
        <v>WC-Hotel de Perri</v>
      </c>
      <c r="E754" s="19" t="str">
        <f>T("510146735")</f>
        <v>510146735</v>
      </c>
      <c r="F754" s="19" t="s">
        <v>16</v>
      </c>
      <c r="G754" s="19" t="s">
        <v>14</v>
      </c>
      <c r="H754" s="19" t="str">
        <f>T("607252040")</f>
        <v>607252040</v>
      </c>
      <c r="I754" s="19" t="s">
        <v>1836</v>
      </c>
      <c r="J754" s="19" t="s">
        <v>1837</v>
      </c>
      <c r="K754" s="19" t="str">
        <f>T("53000")</f>
        <v>53000</v>
      </c>
      <c r="L754" s="19" t="s">
        <v>19</v>
      </c>
      <c r="M754" s="21" t="s">
        <v>1</v>
      </c>
      <c r="N754" s="21"/>
    </row>
    <row r="755" spans="1:14" ht="16" hidden="1" x14ac:dyDescent="0.2">
      <c r="A755" s="19" t="s">
        <v>1838</v>
      </c>
      <c r="B755" s="20">
        <v>45217</v>
      </c>
      <c r="C755" s="19" t="str">
        <f>T("330242305:0830379830")</f>
        <v>330242305:0830379830</v>
      </c>
      <c r="D755" s="19" t="str">
        <f>T("WC-MME CHIGOT")</f>
        <v>WC-MME CHIGOT</v>
      </c>
      <c r="E755" s="19" t="str">
        <f>T("510146730")</f>
        <v>510146730</v>
      </c>
      <c r="F755" s="19" t="s">
        <v>17</v>
      </c>
      <c r="G755" s="19" t="s">
        <v>14</v>
      </c>
      <c r="H755" s="19" t="str">
        <f>T("607252053")</f>
        <v>607252053</v>
      </c>
      <c r="I755" s="19" t="s">
        <v>1839</v>
      </c>
      <c r="J755" s="19" t="s">
        <v>1840</v>
      </c>
      <c r="K755" s="19" t="str">
        <f>T("18230")</f>
        <v>18230</v>
      </c>
      <c r="L755" s="19" t="s">
        <v>19</v>
      </c>
      <c r="M755" s="21" t="s">
        <v>0</v>
      </c>
      <c r="N755" s="31">
        <v>45219</v>
      </c>
    </row>
    <row r="756" spans="1:14" ht="16" hidden="1" x14ac:dyDescent="0.2">
      <c r="A756" s="19" t="s">
        <v>1841</v>
      </c>
      <c r="B756" s="20">
        <v>45217</v>
      </c>
      <c r="C756" s="19" t="str">
        <f>T("330242307:0830379832")</f>
        <v>330242307:0830379832</v>
      </c>
      <c r="D756" s="19" t="str">
        <f>T("MEN BOU177")</f>
        <v>MEN BOU177</v>
      </c>
      <c r="E756" s="19" t="str">
        <f>T("510146614")</f>
        <v>510146614</v>
      </c>
      <c r="F756" s="19" t="s">
        <v>16</v>
      </c>
      <c r="G756" s="19" t="s">
        <v>14</v>
      </c>
      <c r="H756" s="19" t="str">
        <f>T("607252075")</f>
        <v>607252075</v>
      </c>
      <c r="I756" s="19" t="s">
        <v>219</v>
      </c>
      <c r="J756" s="19" t="s">
        <v>1842</v>
      </c>
      <c r="K756" s="19" t="str">
        <f>T("42300")</f>
        <v>42300</v>
      </c>
      <c r="L756" s="19" t="s">
        <v>19</v>
      </c>
      <c r="M756" s="21" t="s">
        <v>0</v>
      </c>
      <c r="N756" s="31">
        <v>45218</v>
      </c>
    </row>
    <row r="757" spans="1:14" ht="16" hidden="1" x14ac:dyDescent="0.2">
      <c r="A757" s="19" t="s">
        <v>1843</v>
      </c>
      <c r="B757" s="20">
        <v>45217</v>
      </c>
      <c r="C757" s="19" t="str">
        <f>T("330241489:0830378838")</f>
        <v>330241489:0830378838</v>
      </c>
      <c r="D757" s="19" t="str">
        <f>T("TL-TL-CAPPADOCE")</f>
        <v>TL-TL-CAPPADOCE</v>
      </c>
      <c r="E757" s="19" t="str">
        <f>T("510146265")</f>
        <v>510146265</v>
      </c>
      <c r="F757" s="19" t="s">
        <v>16</v>
      </c>
      <c r="G757" s="19" t="s">
        <v>14</v>
      </c>
      <c r="H757" s="19" t="str">
        <f>T("607252084")</f>
        <v>607252084</v>
      </c>
      <c r="I757" s="19" t="s">
        <v>1844</v>
      </c>
      <c r="J757" s="19" t="s">
        <v>1845</v>
      </c>
      <c r="K757" s="19" t="str">
        <f>T("77181")</f>
        <v>77181</v>
      </c>
      <c r="L757" s="19" t="s">
        <v>19</v>
      </c>
      <c r="M757" s="21" t="s">
        <v>0</v>
      </c>
      <c r="N757" s="31">
        <v>45219</v>
      </c>
    </row>
    <row r="758" spans="1:14" ht="16" hidden="1" x14ac:dyDescent="0.2">
      <c r="A758" s="19" t="s">
        <v>1846</v>
      </c>
      <c r="B758" s="20">
        <v>45217</v>
      </c>
      <c r="C758" s="19" t="str">
        <f>T("330242294:0830379826")</f>
        <v>330242294:0830379826</v>
      </c>
      <c r="D758" s="19" t="str">
        <f>T("WC-BAZINCOURT")</f>
        <v>WC-BAZINCOURT</v>
      </c>
      <c r="E758" s="19" t="str">
        <f>T("510146732")</f>
        <v>510146732</v>
      </c>
      <c r="F758" s="19" t="s">
        <v>17</v>
      </c>
      <c r="G758" s="19" t="s">
        <v>14</v>
      </c>
      <c r="H758" s="19" t="str">
        <f>T("607252098")</f>
        <v>607252098</v>
      </c>
      <c r="I758" s="19" t="s">
        <v>879</v>
      </c>
      <c r="J758" s="19" t="s">
        <v>880</v>
      </c>
      <c r="K758" s="19" t="str">
        <f>T("27140")</f>
        <v>27140</v>
      </c>
      <c r="L758" s="19" t="s">
        <v>19</v>
      </c>
      <c r="M758" s="21" t="s">
        <v>0</v>
      </c>
      <c r="N758" s="31">
        <v>45218</v>
      </c>
    </row>
    <row r="759" spans="1:14" ht="16" hidden="1" x14ac:dyDescent="0.2">
      <c r="A759" s="19" t="s">
        <v>1847</v>
      </c>
      <c r="B759" s="20">
        <v>45217</v>
      </c>
      <c r="C759" s="19" t="str">
        <f>T("330241596:0830379620")</f>
        <v>330241596:0830379620</v>
      </c>
      <c r="D759" s="19" t="str">
        <f>T("VO2023512")</f>
        <v>VO2023512</v>
      </c>
      <c r="E759" s="19" t="str">
        <f>T("560021753")</f>
        <v>560021753</v>
      </c>
      <c r="F759" s="19" t="s">
        <v>17</v>
      </c>
      <c r="G759" s="19" t="s">
        <v>14</v>
      </c>
      <c r="H759" s="19" t="str">
        <f>T("607252107")</f>
        <v>607252107</v>
      </c>
      <c r="I759" s="19" t="s">
        <v>1848</v>
      </c>
      <c r="J759" s="19" t="s">
        <v>1849</v>
      </c>
      <c r="K759" s="19" t="str">
        <f>T("620 00")</f>
        <v>620 00</v>
      </c>
      <c r="L759" s="19" t="s">
        <v>1215</v>
      </c>
      <c r="M759" s="21" t="s">
        <v>0</v>
      </c>
      <c r="N759" s="31">
        <v>45218</v>
      </c>
    </row>
    <row r="760" spans="1:14" ht="16" hidden="1" x14ac:dyDescent="0.2">
      <c r="A760" s="19" t="s">
        <v>1850</v>
      </c>
      <c r="B760" s="20">
        <v>45217</v>
      </c>
      <c r="C760" s="19" t="str">
        <f>T("330242296:0830379828")</f>
        <v>330242296:0830379828</v>
      </c>
      <c r="D760" s="19" t="str">
        <f>T("WC-BUANDERIE")</f>
        <v>WC-BUANDERIE</v>
      </c>
      <c r="E760" s="19" t="str">
        <f>T("510146727")</f>
        <v>510146727</v>
      </c>
      <c r="F760" s="19" t="s">
        <v>17</v>
      </c>
      <c r="G760" s="19" t="s">
        <v>14</v>
      </c>
      <c r="H760" s="19" t="str">
        <f>T("607252115")</f>
        <v>607252115</v>
      </c>
      <c r="I760" s="19" t="s">
        <v>1851</v>
      </c>
      <c r="J760" s="19" t="s">
        <v>1852</v>
      </c>
      <c r="K760" s="19" t="str">
        <f>T("06250")</f>
        <v>06250</v>
      </c>
      <c r="L760" s="19" t="s">
        <v>19</v>
      </c>
      <c r="M760" s="21" t="s">
        <v>0</v>
      </c>
      <c r="N760" s="31">
        <v>45218</v>
      </c>
    </row>
    <row r="761" spans="1:14" ht="16" hidden="1" x14ac:dyDescent="0.2">
      <c r="A761" s="19" t="s">
        <v>1853</v>
      </c>
      <c r="B761" s="20">
        <v>45217</v>
      </c>
      <c r="C761" s="19" t="str">
        <f>T("330238792:0830380210")</f>
        <v>330238792:0830380210</v>
      </c>
      <c r="D761" s="19" t="str">
        <f>T("PR230486")</f>
        <v>PR230486</v>
      </c>
      <c r="E761" s="19" t="str">
        <f>T("510145933")</f>
        <v>510145933</v>
      </c>
      <c r="F761" s="19" t="s">
        <v>16</v>
      </c>
      <c r="G761" s="19" t="s">
        <v>14</v>
      </c>
      <c r="H761" s="19" t="str">
        <f>T("607252124")</f>
        <v>607252124</v>
      </c>
      <c r="I761" s="19" t="s">
        <v>1854</v>
      </c>
      <c r="J761" s="19" t="s">
        <v>1855</v>
      </c>
      <c r="K761" s="19" t="str">
        <f>T("69400")</f>
        <v>69400</v>
      </c>
      <c r="L761" s="19" t="s">
        <v>19</v>
      </c>
      <c r="M761" s="21" t="s">
        <v>0</v>
      </c>
      <c r="N761" s="31">
        <v>45219</v>
      </c>
    </row>
    <row r="762" spans="1:14" ht="16" hidden="1" x14ac:dyDescent="0.2">
      <c r="A762" s="19" t="s">
        <v>1856</v>
      </c>
      <c r="B762" s="20">
        <v>45217</v>
      </c>
      <c r="C762" s="19" t="str">
        <f>T("330242440:0830380306")</f>
        <v>330242440:0830380306</v>
      </c>
      <c r="D762" s="19" t="str">
        <f>T("C2310062 3C")</f>
        <v>C2310062 3C</v>
      </c>
      <c r="E762" s="19" t="str">
        <f>T("510146569")</f>
        <v>510146569</v>
      </c>
      <c r="F762" s="19" t="s">
        <v>17</v>
      </c>
      <c r="G762" s="19" t="s">
        <v>14</v>
      </c>
      <c r="H762" s="19" t="str">
        <f>T("607252138")</f>
        <v>607252138</v>
      </c>
      <c r="I762" s="19" t="s">
        <v>1857</v>
      </c>
      <c r="J762" s="19" t="s">
        <v>1858</v>
      </c>
      <c r="K762" s="19" t="str">
        <f>T("18230")</f>
        <v>18230</v>
      </c>
      <c r="L762" s="19" t="s">
        <v>19</v>
      </c>
      <c r="M762" s="21" t="s">
        <v>0</v>
      </c>
      <c r="N762" s="31">
        <v>45219</v>
      </c>
    </row>
    <row r="763" spans="1:14" ht="16" hidden="1" x14ac:dyDescent="0.2">
      <c r="A763" s="19" t="s">
        <v>1859</v>
      </c>
      <c r="B763" s="20">
        <v>45217</v>
      </c>
      <c r="C763" s="19" t="str">
        <f>T("330242419:0830380295")</f>
        <v>330242419:0830380295</v>
      </c>
      <c r="D763" s="19" t="str">
        <f>T("C2310048 PARIS CL")</f>
        <v>C2310048 PARIS CL</v>
      </c>
      <c r="E763" s="19" t="str">
        <f>T("510146369")</f>
        <v>510146369</v>
      </c>
      <c r="F763" s="19" t="s">
        <v>17</v>
      </c>
      <c r="G763" s="19" t="s">
        <v>14</v>
      </c>
      <c r="H763" s="19" t="str">
        <f>T("607252141")</f>
        <v>607252141</v>
      </c>
      <c r="I763" s="19" t="s">
        <v>1860</v>
      </c>
      <c r="J763" s="19" t="s">
        <v>1861</v>
      </c>
      <c r="K763" s="19" t="str">
        <f>T("95360")</f>
        <v>95360</v>
      </c>
      <c r="L763" s="19" t="s">
        <v>19</v>
      </c>
      <c r="M763" s="21" t="s">
        <v>0</v>
      </c>
      <c r="N763" s="31">
        <v>45219</v>
      </c>
    </row>
    <row r="764" spans="1:14" ht="16" hidden="1" x14ac:dyDescent="0.2">
      <c r="A764" s="19" t="s">
        <v>1862</v>
      </c>
      <c r="B764" s="20">
        <v>45217</v>
      </c>
      <c r="C764" s="19" t="str">
        <f>T("330242390:0830380277")</f>
        <v>330242390:0830380277</v>
      </c>
      <c r="D764" s="19" t="str">
        <f>T("WC-Guezengard")</f>
        <v>WC-Guezengard</v>
      </c>
      <c r="E764" s="19" t="str">
        <f>T("510146748")</f>
        <v>510146748</v>
      </c>
      <c r="F764" s="19" t="s">
        <v>17</v>
      </c>
      <c r="G764" s="19" t="s">
        <v>14</v>
      </c>
      <c r="H764" s="19" t="str">
        <f>T("607252155")</f>
        <v>607252155</v>
      </c>
      <c r="I764" s="19" t="s">
        <v>1863</v>
      </c>
      <c r="J764" s="19" t="s">
        <v>1864</v>
      </c>
      <c r="K764" s="19" t="str">
        <f>T("56230")</f>
        <v>56230</v>
      </c>
      <c r="L764" s="19" t="s">
        <v>19</v>
      </c>
      <c r="M764" s="21" t="s">
        <v>0</v>
      </c>
      <c r="N764" s="31">
        <v>45219</v>
      </c>
    </row>
    <row r="765" spans="1:14" ht="16" hidden="1" x14ac:dyDescent="0.2">
      <c r="A765" s="19" t="s">
        <v>1865</v>
      </c>
      <c r="B765" s="20">
        <v>45217</v>
      </c>
      <c r="C765" s="19" t="str">
        <f>T("330242424:0830380298")</f>
        <v>330242424:0830380298</v>
      </c>
      <c r="D765" s="19" t="str">
        <f>T("AVENIR ENERGIES")</f>
        <v>AVENIR ENERGIES</v>
      </c>
      <c r="E765" s="19" t="str">
        <f>T("510146396")</f>
        <v>510146396</v>
      </c>
      <c r="F765" s="19" t="s">
        <v>17</v>
      </c>
      <c r="G765" s="19" t="s">
        <v>14</v>
      </c>
      <c r="H765" s="19" t="str">
        <f>T("607252169")</f>
        <v>607252169</v>
      </c>
      <c r="I765" s="19" t="s">
        <v>1866</v>
      </c>
      <c r="J765" s="19" t="s">
        <v>24</v>
      </c>
      <c r="K765" s="19" t="str">
        <f>T("26200")</f>
        <v>26200</v>
      </c>
      <c r="L765" s="19" t="s">
        <v>19</v>
      </c>
      <c r="M765" s="21" t="s">
        <v>0</v>
      </c>
      <c r="N765" s="31">
        <v>45218</v>
      </c>
    </row>
    <row r="766" spans="1:14" ht="16" hidden="1" x14ac:dyDescent="0.2">
      <c r="A766" s="19" t="s">
        <v>1867</v>
      </c>
      <c r="B766" s="20">
        <v>45217</v>
      </c>
      <c r="C766" s="19" t="str">
        <f>T("330242381:0830380269")</f>
        <v>330242381:0830380269</v>
      </c>
      <c r="D766" s="21"/>
      <c r="E766" s="19" t="str">
        <f>T("510146624")</f>
        <v>510146624</v>
      </c>
      <c r="F766" s="19" t="s">
        <v>17</v>
      </c>
      <c r="G766" s="19" t="s">
        <v>14</v>
      </c>
      <c r="H766" s="19" t="str">
        <f>T("607252212")</f>
        <v>607252212</v>
      </c>
      <c r="I766" s="19" t="s">
        <v>1868</v>
      </c>
      <c r="J766" s="19" t="s">
        <v>1869</v>
      </c>
      <c r="K766" s="19" t="str">
        <f>T("36330")</f>
        <v>36330</v>
      </c>
      <c r="L766" s="19" t="s">
        <v>19</v>
      </c>
      <c r="M766" s="21" t="s">
        <v>0</v>
      </c>
      <c r="N766" s="31">
        <v>45219</v>
      </c>
    </row>
    <row r="767" spans="1:14" ht="16" hidden="1" x14ac:dyDescent="0.2">
      <c r="A767" s="19" t="s">
        <v>1870</v>
      </c>
      <c r="B767" s="20">
        <v>45217</v>
      </c>
      <c r="C767" s="19" t="str">
        <f>T("330242435:0830380303")</f>
        <v>330242435:0830380303</v>
      </c>
      <c r="D767" s="19" t="str">
        <f>T("CF103829")</f>
        <v>CF103829</v>
      </c>
      <c r="E767" s="19" t="str">
        <f>T("510146568")</f>
        <v>510146568</v>
      </c>
      <c r="F767" s="19" t="s">
        <v>17</v>
      </c>
      <c r="G767" s="19" t="s">
        <v>14</v>
      </c>
      <c r="H767" s="19" t="str">
        <f>T("607252172")</f>
        <v>607252172</v>
      </c>
      <c r="I767" s="19" t="s">
        <v>1871</v>
      </c>
      <c r="J767" s="19" t="s">
        <v>1872</v>
      </c>
      <c r="K767" s="19" t="str">
        <f>T("58200")</f>
        <v>58200</v>
      </c>
      <c r="L767" s="19" t="s">
        <v>19</v>
      </c>
      <c r="M767" s="21" t="s">
        <v>0</v>
      </c>
      <c r="N767" s="31">
        <v>45219</v>
      </c>
    </row>
    <row r="768" spans="1:14" ht="16" hidden="1" x14ac:dyDescent="0.2">
      <c r="A768" s="19" t="s">
        <v>1873</v>
      </c>
      <c r="B768" s="20">
        <v>45217</v>
      </c>
      <c r="C768" s="19" t="str">
        <f>T("330242386:0830380274")</f>
        <v>330242386:0830380274</v>
      </c>
      <c r="D768" s="19" t="str">
        <f>T("16035")</f>
        <v>16035</v>
      </c>
      <c r="E768" s="19" t="str">
        <f>T("510146542")</f>
        <v>510146542</v>
      </c>
      <c r="F768" s="19" t="s">
        <v>17</v>
      </c>
      <c r="G768" s="19" t="s">
        <v>14</v>
      </c>
      <c r="H768" s="19" t="str">
        <f>T("607252186")</f>
        <v>607252186</v>
      </c>
      <c r="I768" s="19" t="s">
        <v>1874</v>
      </c>
      <c r="J768" s="19" t="s">
        <v>1875</v>
      </c>
      <c r="K768" s="19" t="str">
        <f>T("69680")</f>
        <v>69680</v>
      </c>
      <c r="L768" s="19" t="s">
        <v>19</v>
      </c>
      <c r="M768" s="21" t="s">
        <v>0</v>
      </c>
      <c r="N768" s="31">
        <v>45218</v>
      </c>
    </row>
    <row r="769" spans="1:15" ht="16" x14ac:dyDescent="0.2">
      <c r="A769" s="19" t="s">
        <v>1876</v>
      </c>
      <c r="B769" s="20">
        <v>45217</v>
      </c>
      <c r="C769" s="19" t="str">
        <f>T("330242402:0830380284")</f>
        <v>330242402:0830380284</v>
      </c>
      <c r="D769" s="19" t="str">
        <f>T("563957")</f>
        <v>563957</v>
      </c>
      <c r="E769" s="19" t="str">
        <f>T("510146655")</f>
        <v>510146655</v>
      </c>
      <c r="F769" s="19" t="s">
        <v>16</v>
      </c>
      <c r="G769" s="19" t="s">
        <v>14</v>
      </c>
      <c r="H769" s="19" t="str">
        <f>T("607252190")</f>
        <v>607252190</v>
      </c>
      <c r="I769" s="19" t="s">
        <v>1877</v>
      </c>
      <c r="J769" s="19" t="s">
        <v>1878</v>
      </c>
      <c r="K769" s="19" t="str">
        <f>T("20137")</f>
        <v>20137</v>
      </c>
      <c r="L769" s="19" t="s">
        <v>19</v>
      </c>
      <c r="M769" s="21" t="s">
        <v>1</v>
      </c>
      <c r="N769" s="21"/>
    </row>
    <row r="770" spans="1:15" ht="16" hidden="1" x14ac:dyDescent="0.2">
      <c r="A770" s="19" t="s">
        <v>1879</v>
      </c>
      <c r="B770" s="20">
        <v>45217</v>
      </c>
      <c r="C770" s="19" t="str">
        <f>T("330242444:0830380310")</f>
        <v>330242444:0830380310</v>
      </c>
      <c r="D770" s="19" t="str">
        <f>T("SOL2310FBC008965-")</f>
        <v>SOL2310FBC008965-</v>
      </c>
      <c r="E770" s="19" t="str">
        <f>T("510146601")</f>
        <v>510146601</v>
      </c>
      <c r="F770" s="19" t="s">
        <v>17</v>
      </c>
      <c r="G770" s="19" t="s">
        <v>14</v>
      </c>
      <c r="H770" s="19" t="str">
        <f>T("607252209")</f>
        <v>607252209</v>
      </c>
      <c r="I770" s="19" t="s">
        <v>1880</v>
      </c>
      <c r="J770" s="19" t="s">
        <v>1881</v>
      </c>
      <c r="K770" s="19" t="str">
        <f>T("31400")</f>
        <v>31400</v>
      </c>
      <c r="L770" s="19" t="s">
        <v>19</v>
      </c>
      <c r="M770" s="21" t="s">
        <v>0</v>
      </c>
      <c r="N770" s="31">
        <v>45218</v>
      </c>
    </row>
    <row r="771" spans="1:15" ht="16" hidden="1" x14ac:dyDescent="0.2">
      <c r="A771" s="19" t="s">
        <v>1882</v>
      </c>
      <c r="B771" s="20">
        <v>45217</v>
      </c>
      <c r="C771" s="19" t="str">
        <f>T("330242441:0830380307")</f>
        <v>330242441:0830380307</v>
      </c>
      <c r="D771" s="19" t="str">
        <f>T("bc15908-ar38809")</f>
        <v>bc15908-ar38809</v>
      </c>
      <c r="E771" s="19" t="str">
        <f>T("510146589")</f>
        <v>510146589</v>
      </c>
      <c r="F771" s="19" t="s">
        <v>17</v>
      </c>
      <c r="G771" s="19" t="s">
        <v>14</v>
      </c>
      <c r="H771" s="19" t="str">
        <f>T("607252226")</f>
        <v>607252226</v>
      </c>
      <c r="I771" s="19" t="s">
        <v>1883</v>
      </c>
      <c r="J771" s="19" t="s">
        <v>1884</v>
      </c>
      <c r="K771" s="19" t="str">
        <f>T("27300")</f>
        <v>27300</v>
      </c>
      <c r="L771" s="19" t="s">
        <v>19</v>
      </c>
      <c r="M771" s="21" t="s">
        <v>0</v>
      </c>
      <c r="N771" s="31">
        <v>45218</v>
      </c>
    </row>
    <row r="772" spans="1:15" ht="16" hidden="1" x14ac:dyDescent="0.2">
      <c r="A772" s="19" t="s">
        <v>1885</v>
      </c>
      <c r="B772" s="20">
        <v>45217</v>
      </c>
      <c r="C772" s="19" t="str">
        <f>T("330242413:0830380424")</f>
        <v>330242413:0830380424</v>
      </c>
      <c r="D772" s="19" t="str">
        <f>T("SOL2309FBC008741-")</f>
        <v>SOL2309FBC008741-</v>
      </c>
      <c r="E772" s="19" t="str">
        <f>T("510146130")</f>
        <v>510146130</v>
      </c>
      <c r="F772" s="19" t="s">
        <v>16</v>
      </c>
      <c r="G772" s="19" t="s">
        <v>14</v>
      </c>
      <c r="H772" s="19" t="str">
        <f>T("607252230")</f>
        <v>607252230</v>
      </c>
      <c r="I772" s="19" t="s">
        <v>1141</v>
      </c>
      <c r="J772" s="19" t="s">
        <v>1461</v>
      </c>
      <c r="K772" s="19" t="str">
        <f>T("31100")</f>
        <v>31100</v>
      </c>
      <c r="L772" s="19" t="s">
        <v>19</v>
      </c>
      <c r="M772" s="21" t="s">
        <v>0</v>
      </c>
      <c r="N772" s="31">
        <v>45219</v>
      </c>
    </row>
    <row r="773" spans="1:15" ht="16" hidden="1" x14ac:dyDescent="0.2">
      <c r="A773" s="19" t="s">
        <v>1886</v>
      </c>
      <c r="B773" s="20">
        <v>45217</v>
      </c>
      <c r="C773" s="19" t="str">
        <f>T("330242420:0830380296")</f>
        <v>330242420:0830380296</v>
      </c>
      <c r="D773" s="19" t="str">
        <f>T("AFURIO CLIMATISAT")</f>
        <v>AFURIO CLIMATISAT</v>
      </c>
      <c r="E773" s="19" t="str">
        <f>T("510146381")</f>
        <v>510146381</v>
      </c>
      <c r="F773" s="19" t="s">
        <v>17</v>
      </c>
      <c r="G773" s="19" t="s">
        <v>14</v>
      </c>
      <c r="H773" s="19" t="str">
        <f>T("607252243")</f>
        <v>607252243</v>
      </c>
      <c r="I773" s="19" t="s">
        <v>1887</v>
      </c>
      <c r="J773" s="19" t="s">
        <v>1888</v>
      </c>
      <c r="K773" s="19" t="str">
        <f>T("07000")</f>
        <v>07000</v>
      </c>
      <c r="L773" s="19" t="s">
        <v>19</v>
      </c>
      <c r="M773" s="21" t="s">
        <v>0</v>
      </c>
      <c r="N773" s="31">
        <v>45218</v>
      </c>
    </row>
    <row r="774" spans="1:15" ht="16" hidden="1" x14ac:dyDescent="0.2">
      <c r="A774" s="19" t="s">
        <v>1889</v>
      </c>
      <c r="B774" s="20">
        <v>45217</v>
      </c>
      <c r="C774" s="19" t="str">
        <f>T("330242409:0830380290")</f>
        <v>330242409:0830380290</v>
      </c>
      <c r="D774" s="19" t="str">
        <f>T("CF-23100020/LA210")</f>
        <v>CF-23100020/LA210</v>
      </c>
      <c r="E774" s="19" t="str">
        <f>T("510146673")</f>
        <v>510146673</v>
      </c>
      <c r="F774" s="19" t="s">
        <v>17</v>
      </c>
      <c r="G774" s="19" t="s">
        <v>14</v>
      </c>
      <c r="H774" s="19" t="str">
        <f>T("607252257")</f>
        <v>607252257</v>
      </c>
      <c r="I774" s="19" t="s">
        <v>1890</v>
      </c>
      <c r="J774" s="19" t="s">
        <v>1891</v>
      </c>
      <c r="K774" s="19" t="str">
        <f>T("34740")</f>
        <v>34740</v>
      </c>
      <c r="L774" s="19" t="s">
        <v>19</v>
      </c>
      <c r="M774" s="21" t="s">
        <v>0</v>
      </c>
      <c r="N774" s="31">
        <v>45218</v>
      </c>
    </row>
    <row r="775" spans="1:15" ht="16" hidden="1" x14ac:dyDescent="0.2">
      <c r="A775" s="19" t="s">
        <v>1892</v>
      </c>
      <c r="B775" s="20">
        <v>45217</v>
      </c>
      <c r="C775" s="19" t="str">
        <f>T("330242378:0830380267")</f>
        <v>330242378:0830380267</v>
      </c>
      <c r="D775" s="19" t="str">
        <f>T("161801")</f>
        <v>161801</v>
      </c>
      <c r="E775" s="19" t="str">
        <f>T("510146608")</f>
        <v>510146608</v>
      </c>
      <c r="F775" s="19" t="s">
        <v>17</v>
      </c>
      <c r="G775" s="19" t="s">
        <v>14</v>
      </c>
      <c r="H775" s="19" t="str">
        <f>T("607252265")</f>
        <v>607252265</v>
      </c>
      <c r="I775" s="19" t="s">
        <v>1893</v>
      </c>
      <c r="J775" s="19" t="s">
        <v>1894</v>
      </c>
      <c r="K775" s="19" t="str">
        <f>T("33141")</f>
        <v>33141</v>
      </c>
      <c r="L775" s="19" t="s">
        <v>19</v>
      </c>
      <c r="M775" s="21" t="s">
        <v>0</v>
      </c>
      <c r="N775" s="31">
        <v>45218</v>
      </c>
    </row>
    <row r="776" spans="1:15" ht="16" hidden="1" x14ac:dyDescent="0.2">
      <c r="A776" s="19" t="s">
        <v>1895</v>
      </c>
      <c r="B776" s="20">
        <v>45217</v>
      </c>
      <c r="C776" s="19" t="str">
        <f>T("330242377:0830380416")</f>
        <v>330242377:0830380416</v>
      </c>
      <c r="D776" s="19" t="str">
        <f>T("161802")</f>
        <v>161802</v>
      </c>
      <c r="E776" s="19" t="str">
        <f>T("510146607")</f>
        <v>510146607</v>
      </c>
      <c r="F776" s="19" t="s">
        <v>16</v>
      </c>
      <c r="G776" s="19" t="s">
        <v>14</v>
      </c>
      <c r="H776" s="19" t="str">
        <f>T("607252288")</f>
        <v>607252288</v>
      </c>
      <c r="I776" s="19" t="s">
        <v>1896</v>
      </c>
      <c r="J776" s="19" t="s">
        <v>1897</v>
      </c>
      <c r="K776" s="19" t="str">
        <f>T("30290")</f>
        <v>30290</v>
      </c>
      <c r="L776" s="19" t="s">
        <v>19</v>
      </c>
      <c r="M776" s="21" t="s">
        <v>0</v>
      </c>
      <c r="N776" s="31">
        <v>45218</v>
      </c>
    </row>
    <row r="777" spans="1:15" ht="16" hidden="1" x14ac:dyDescent="0.2">
      <c r="A777" s="19" t="s">
        <v>1898</v>
      </c>
      <c r="B777" s="20">
        <v>45217</v>
      </c>
      <c r="C777" s="19" t="str">
        <f>T("330242405:0830380287")</f>
        <v>330242405:0830380287</v>
      </c>
      <c r="D777" s="19" t="str">
        <f>T("SOL2310FBC009002-")</f>
        <v>SOL2310FBC009002-</v>
      </c>
      <c r="E777" s="19" t="str">
        <f>T("510146693")</f>
        <v>510146693</v>
      </c>
      <c r="F777" s="19" t="s">
        <v>17</v>
      </c>
      <c r="G777" s="19" t="s">
        <v>14</v>
      </c>
      <c r="H777" s="19" t="str">
        <f>T("607252291")</f>
        <v>607252291</v>
      </c>
      <c r="I777" s="19" t="s">
        <v>1141</v>
      </c>
      <c r="J777" s="19" t="s">
        <v>1461</v>
      </c>
      <c r="K777" s="19" t="str">
        <f>T("31100")</f>
        <v>31100</v>
      </c>
      <c r="L777" s="19" t="s">
        <v>19</v>
      </c>
      <c r="M777" s="21" t="s">
        <v>0</v>
      </c>
      <c r="N777" s="31">
        <v>45218</v>
      </c>
    </row>
    <row r="778" spans="1:15" ht="16" hidden="1" x14ac:dyDescent="0.2">
      <c r="A778" s="19" t="s">
        <v>1899</v>
      </c>
      <c r="B778" s="20">
        <v>45217</v>
      </c>
      <c r="C778" s="19" t="str">
        <f>T("330242400:0830380282")</f>
        <v>330242400:0830380282</v>
      </c>
      <c r="D778" s="19" t="str">
        <f>T("00100409-SAV RAM5")</f>
        <v>00100409-SAV RAM5</v>
      </c>
      <c r="E778" s="19" t="str">
        <f>T("510146638")</f>
        <v>510146638</v>
      </c>
      <c r="F778" s="19" t="s">
        <v>17</v>
      </c>
      <c r="G778" s="19" t="s">
        <v>14</v>
      </c>
      <c r="H778" s="19" t="str">
        <f>T("607252305")</f>
        <v>607252305</v>
      </c>
      <c r="I778" s="19" t="s">
        <v>1900</v>
      </c>
      <c r="J778" s="19" t="s">
        <v>1901</v>
      </c>
      <c r="K778" s="19" t="str">
        <f>T("06590")</f>
        <v>06590</v>
      </c>
      <c r="L778" s="19" t="s">
        <v>19</v>
      </c>
      <c r="M778" s="21" t="s">
        <v>0</v>
      </c>
      <c r="N778" s="31">
        <v>45218</v>
      </c>
    </row>
    <row r="779" spans="1:15" ht="16" x14ac:dyDescent="0.2">
      <c r="A779" s="19" t="s">
        <v>1902</v>
      </c>
      <c r="B779" s="20">
        <v>45217</v>
      </c>
      <c r="C779" s="19" t="str">
        <f>T("330242431:0830380301")</f>
        <v>330242431:0830380301</v>
      </c>
      <c r="D779" s="19" t="str">
        <f>T("CF103824")</f>
        <v>CF103824</v>
      </c>
      <c r="E779" s="19" t="str">
        <f>T("510146537")</f>
        <v>510146537</v>
      </c>
      <c r="F779" s="19" t="s">
        <v>17</v>
      </c>
      <c r="G779" s="19" t="s">
        <v>14</v>
      </c>
      <c r="H779" s="19" t="str">
        <f>T("607252274")</f>
        <v>607252274</v>
      </c>
      <c r="I779" s="19" t="s">
        <v>34</v>
      </c>
      <c r="J779" s="19" t="s">
        <v>716</v>
      </c>
      <c r="K779" s="19" t="str">
        <f>T("63100")</f>
        <v>63100</v>
      </c>
      <c r="L779" s="19" t="s">
        <v>19</v>
      </c>
      <c r="M779" s="21" t="s">
        <v>1</v>
      </c>
      <c r="N779" s="21"/>
      <c r="O779" s="1" t="s">
        <v>1054</v>
      </c>
    </row>
    <row r="780" spans="1:15" ht="16" hidden="1" x14ac:dyDescent="0.2">
      <c r="A780" s="19" t="s">
        <v>1903</v>
      </c>
      <c r="B780" s="20">
        <v>45217</v>
      </c>
      <c r="C780" s="19" t="str">
        <f>T("330242383:0830380271")</f>
        <v>330242383:0830380271</v>
      </c>
      <c r="D780" s="19" t="str">
        <f>T("ARTISAN ECO")</f>
        <v>ARTISAN ECO</v>
      </c>
      <c r="E780" s="19" t="str">
        <f>T("510146626")</f>
        <v>510146626</v>
      </c>
      <c r="F780" s="19" t="s">
        <v>17</v>
      </c>
      <c r="G780" s="19" t="s">
        <v>14</v>
      </c>
      <c r="H780" s="19" t="str">
        <f>T("607252314")</f>
        <v>607252314</v>
      </c>
      <c r="I780" s="19" t="s">
        <v>1866</v>
      </c>
      <c r="J780" s="19" t="s">
        <v>24</v>
      </c>
      <c r="K780" s="19" t="str">
        <f>T("26200")</f>
        <v>26200</v>
      </c>
      <c r="L780" s="19" t="s">
        <v>19</v>
      </c>
      <c r="M780" s="21" t="s">
        <v>0</v>
      </c>
      <c r="N780" s="31">
        <v>45218</v>
      </c>
    </row>
    <row r="781" spans="1:15" ht="16" hidden="1" x14ac:dyDescent="0.2">
      <c r="A781" s="19" t="s">
        <v>1904</v>
      </c>
      <c r="B781" s="20">
        <v>45217</v>
      </c>
      <c r="C781" s="19" t="str">
        <f>T("330242374:0830380265")</f>
        <v>330242374:0830380265</v>
      </c>
      <c r="D781" s="19" t="str">
        <f>T("KLAMKA")</f>
        <v>KLAMKA</v>
      </c>
      <c r="E781" s="19" t="str">
        <f>T("510146591")</f>
        <v>510146591</v>
      </c>
      <c r="F781" s="19" t="s">
        <v>17</v>
      </c>
      <c r="G781" s="19" t="s">
        <v>14</v>
      </c>
      <c r="H781" s="19" t="str">
        <f>T("607252328")</f>
        <v>607252328</v>
      </c>
      <c r="I781" s="19" t="s">
        <v>1905</v>
      </c>
      <c r="J781" s="19" t="s">
        <v>1906</v>
      </c>
      <c r="K781" s="19" t="str">
        <f>T("59940")</f>
        <v>59940</v>
      </c>
      <c r="L781" s="19" t="s">
        <v>19</v>
      </c>
      <c r="M781" s="21" t="s">
        <v>0</v>
      </c>
      <c r="N781" s="31">
        <v>45218</v>
      </c>
    </row>
    <row r="782" spans="1:15" ht="16" hidden="1" x14ac:dyDescent="0.2">
      <c r="A782" s="19" t="s">
        <v>1907</v>
      </c>
      <c r="B782" s="20">
        <v>45217</v>
      </c>
      <c r="C782" s="19" t="str">
        <f>T("330242379:0830380268")</f>
        <v>330242379:0830380268</v>
      </c>
      <c r="D782" s="19" t="str">
        <f>T("161800")</f>
        <v>161800</v>
      </c>
      <c r="E782" s="19" t="str">
        <f>T("510146609")</f>
        <v>510146609</v>
      </c>
      <c r="F782" s="19" t="s">
        <v>17</v>
      </c>
      <c r="G782" s="19" t="s">
        <v>14</v>
      </c>
      <c r="H782" s="19" t="str">
        <f>T("607252331")</f>
        <v>607252331</v>
      </c>
      <c r="I782" s="19" t="s">
        <v>1908</v>
      </c>
      <c r="J782" s="19" t="s">
        <v>1909</v>
      </c>
      <c r="K782" s="19" t="str">
        <f>T("78280")</f>
        <v>78280</v>
      </c>
      <c r="L782" s="19" t="s">
        <v>19</v>
      </c>
      <c r="M782" s="21" t="s">
        <v>0</v>
      </c>
      <c r="N782" s="31">
        <v>45218</v>
      </c>
    </row>
    <row r="783" spans="1:15" ht="16" hidden="1" x14ac:dyDescent="0.2">
      <c r="A783" s="19" t="s">
        <v>1910</v>
      </c>
      <c r="B783" s="20">
        <v>45217</v>
      </c>
      <c r="C783" s="19" t="str">
        <f>T("330242417:0830380294")</f>
        <v>330242417:0830380294</v>
      </c>
      <c r="D783" s="19" t="str">
        <f>T("C2310046 HYD 59BC")</f>
        <v>C2310046 HYD 59BC</v>
      </c>
      <c r="E783" s="19" t="str">
        <f>T("510146366")</f>
        <v>510146366</v>
      </c>
      <c r="F783" s="19" t="s">
        <v>17</v>
      </c>
      <c r="G783" s="19" t="s">
        <v>14</v>
      </c>
      <c r="H783" s="19" t="str">
        <f>T("607252345")</f>
        <v>607252345</v>
      </c>
      <c r="I783" s="19" t="s">
        <v>260</v>
      </c>
      <c r="J783" s="19" t="s">
        <v>261</v>
      </c>
      <c r="K783" s="19" t="str">
        <f>T("59650")</f>
        <v>59650</v>
      </c>
      <c r="L783" s="19" t="s">
        <v>19</v>
      </c>
      <c r="M783" s="21" t="s">
        <v>0</v>
      </c>
      <c r="N783" s="31">
        <v>45218</v>
      </c>
    </row>
    <row r="784" spans="1:15" ht="16" hidden="1" x14ac:dyDescent="0.2">
      <c r="A784" s="19" t="s">
        <v>1911</v>
      </c>
      <c r="B784" s="20">
        <v>45217</v>
      </c>
      <c r="C784" s="19" t="str">
        <f>T("330242408:0830380289")</f>
        <v>330242408:0830380289</v>
      </c>
      <c r="D784" s="19" t="str">
        <f>T("00100430-11341 CA")</f>
        <v>00100430-11341 CA</v>
      </c>
      <c r="E784" s="19" t="str">
        <f>T("510146699")</f>
        <v>510146699</v>
      </c>
      <c r="F784" s="19" t="s">
        <v>17</v>
      </c>
      <c r="G784" s="19" t="s">
        <v>14</v>
      </c>
      <c r="H784" s="19" t="str">
        <f>T("607252359")</f>
        <v>607252359</v>
      </c>
      <c r="I784" s="19" t="s">
        <v>1372</v>
      </c>
      <c r="J784" s="19" t="s">
        <v>1373</v>
      </c>
      <c r="K784" s="19" t="str">
        <f>T("41120")</f>
        <v>41120</v>
      </c>
      <c r="L784" s="19" t="s">
        <v>19</v>
      </c>
      <c r="M784" s="21" t="s">
        <v>0</v>
      </c>
      <c r="N784" s="31">
        <v>45218</v>
      </c>
    </row>
    <row r="785" spans="1:14" ht="16" hidden="1" x14ac:dyDescent="0.2">
      <c r="A785" s="19" t="s">
        <v>1912</v>
      </c>
      <c r="B785" s="20">
        <v>45217</v>
      </c>
      <c r="C785" s="19" t="str">
        <f>T("330241587:0830378333")</f>
        <v>330241587:0830378333</v>
      </c>
      <c r="D785" s="19" t="str">
        <f>T("HT6509060001")</f>
        <v>HT6509060001</v>
      </c>
      <c r="E785" s="19" t="str">
        <f>T("560021988")</f>
        <v>560021988</v>
      </c>
      <c r="F785" s="19" t="s">
        <v>17</v>
      </c>
      <c r="G785" s="19" t="s">
        <v>15</v>
      </c>
      <c r="H785" s="19" t="str">
        <f>T("1Z1V47910444927488")</f>
        <v>1Z1V47910444927488</v>
      </c>
      <c r="I785" s="19" t="s">
        <v>1913</v>
      </c>
      <c r="J785" s="19" t="s">
        <v>1914</v>
      </c>
      <c r="K785" s="19" t="str">
        <f>T("09028")</f>
        <v>09028</v>
      </c>
      <c r="L785" s="19" t="s">
        <v>18</v>
      </c>
      <c r="M785" s="21" t="s">
        <v>1</v>
      </c>
      <c r="N785" s="21"/>
    </row>
    <row r="786" spans="1:14" ht="16" hidden="1" x14ac:dyDescent="0.2">
      <c r="A786" s="19" t="s">
        <v>1915</v>
      </c>
      <c r="B786" s="20">
        <v>45217</v>
      </c>
      <c r="C786" s="19" t="str">
        <f>T("330241513:0830378851")</f>
        <v>330241513:0830378851</v>
      </c>
      <c r="D786" s="19" t="str">
        <f>T("WC 9638")</f>
        <v>WC 9638</v>
      </c>
      <c r="E786" s="19" t="str">
        <f>T("560021944")</f>
        <v>560021944</v>
      </c>
      <c r="F786" s="19" t="s">
        <v>17</v>
      </c>
      <c r="G786" s="19" t="s">
        <v>15</v>
      </c>
      <c r="H786" s="19" t="str">
        <f>T("1Z1V47910445660095")</f>
        <v>1Z1V47910445660095</v>
      </c>
      <c r="I786" s="19" t="s">
        <v>1652</v>
      </c>
      <c r="J786" s="19" t="s">
        <v>1652</v>
      </c>
      <c r="K786" s="19" t="str">
        <f>T("37062")</f>
        <v>37062</v>
      </c>
      <c r="L786" s="19" t="s">
        <v>18</v>
      </c>
      <c r="M786" s="21" t="s">
        <v>0</v>
      </c>
      <c r="N786" s="31">
        <v>45218</v>
      </c>
    </row>
    <row r="787" spans="1:14" ht="16" hidden="1" x14ac:dyDescent="0.2">
      <c r="A787" s="19" t="s">
        <v>1916</v>
      </c>
      <c r="B787" s="20">
        <v>45217</v>
      </c>
      <c r="C787" s="19" t="str">
        <f>T("330241523:0830378853")</f>
        <v>330241523:0830378853</v>
      </c>
      <c r="D787" s="19" t="str">
        <f>T("fm elettronica")</f>
        <v>fm elettronica</v>
      </c>
      <c r="E787" s="19" t="str">
        <f>T("560021976")</f>
        <v>560021976</v>
      </c>
      <c r="F787" s="19" t="s">
        <v>17</v>
      </c>
      <c r="G787" s="19" t="s">
        <v>15</v>
      </c>
      <c r="H787" s="19" t="str">
        <f>T("1Z1V47910444668311")</f>
        <v>1Z1V47910444668311</v>
      </c>
      <c r="I787" s="19" t="s">
        <v>1652</v>
      </c>
      <c r="J787" s="19" t="s">
        <v>1653</v>
      </c>
      <c r="K787" s="19" t="str">
        <f>T("37062")</f>
        <v>37062</v>
      </c>
      <c r="L787" s="19" t="s">
        <v>18</v>
      </c>
      <c r="M787" s="21" t="s">
        <v>0</v>
      </c>
      <c r="N787" s="31">
        <v>45218</v>
      </c>
    </row>
    <row r="788" spans="1:14" ht="16" hidden="1" x14ac:dyDescent="0.2">
      <c r="A788" s="19" t="s">
        <v>1917</v>
      </c>
      <c r="B788" s="20">
        <v>45217</v>
      </c>
      <c r="C788" s="19" t="str">
        <f>T("330219199:0830379638")</f>
        <v>330219199:0830379638</v>
      </c>
      <c r="D788" s="19" t="str">
        <f>T("23000347")</f>
        <v>23000347</v>
      </c>
      <c r="E788" s="19" t="str">
        <f>T("7670014388")</f>
        <v>7670014388</v>
      </c>
      <c r="F788" s="19" t="s">
        <v>17</v>
      </c>
      <c r="G788" s="19" t="s">
        <v>15</v>
      </c>
      <c r="H788" s="19" t="str">
        <f>T("1Z1V47910444143922")</f>
        <v>1Z1V47910444143922</v>
      </c>
      <c r="I788" s="19" t="s">
        <v>613</v>
      </c>
      <c r="J788" s="19" t="s">
        <v>49</v>
      </c>
      <c r="K788" s="19" t="str">
        <f>T("3316 KC")</f>
        <v>3316 KC</v>
      </c>
      <c r="L788" s="19" t="s">
        <v>31</v>
      </c>
      <c r="M788" s="21" t="s">
        <v>0</v>
      </c>
      <c r="N788" s="31">
        <v>45218</v>
      </c>
    </row>
    <row r="789" spans="1:14" ht="16" hidden="1" x14ac:dyDescent="0.2">
      <c r="A789" s="19" t="s">
        <v>1918</v>
      </c>
      <c r="B789" s="20">
        <v>45217</v>
      </c>
      <c r="C789" s="19" t="str">
        <f>T("330242315:0830379822")</f>
        <v>330242315:0830379822</v>
      </c>
      <c r="D789" s="19" t="str">
        <f>T("5090841")</f>
        <v>5090841</v>
      </c>
      <c r="E789" s="19" t="str">
        <f>T("560021839")</f>
        <v>560021839</v>
      </c>
      <c r="F789" s="19" t="s">
        <v>17</v>
      </c>
      <c r="G789" s="19" t="s">
        <v>15</v>
      </c>
      <c r="H789" s="19" t="str">
        <f>T("1Z1V47910443400539")</f>
        <v>1Z1V47910443400539</v>
      </c>
      <c r="I789" s="19" t="s">
        <v>1919</v>
      </c>
      <c r="J789" s="19" t="s">
        <v>1920</v>
      </c>
      <c r="K789" s="19" t="str">
        <f>T("00139")</f>
        <v>00139</v>
      </c>
      <c r="L789" s="19" t="s">
        <v>18</v>
      </c>
      <c r="M789" s="21" t="s">
        <v>0</v>
      </c>
      <c r="N789" s="31">
        <v>45219</v>
      </c>
    </row>
    <row r="790" spans="1:14" ht="16" hidden="1" x14ac:dyDescent="0.2">
      <c r="A790" s="19" t="s">
        <v>1921</v>
      </c>
      <c r="B790" s="20">
        <v>45217</v>
      </c>
      <c r="C790" s="19" t="str">
        <f>T("330242313:0830379833")</f>
        <v>330242313:0830379833</v>
      </c>
      <c r="D790" s="19" t="str">
        <f>T("WC 9733")</f>
        <v>WC 9733</v>
      </c>
      <c r="E790" s="19" t="str">
        <f>T("560021945")</f>
        <v>560021945</v>
      </c>
      <c r="F790" s="19" t="s">
        <v>17</v>
      </c>
      <c r="G790" s="19" t="s">
        <v>15</v>
      </c>
      <c r="H790" s="19" t="str">
        <f>T("1Z1V47910444538149")</f>
        <v>1Z1V47910444538149</v>
      </c>
      <c r="I790" s="19" t="s">
        <v>999</v>
      </c>
      <c r="J790" s="19" t="s">
        <v>999</v>
      </c>
      <c r="K790" s="19" t="str">
        <f>T("25047")</f>
        <v>25047</v>
      </c>
      <c r="L790" s="19" t="s">
        <v>18</v>
      </c>
      <c r="M790" s="21" t="s">
        <v>0</v>
      </c>
      <c r="N790" s="31">
        <v>45218</v>
      </c>
    </row>
    <row r="791" spans="1:14" ht="16" hidden="1" x14ac:dyDescent="0.2">
      <c r="A791" s="19" t="s">
        <v>1923</v>
      </c>
      <c r="B791" s="20">
        <v>45218</v>
      </c>
      <c r="C791" s="19" t="str">
        <f>T("330242387:0830380275")</f>
        <v>330242387:0830380275</v>
      </c>
      <c r="D791" s="19" t="str">
        <f>T("161786")</f>
        <v>161786</v>
      </c>
      <c r="E791" s="19" t="str">
        <f>T("510146580")</f>
        <v>510146580</v>
      </c>
      <c r="F791" s="19" t="s">
        <v>17</v>
      </c>
      <c r="G791" s="19" t="s">
        <v>14</v>
      </c>
      <c r="H791" s="19" t="str">
        <f>T("607252362")</f>
        <v>607252362</v>
      </c>
      <c r="I791" s="19" t="s">
        <v>1924</v>
      </c>
      <c r="J791" s="19" t="s">
        <v>1925</v>
      </c>
      <c r="K791" s="19" t="str">
        <f>T("14270")</f>
        <v>14270</v>
      </c>
      <c r="L791" s="19" t="s">
        <v>19</v>
      </c>
      <c r="M791" s="21" t="s">
        <v>0</v>
      </c>
      <c r="N791" s="31">
        <v>45222</v>
      </c>
    </row>
    <row r="792" spans="1:14" ht="16" hidden="1" x14ac:dyDescent="0.2">
      <c r="A792" s="19" t="s">
        <v>1926</v>
      </c>
      <c r="B792" s="20">
        <v>45218</v>
      </c>
      <c r="C792" s="19" t="str">
        <f>T("330242433:0830380302")</f>
        <v>330242433:0830380302</v>
      </c>
      <c r="D792" s="19" t="str">
        <f>T("CF103849")</f>
        <v>CF103849</v>
      </c>
      <c r="E792" s="19" t="str">
        <f>T("510146530")</f>
        <v>510146530</v>
      </c>
      <c r="F792" s="19" t="s">
        <v>16</v>
      </c>
      <c r="G792" s="19" t="s">
        <v>14</v>
      </c>
      <c r="H792" s="19" t="str">
        <f>T("607252376")</f>
        <v>607252376</v>
      </c>
      <c r="I792" s="19" t="s">
        <v>34</v>
      </c>
      <c r="J792" s="19" t="s">
        <v>716</v>
      </c>
      <c r="K792" s="19" t="str">
        <f>T("63100")</f>
        <v>63100</v>
      </c>
      <c r="L792" s="19" t="s">
        <v>19</v>
      </c>
      <c r="M792" s="21" t="s">
        <v>0</v>
      </c>
      <c r="N792" s="31">
        <v>45222</v>
      </c>
    </row>
    <row r="793" spans="1:14" ht="16" x14ac:dyDescent="0.2">
      <c r="A793" s="19" t="s">
        <v>1927</v>
      </c>
      <c r="B793" s="20">
        <v>45218</v>
      </c>
      <c r="C793" s="19" t="str">
        <f>T("330242416:0830380293")</f>
        <v>330242416:0830380293</v>
      </c>
      <c r="D793" s="19" t="str">
        <f>T("SOL2310FBC008885-")</f>
        <v>SOL2310FBC008885-</v>
      </c>
      <c r="E793" s="19" t="str">
        <f>T("510146358")</f>
        <v>510146358</v>
      </c>
      <c r="F793" s="19" t="s">
        <v>17</v>
      </c>
      <c r="G793" s="19" t="s">
        <v>14</v>
      </c>
      <c r="H793" s="19" t="str">
        <f>T("607252380")</f>
        <v>607252380</v>
      </c>
      <c r="I793" s="19" t="s">
        <v>1928</v>
      </c>
      <c r="J793" s="19" t="s">
        <v>1929</v>
      </c>
      <c r="K793" s="19" t="str">
        <f>T("66350")</f>
        <v>66350</v>
      </c>
      <c r="L793" s="19" t="s">
        <v>19</v>
      </c>
      <c r="M793" s="21" t="s">
        <v>1</v>
      </c>
      <c r="N793" s="21"/>
    </row>
    <row r="794" spans="1:14" ht="16" hidden="1" x14ac:dyDescent="0.2">
      <c r="A794" s="19" t="s">
        <v>1930</v>
      </c>
      <c r="B794" s="20">
        <v>45218</v>
      </c>
      <c r="C794" s="19" t="str">
        <f>T("330242410:0830380291")</f>
        <v>330242410:0830380291</v>
      </c>
      <c r="D794" s="19" t="str">
        <f>T("bc15910-ar38812")</f>
        <v>bc15910-ar38812</v>
      </c>
      <c r="E794" s="19" t="str">
        <f>T("510146605")</f>
        <v>510146605</v>
      </c>
      <c r="F794" s="19" t="s">
        <v>17</v>
      </c>
      <c r="G794" s="19" t="s">
        <v>14</v>
      </c>
      <c r="H794" s="19" t="str">
        <f>T("607252393")</f>
        <v>607252393</v>
      </c>
      <c r="I794" s="19" t="s">
        <v>1931</v>
      </c>
      <c r="J794" s="19" t="s">
        <v>1932</v>
      </c>
      <c r="K794" s="19" t="str">
        <f>T("76190")</f>
        <v>76190</v>
      </c>
      <c r="L794" s="19" t="s">
        <v>19</v>
      </c>
      <c r="M794" s="21" t="s">
        <v>0</v>
      </c>
      <c r="N794" s="31">
        <v>45219</v>
      </c>
    </row>
    <row r="795" spans="1:14" ht="16" hidden="1" x14ac:dyDescent="0.2">
      <c r="A795" s="19" t="s">
        <v>1933</v>
      </c>
      <c r="B795" s="20">
        <v>45218</v>
      </c>
      <c r="C795" s="19" t="str">
        <f>T("330242373:0830380414")</f>
        <v>330242373:0830380414</v>
      </c>
      <c r="D795" s="19" t="str">
        <f>T("bc15911-ar38766")</f>
        <v>bc15911-ar38766</v>
      </c>
      <c r="E795" s="19" t="str">
        <f>T("510146606")</f>
        <v>510146606</v>
      </c>
      <c r="F795" s="19" t="s">
        <v>17</v>
      </c>
      <c r="G795" s="19" t="s">
        <v>14</v>
      </c>
      <c r="H795" s="19" t="str">
        <f>T("607252402")</f>
        <v>607252402</v>
      </c>
      <c r="I795" s="19" t="s">
        <v>1934</v>
      </c>
      <c r="J795" s="19" t="s">
        <v>1935</v>
      </c>
      <c r="K795" s="19" t="str">
        <f>T("14700")</f>
        <v>14700</v>
      </c>
      <c r="L795" s="19" t="s">
        <v>19</v>
      </c>
      <c r="M795" s="21" t="s">
        <v>0</v>
      </c>
      <c r="N795" s="31">
        <v>45222</v>
      </c>
    </row>
    <row r="796" spans="1:14" ht="16" hidden="1" x14ac:dyDescent="0.2">
      <c r="A796" s="19" t="s">
        <v>1936</v>
      </c>
      <c r="B796" s="20">
        <v>45218</v>
      </c>
      <c r="C796" s="19" t="str">
        <f>T("330242385:0830380273")</f>
        <v>330242385:0830380273</v>
      </c>
      <c r="D796" s="19" t="str">
        <f>T("CA2310060")</f>
        <v>CA2310060</v>
      </c>
      <c r="E796" s="19" t="str">
        <f>T("510146476")</f>
        <v>510146476</v>
      </c>
      <c r="F796" s="19" t="s">
        <v>16</v>
      </c>
      <c r="G796" s="19" t="s">
        <v>14</v>
      </c>
      <c r="H796" s="19" t="str">
        <f>T("607252416")</f>
        <v>607252416</v>
      </c>
      <c r="I796" s="19" t="s">
        <v>1937</v>
      </c>
      <c r="J796" s="19" t="s">
        <v>1938</v>
      </c>
      <c r="K796" s="19" t="str">
        <f>T("51370")</f>
        <v>51370</v>
      </c>
      <c r="L796" s="19" t="s">
        <v>19</v>
      </c>
      <c r="M796" s="21" t="s">
        <v>0</v>
      </c>
      <c r="N796" s="31">
        <v>45222</v>
      </c>
    </row>
    <row r="797" spans="1:14" ht="16" hidden="1" x14ac:dyDescent="0.2">
      <c r="A797" s="19" t="s">
        <v>1939</v>
      </c>
      <c r="B797" s="20">
        <v>45218</v>
      </c>
      <c r="C797" s="19" t="str">
        <f>T("330242403:0830380285")</f>
        <v>330242403:0830380285</v>
      </c>
      <c r="D797" s="19" t="str">
        <f>T("Commande VCF N°")</f>
        <v>Commande VCF N°</v>
      </c>
      <c r="E797" s="19" t="str">
        <f>T("510146666")</f>
        <v>510146666</v>
      </c>
      <c r="F797" s="19" t="s">
        <v>17</v>
      </c>
      <c r="G797" s="19" t="s">
        <v>14</v>
      </c>
      <c r="H797" s="19" t="str">
        <f>T("607252420")</f>
        <v>607252420</v>
      </c>
      <c r="I797" s="19" t="s">
        <v>1940</v>
      </c>
      <c r="J797" s="19" t="s">
        <v>1941</v>
      </c>
      <c r="K797" s="19" t="str">
        <f>T("26700")</f>
        <v>26700</v>
      </c>
      <c r="L797" s="19" t="s">
        <v>19</v>
      </c>
      <c r="M797" s="21" t="s">
        <v>0</v>
      </c>
      <c r="N797" s="31">
        <v>45219</v>
      </c>
    </row>
    <row r="798" spans="1:14" ht="16" hidden="1" x14ac:dyDescent="0.2">
      <c r="A798" s="19" t="s">
        <v>1942</v>
      </c>
      <c r="B798" s="20">
        <v>45218</v>
      </c>
      <c r="C798" s="19" t="str">
        <f>T("330242423:0830380297")</f>
        <v>330242423:0830380297</v>
      </c>
      <c r="D798" s="19" t="str">
        <f>T("AVENIR ENERGIES")</f>
        <v>AVENIR ENERGIES</v>
      </c>
      <c r="E798" s="19" t="str">
        <f>T("510146395")</f>
        <v>510146395</v>
      </c>
      <c r="F798" s="19" t="s">
        <v>17</v>
      </c>
      <c r="G798" s="19" t="s">
        <v>14</v>
      </c>
      <c r="H798" s="19" t="str">
        <f>T("607252433")</f>
        <v>607252433</v>
      </c>
      <c r="I798" s="19" t="s">
        <v>1866</v>
      </c>
      <c r="J798" s="19" t="s">
        <v>24</v>
      </c>
      <c r="K798" s="19" t="str">
        <f>T("26200")</f>
        <v>26200</v>
      </c>
      <c r="L798" s="19" t="s">
        <v>19</v>
      </c>
      <c r="M798" s="21" t="s">
        <v>0</v>
      </c>
      <c r="N798" s="31">
        <v>45222</v>
      </c>
    </row>
    <row r="799" spans="1:14" ht="16" x14ac:dyDescent="0.2">
      <c r="A799" s="19" t="s">
        <v>1943</v>
      </c>
      <c r="B799" s="20">
        <v>45218</v>
      </c>
      <c r="C799" s="19" t="str">
        <f>T("330242438:0830380305")</f>
        <v>330242438:0830380305</v>
      </c>
      <c r="D799" s="19" t="str">
        <f>T("500062")</f>
        <v>500062</v>
      </c>
      <c r="E799" s="19" t="str">
        <f>T("510146571")</f>
        <v>510146571</v>
      </c>
      <c r="F799" s="19" t="s">
        <v>17</v>
      </c>
      <c r="G799" s="19" t="s">
        <v>14</v>
      </c>
      <c r="H799" s="19" t="str">
        <f>T("607252570")</f>
        <v>607252570</v>
      </c>
      <c r="I799" s="19" t="s">
        <v>1944</v>
      </c>
      <c r="J799" s="19" t="s">
        <v>1945</v>
      </c>
      <c r="K799" s="19" t="str">
        <f>T("58000")</f>
        <v>58000</v>
      </c>
      <c r="L799" s="19" t="s">
        <v>19</v>
      </c>
      <c r="M799" s="21" t="s">
        <v>1</v>
      </c>
      <c r="N799" s="21"/>
    </row>
    <row r="800" spans="1:14" ht="16" hidden="1" x14ac:dyDescent="0.2">
      <c r="A800" s="19" t="s">
        <v>1946</v>
      </c>
      <c r="B800" s="20">
        <v>45218</v>
      </c>
      <c r="C800" s="19" t="str">
        <f>T("330242406:0830380288")</f>
        <v>330242406:0830380288</v>
      </c>
      <c r="D800" s="19" t="str">
        <f>T("SOL2310FBC009005-")</f>
        <v>SOL2310FBC009005-</v>
      </c>
      <c r="E800" s="19" t="str">
        <f>T("510146698")</f>
        <v>510146698</v>
      </c>
      <c r="F800" s="19" t="s">
        <v>17</v>
      </c>
      <c r="G800" s="19" t="s">
        <v>14</v>
      </c>
      <c r="H800" s="19" t="str">
        <f>T("607252447")</f>
        <v>607252447</v>
      </c>
      <c r="I800" s="19" t="s">
        <v>1460</v>
      </c>
      <c r="J800" s="19" t="s">
        <v>1461</v>
      </c>
      <c r="K800" s="19" t="str">
        <f>T("31100")</f>
        <v>31100</v>
      </c>
      <c r="L800" s="19" t="s">
        <v>19</v>
      </c>
      <c r="M800" s="21" t="s">
        <v>0</v>
      </c>
      <c r="N800" s="31">
        <v>45219</v>
      </c>
    </row>
    <row r="801" spans="1:14" ht="16" hidden="1" x14ac:dyDescent="0.2">
      <c r="A801" s="19" t="s">
        <v>1947</v>
      </c>
      <c r="B801" s="20">
        <v>45218</v>
      </c>
      <c r="C801" s="19" t="str">
        <f>T("330242442:0830380308")</f>
        <v>330242442:0830380308</v>
      </c>
      <c r="D801" s="19" t="str">
        <f>T("AVLHO-CF23091666")</f>
        <v>AVLHO-CF23091666</v>
      </c>
      <c r="E801" s="19" t="str">
        <f>T("510146595")</f>
        <v>510146595</v>
      </c>
      <c r="F801" s="19" t="s">
        <v>16</v>
      </c>
      <c r="G801" s="19" t="s">
        <v>14</v>
      </c>
      <c r="H801" s="19" t="str">
        <f>T("607252455")</f>
        <v>607252455</v>
      </c>
      <c r="I801" s="19" t="s">
        <v>1948</v>
      </c>
      <c r="J801" s="19" t="s">
        <v>1949</v>
      </c>
      <c r="K801" s="19" t="str">
        <f>T("33610")</f>
        <v>33610</v>
      </c>
      <c r="L801" s="19" t="s">
        <v>19</v>
      </c>
      <c r="M801" s="21" t="s">
        <v>0</v>
      </c>
      <c r="N801" s="31">
        <v>45222</v>
      </c>
    </row>
    <row r="802" spans="1:14" ht="16" x14ac:dyDescent="0.2">
      <c r="A802" s="19" t="s">
        <v>1950</v>
      </c>
      <c r="B802" s="20">
        <v>45218</v>
      </c>
      <c r="C802" s="19" t="str">
        <f>T("330242399:0830380281")</f>
        <v>330242399:0830380281</v>
      </c>
      <c r="D802" s="19" t="str">
        <f>T("00100408-SAV LE G")</f>
        <v>00100408-SAV LE G</v>
      </c>
      <c r="E802" s="19" t="str">
        <f>T("510146637")</f>
        <v>510146637</v>
      </c>
      <c r="F802" s="19" t="s">
        <v>17</v>
      </c>
      <c r="G802" s="19" t="s">
        <v>14</v>
      </c>
      <c r="H802" s="19" t="str">
        <f>T("607252464")</f>
        <v>607252464</v>
      </c>
      <c r="I802" s="19" t="s">
        <v>324</v>
      </c>
      <c r="J802" s="19" t="s">
        <v>325</v>
      </c>
      <c r="K802" s="19" t="str">
        <f>T("83600")</f>
        <v>83600</v>
      </c>
      <c r="L802" s="19" t="s">
        <v>19</v>
      </c>
      <c r="M802" s="21" t="s">
        <v>1</v>
      </c>
      <c r="N802" s="21"/>
    </row>
    <row r="803" spans="1:14" ht="16" x14ac:dyDescent="0.2">
      <c r="A803" s="19" t="s">
        <v>1951</v>
      </c>
      <c r="B803" s="20">
        <v>45218</v>
      </c>
      <c r="C803" s="19" t="str">
        <f>T("330242395:0830380279")</f>
        <v>330242395:0830380279</v>
      </c>
      <c r="D803" s="19" t="str">
        <f>T("WC-Coudreau")</f>
        <v>WC-Coudreau</v>
      </c>
      <c r="E803" s="19" t="str">
        <f>T("510146751")</f>
        <v>510146751</v>
      </c>
      <c r="F803" s="19" t="s">
        <v>17</v>
      </c>
      <c r="G803" s="19" t="s">
        <v>14</v>
      </c>
      <c r="H803" s="19" t="str">
        <f>T("607252478")</f>
        <v>607252478</v>
      </c>
      <c r="I803" s="19" t="s">
        <v>1103</v>
      </c>
      <c r="J803" s="19" t="s">
        <v>1104</v>
      </c>
      <c r="K803" s="19" t="str">
        <f>T("37210")</f>
        <v>37210</v>
      </c>
      <c r="L803" s="19" t="s">
        <v>19</v>
      </c>
      <c r="M803" s="21" t="s">
        <v>1</v>
      </c>
      <c r="N803" s="21"/>
    </row>
    <row r="804" spans="1:14" ht="16" x14ac:dyDescent="0.2">
      <c r="A804" s="19" t="s">
        <v>1952</v>
      </c>
      <c r="B804" s="20">
        <v>45218</v>
      </c>
      <c r="C804" s="19" t="str">
        <f>T("330242429:0830380300")</f>
        <v>330242429:0830380300</v>
      </c>
      <c r="D804" s="19" t="str">
        <f>T("CDC127995 E0106 S")</f>
        <v>CDC127995 E0106 S</v>
      </c>
      <c r="E804" s="19" t="str">
        <f>T("510146543")</f>
        <v>510146543</v>
      </c>
      <c r="F804" s="19" t="s">
        <v>16</v>
      </c>
      <c r="G804" s="19" t="s">
        <v>14</v>
      </c>
      <c r="H804" s="19" t="str">
        <f>T("607252481")</f>
        <v>607252481</v>
      </c>
      <c r="I804" s="19" t="s">
        <v>1953</v>
      </c>
      <c r="J804" s="19" t="s">
        <v>1954</v>
      </c>
      <c r="K804" s="19" t="str">
        <f>T("40100")</f>
        <v>40100</v>
      </c>
      <c r="L804" s="19" t="s">
        <v>19</v>
      </c>
      <c r="M804" s="21" t="s">
        <v>1</v>
      </c>
      <c r="N804" s="21"/>
    </row>
    <row r="805" spans="1:14" ht="16" x14ac:dyDescent="0.2">
      <c r="A805" s="19" t="s">
        <v>1955</v>
      </c>
      <c r="B805" s="20">
        <v>45218</v>
      </c>
      <c r="C805" s="19" t="str">
        <f>T("330242427:0830380428")</f>
        <v>330242427:0830380428</v>
      </c>
      <c r="D805" s="19" t="str">
        <f>T("161613")</f>
        <v>161613</v>
      </c>
      <c r="E805" s="19" t="str">
        <f>T("510146470")</f>
        <v>510146470</v>
      </c>
      <c r="F805" s="19" t="s">
        <v>16</v>
      </c>
      <c r="G805" s="19" t="s">
        <v>14</v>
      </c>
      <c r="H805" s="19" t="str">
        <f>T("607252495")</f>
        <v>607252495</v>
      </c>
      <c r="I805" s="19" t="s">
        <v>1956</v>
      </c>
      <c r="J805" s="19" t="s">
        <v>1957</v>
      </c>
      <c r="K805" s="19" t="str">
        <f>T("49000")</f>
        <v>49000</v>
      </c>
      <c r="L805" s="19" t="s">
        <v>19</v>
      </c>
      <c r="M805" s="21" t="s">
        <v>1</v>
      </c>
      <c r="N805" s="21"/>
    </row>
    <row r="806" spans="1:14" ht="16" hidden="1" x14ac:dyDescent="0.2">
      <c r="A806" s="19" t="s">
        <v>1958</v>
      </c>
      <c r="B806" s="20">
        <v>45218</v>
      </c>
      <c r="C806" s="19" t="str">
        <f>T("330242443:0830380309")</f>
        <v>330242443:0830380309</v>
      </c>
      <c r="D806" s="19" t="str">
        <f>T("SOL2310FBC008962-")</f>
        <v>SOL2310FBC008962-</v>
      </c>
      <c r="E806" s="19" t="str">
        <f>T("510146597")</f>
        <v>510146597</v>
      </c>
      <c r="F806" s="19" t="s">
        <v>17</v>
      </c>
      <c r="G806" s="19" t="s">
        <v>14</v>
      </c>
      <c r="H806" s="19" t="str">
        <f>T("607252504")</f>
        <v>607252504</v>
      </c>
      <c r="I806" s="19" t="s">
        <v>1959</v>
      </c>
      <c r="J806" s="19" t="s">
        <v>1960</v>
      </c>
      <c r="K806" s="19" t="str">
        <f>T("81300")</f>
        <v>81300</v>
      </c>
      <c r="L806" s="19" t="s">
        <v>19</v>
      </c>
      <c r="M806" s="21" t="s">
        <v>0</v>
      </c>
      <c r="N806" s="31">
        <v>45220</v>
      </c>
    </row>
    <row r="807" spans="1:14" ht="16" hidden="1" x14ac:dyDescent="0.2">
      <c r="A807" s="19" t="s">
        <v>1961</v>
      </c>
      <c r="B807" s="20">
        <v>45218</v>
      </c>
      <c r="C807" s="19" t="str">
        <f>T("330242301:0830379708")</f>
        <v>330242301:0830379708</v>
      </c>
      <c r="D807" s="19" t="str">
        <f>T("WC-Belanger")</f>
        <v>WC-Belanger</v>
      </c>
      <c r="E807" s="19" t="str">
        <f>T("510146739")</f>
        <v>510146739</v>
      </c>
      <c r="F807" s="19" t="s">
        <v>17</v>
      </c>
      <c r="G807" s="19" t="s">
        <v>14</v>
      </c>
      <c r="H807" s="19" t="str">
        <f>T("607252518")</f>
        <v>607252518</v>
      </c>
      <c r="I807" s="19" t="s">
        <v>1962</v>
      </c>
      <c r="J807" s="19" t="s">
        <v>1963</v>
      </c>
      <c r="K807" s="19" t="str">
        <f>T("72540")</f>
        <v>72540</v>
      </c>
      <c r="L807" s="19" t="s">
        <v>19</v>
      </c>
      <c r="M807" s="21" t="s">
        <v>0</v>
      </c>
      <c r="N807" s="31">
        <v>45219</v>
      </c>
    </row>
    <row r="808" spans="1:14" ht="16" hidden="1" x14ac:dyDescent="0.2">
      <c r="A808" s="19" t="s">
        <v>1964</v>
      </c>
      <c r="B808" s="20">
        <v>45218</v>
      </c>
      <c r="C808" s="19" t="str">
        <f>T("330242393:0830380278")</f>
        <v>330242393:0830380278</v>
      </c>
      <c r="D808" s="19" t="str">
        <f>T("WC-BELANGER")</f>
        <v>WC-BELANGER</v>
      </c>
      <c r="E808" s="19" t="str">
        <f>T("510146747")</f>
        <v>510146747</v>
      </c>
      <c r="F808" s="19" t="s">
        <v>17</v>
      </c>
      <c r="G808" s="19" t="s">
        <v>14</v>
      </c>
      <c r="H808" s="19" t="str">
        <f>T("607252521")</f>
        <v>607252521</v>
      </c>
      <c r="I808" s="19" t="s">
        <v>1965</v>
      </c>
      <c r="J808" s="19" t="s">
        <v>1966</v>
      </c>
      <c r="K808" s="19" t="str">
        <f>T("72000")</f>
        <v>72000</v>
      </c>
      <c r="L808" s="19" t="s">
        <v>19</v>
      </c>
      <c r="M808" s="21" t="s">
        <v>0</v>
      </c>
      <c r="N808" s="31">
        <v>45219</v>
      </c>
    </row>
    <row r="809" spans="1:14" ht="16" hidden="1" x14ac:dyDescent="0.2">
      <c r="A809" s="19" t="s">
        <v>1967</v>
      </c>
      <c r="B809" s="20">
        <v>45218</v>
      </c>
      <c r="C809" s="19" t="str">
        <f>T("330242389:0830380276")</f>
        <v>330242389:0830380276</v>
      </c>
      <c r="D809" s="19" t="str">
        <f>T("WC-CHARTIER")</f>
        <v>WC-CHARTIER</v>
      </c>
      <c r="E809" s="19" t="str">
        <f>T("510146746")</f>
        <v>510146746</v>
      </c>
      <c r="F809" s="19" t="s">
        <v>17</v>
      </c>
      <c r="G809" s="19" t="s">
        <v>14</v>
      </c>
      <c r="H809" s="19" t="str">
        <f>T("607252535")</f>
        <v>607252535</v>
      </c>
      <c r="I809" s="19" t="s">
        <v>1968</v>
      </c>
      <c r="J809" s="19" t="s">
        <v>1969</v>
      </c>
      <c r="K809" s="19" t="str">
        <f>T("44260")</f>
        <v>44260</v>
      </c>
      <c r="L809" s="19" t="s">
        <v>19</v>
      </c>
      <c r="M809" s="21" t="s">
        <v>0</v>
      </c>
      <c r="N809" s="31">
        <v>45219</v>
      </c>
    </row>
    <row r="810" spans="1:14" ht="16" x14ac:dyDescent="0.2">
      <c r="A810" s="19" t="s">
        <v>1970</v>
      </c>
      <c r="B810" s="20">
        <v>45218</v>
      </c>
      <c r="C810" s="19" t="str">
        <f>T("330242398:0830380421")</f>
        <v>330242398:0830380421</v>
      </c>
      <c r="D810" s="19" t="str">
        <f>T("WC-PALAIS BELVEDE")</f>
        <v>WC-PALAIS BELVEDE</v>
      </c>
      <c r="E810" s="19" t="str">
        <f>T("510146755")</f>
        <v>510146755</v>
      </c>
      <c r="F810" s="19" t="s">
        <v>17</v>
      </c>
      <c r="G810" s="19" t="s">
        <v>14</v>
      </c>
      <c r="H810" s="19" t="str">
        <f>T("607252549")</f>
        <v>607252549</v>
      </c>
      <c r="I810" s="19" t="s">
        <v>47</v>
      </c>
      <c r="J810" s="19" t="s">
        <v>180</v>
      </c>
      <c r="K810" s="19" t="str">
        <f>T("06370")</f>
        <v>06370</v>
      </c>
      <c r="L810" s="19" t="s">
        <v>19</v>
      </c>
      <c r="M810" s="21" t="s">
        <v>1</v>
      </c>
      <c r="N810" s="21"/>
    </row>
    <row r="811" spans="1:14" ht="16" hidden="1" x14ac:dyDescent="0.2">
      <c r="A811" s="19" t="s">
        <v>1971</v>
      </c>
      <c r="B811" s="20">
        <v>45218</v>
      </c>
      <c r="C811" s="19" t="str">
        <f>T("330242397:0830380280")</f>
        <v>330242397:0830380280</v>
      </c>
      <c r="D811" s="19" t="str">
        <f>T("WC-Melle DELEAGE")</f>
        <v>WC-Melle DELEAGE</v>
      </c>
      <c r="E811" s="19" t="str">
        <f>T("510146754")</f>
        <v>510146754</v>
      </c>
      <c r="F811" s="19" t="s">
        <v>17</v>
      </c>
      <c r="G811" s="19" t="s">
        <v>14</v>
      </c>
      <c r="H811" s="19" t="str">
        <f>T("607252552")</f>
        <v>607252552</v>
      </c>
      <c r="I811" s="19" t="s">
        <v>1972</v>
      </c>
      <c r="J811" s="19" t="s">
        <v>1973</v>
      </c>
      <c r="K811" s="19" t="str">
        <f>T("07320")</f>
        <v>07320</v>
      </c>
      <c r="L811" s="19" t="s">
        <v>19</v>
      </c>
      <c r="M811" s="21" t="s">
        <v>0</v>
      </c>
      <c r="N811" s="31">
        <v>45219</v>
      </c>
    </row>
    <row r="812" spans="1:14" ht="16" hidden="1" x14ac:dyDescent="0.2">
      <c r="A812" s="19" t="s">
        <v>1974</v>
      </c>
      <c r="B812" s="20">
        <v>45218</v>
      </c>
      <c r="C812" s="19" t="str">
        <f>T("330242304:0830379711")</f>
        <v>330242304:0830379711</v>
      </c>
      <c r="D812" s="19" t="str">
        <f>T("WC-MR DEPARDIEU")</f>
        <v>WC-MR DEPARDIEU</v>
      </c>
      <c r="E812" s="19" t="str">
        <f>T("510146731")</f>
        <v>510146731</v>
      </c>
      <c r="F812" s="19" t="s">
        <v>17</v>
      </c>
      <c r="G812" s="19" t="s">
        <v>14</v>
      </c>
      <c r="H812" s="19" t="str">
        <f>T("607252566")</f>
        <v>607252566</v>
      </c>
      <c r="I812" s="19" t="s">
        <v>369</v>
      </c>
      <c r="J812" s="19" t="s">
        <v>381</v>
      </c>
      <c r="K812" s="19" t="str">
        <f>T("36000")</f>
        <v>36000</v>
      </c>
      <c r="L812" s="19" t="s">
        <v>19</v>
      </c>
      <c r="M812" s="21" t="s">
        <v>0</v>
      </c>
      <c r="N812" s="31">
        <v>45222</v>
      </c>
    </row>
    <row r="813" spans="1:14" ht="16" x14ac:dyDescent="0.2">
      <c r="A813" s="19" t="s">
        <v>1975</v>
      </c>
      <c r="B813" s="20">
        <v>45218</v>
      </c>
      <c r="C813" s="19" t="str">
        <f>T("330242426:0830380299")</f>
        <v>330242426:0830380299</v>
      </c>
      <c r="D813" s="19" t="str">
        <f>T("TTEC MONTELIMAR")</f>
        <v>TTEC MONTELIMAR</v>
      </c>
      <c r="E813" s="19" t="str">
        <f>T("510146400")</f>
        <v>510146400</v>
      </c>
      <c r="F813" s="19" t="s">
        <v>17</v>
      </c>
      <c r="G813" s="19" t="s">
        <v>14</v>
      </c>
      <c r="H813" s="19" t="str">
        <f>T("607252583")</f>
        <v>607252583</v>
      </c>
      <c r="I813" s="19" t="s">
        <v>1866</v>
      </c>
      <c r="J813" s="19" t="s">
        <v>24</v>
      </c>
      <c r="K813" s="19" t="str">
        <f>T("26200")</f>
        <v>26200</v>
      </c>
      <c r="L813" s="19" t="s">
        <v>19</v>
      </c>
      <c r="M813" s="21" t="s">
        <v>1</v>
      </c>
      <c r="N813" s="21"/>
    </row>
    <row r="814" spans="1:14" ht="16" hidden="1" x14ac:dyDescent="0.2">
      <c r="A814" s="19" t="s">
        <v>1976</v>
      </c>
      <c r="B814" s="20">
        <v>45218</v>
      </c>
      <c r="C814" s="19" t="str">
        <f>T("330242432:0830380430")</f>
        <v>330242432:0830380430</v>
      </c>
      <c r="D814" s="19" t="str">
        <f>T("CDC127928 E0050 S")</f>
        <v>CDC127928 E0050 S</v>
      </c>
      <c r="E814" s="19" t="str">
        <f>T("510146535")</f>
        <v>510146535</v>
      </c>
      <c r="F814" s="19" t="s">
        <v>16</v>
      </c>
      <c r="G814" s="19" t="s">
        <v>14</v>
      </c>
      <c r="H814" s="19" t="str">
        <f>T("607253460")</f>
        <v>607253460</v>
      </c>
      <c r="I814" s="19" t="s">
        <v>1977</v>
      </c>
      <c r="J814" s="19" t="s">
        <v>1978</v>
      </c>
      <c r="K814" s="19" t="str">
        <f>T("79180")</f>
        <v>79180</v>
      </c>
      <c r="L814" s="19" t="s">
        <v>19</v>
      </c>
      <c r="M814" s="21" t="s">
        <v>0</v>
      </c>
      <c r="N814" s="31">
        <v>45222</v>
      </c>
    </row>
    <row r="815" spans="1:14" ht="16" hidden="1" x14ac:dyDescent="0.2">
      <c r="A815" s="19" t="s">
        <v>1979</v>
      </c>
      <c r="B815" s="20">
        <v>45218</v>
      </c>
      <c r="C815" s="19" t="str">
        <f>T("330242418:0830380426")</f>
        <v>330242418:0830380426</v>
      </c>
      <c r="D815" s="19" t="str">
        <f>T("SOL2310FBC008890-")</f>
        <v>SOL2310FBC008890-</v>
      </c>
      <c r="E815" s="19" t="str">
        <f>T("510146367")</f>
        <v>510146367</v>
      </c>
      <c r="F815" s="19" t="s">
        <v>17</v>
      </c>
      <c r="G815" s="19" t="s">
        <v>14</v>
      </c>
      <c r="H815" s="19" t="str">
        <f>T("607252606")</f>
        <v>607252606</v>
      </c>
      <c r="I815" s="19" t="s">
        <v>1980</v>
      </c>
      <c r="J815" s="19" t="s">
        <v>1981</v>
      </c>
      <c r="K815" s="19" t="str">
        <f>T("30127")</f>
        <v>30127</v>
      </c>
      <c r="L815" s="19" t="s">
        <v>19</v>
      </c>
      <c r="M815" s="21" t="s">
        <v>0</v>
      </c>
      <c r="N815" s="31">
        <v>45219</v>
      </c>
    </row>
    <row r="816" spans="1:14" ht="16" x14ac:dyDescent="0.2">
      <c r="A816" s="19" t="s">
        <v>1982</v>
      </c>
      <c r="B816" s="20">
        <v>45218</v>
      </c>
      <c r="C816" s="19" t="str">
        <f>T("330242437:0830380304")</f>
        <v>330242437:0830380304</v>
      </c>
      <c r="D816" s="19" t="str">
        <f>T("500064")</f>
        <v>500064</v>
      </c>
      <c r="E816" s="19" t="str">
        <f>T("510146570")</f>
        <v>510146570</v>
      </c>
      <c r="F816" s="19" t="s">
        <v>16</v>
      </c>
      <c r="G816" s="19" t="s">
        <v>14</v>
      </c>
      <c r="H816" s="19" t="str">
        <f>T("607252610")</f>
        <v>607252610</v>
      </c>
      <c r="I816" s="19" t="s">
        <v>1983</v>
      </c>
      <c r="J816" s="19" t="s">
        <v>1984</v>
      </c>
      <c r="K816" s="19" t="str">
        <f>T("58200")</f>
        <v>58200</v>
      </c>
      <c r="L816" s="19" t="s">
        <v>19</v>
      </c>
      <c r="M816" s="21" t="s">
        <v>1</v>
      </c>
      <c r="N816" s="21"/>
    </row>
    <row r="817" spans="1:14" ht="16" x14ac:dyDescent="0.2">
      <c r="A817" s="19" t="s">
        <v>1985</v>
      </c>
      <c r="B817" s="20">
        <v>45218</v>
      </c>
      <c r="C817" s="19" t="str">
        <f>T("330242411:0830380422")</f>
        <v>330242411:0830380422</v>
      </c>
      <c r="D817" s="19" t="str">
        <f>T("22866548")</f>
        <v>22866548</v>
      </c>
      <c r="E817" s="19" t="str">
        <f>T("510146799")</f>
        <v>510146799</v>
      </c>
      <c r="F817" s="19" t="s">
        <v>17</v>
      </c>
      <c r="G817" s="19" t="s">
        <v>14</v>
      </c>
      <c r="H817" s="19" t="str">
        <f>T("607253544")</f>
        <v>607253544</v>
      </c>
      <c r="I817" s="19" t="s">
        <v>1986</v>
      </c>
      <c r="J817" s="19" t="s">
        <v>1987</v>
      </c>
      <c r="K817" s="19" t="str">
        <f>T("62231")</f>
        <v>62231</v>
      </c>
      <c r="L817" s="19" t="s">
        <v>19</v>
      </c>
      <c r="M817" s="21" t="s">
        <v>1</v>
      </c>
      <c r="N817" s="21"/>
    </row>
    <row r="818" spans="1:14" ht="16" x14ac:dyDescent="0.2">
      <c r="A818" s="19" t="s">
        <v>1988</v>
      </c>
      <c r="B818" s="20">
        <v>45218</v>
      </c>
      <c r="C818" s="19" t="str">
        <f>T("330239436:0830377182")</f>
        <v>330239436:0830377182</v>
      </c>
      <c r="D818" s="19" t="str">
        <f>T("OF 757")</f>
        <v>OF 757</v>
      </c>
      <c r="E818" s="19" t="str">
        <f>T("560021767")</f>
        <v>560021767</v>
      </c>
      <c r="F818" s="19" t="s">
        <v>16</v>
      </c>
      <c r="G818" s="19" t="s">
        <v>14</v>
      </c>
      <c r="H818" s="19" t="str">
        <f>T("607252623")</f>
        <v>607252623</v>
      </c>
      <c r="I818" s="19" t="s">
        <v>1029</v>
      </c>
      <c r="J818" s="19" t="s">
        <v>1030</v>
      </c>
      <c r="K818" s="19" t="str">
        <f>T("48018")</f>
        <v>48018</v>
      </c>
      <c r="L818" s="19" t="s">
        <v>18</v>
      </c>
      <c r="M818" s="21" t="s">
        <v>1</v>
      </c>
      <c r="N818" s="21"/>
    </row>
    <row r="819" spans="1:14" ht="16" hidden="1" x14ac:dyDescent="0.2">
      <c r="A819" s="19" t="s">
        <v>1989</v>
      </c>
      <c r="B819" s="20">
        <v>45218</v>
      </c>
      <c r="C819" s="19" t="str">
        <f>T("330242414:0830380425")</f>
        <v>330242414:0830380425</v>
      </c>
      <c r="D819" s="19" t="str">
        <f>T("SOL2310FBC008851-")</f>
        <v>SOL2310FBC008851-</v>
      </c>
      <c r="E819" s="19" t="str">
        <f>T("510146315")</f>
        <v>510146315</v>
      </c>
      <c r="F819" s="19" t="s">
        <v>17</v>
      </c>
      <c r="G819" s="19" t="s">
        <v>14</v>
      </c>
      <c r="H819" s="19" t="str">
        <f>T("607252637")</f>
        <v>607252637</v>
      </c>
      <c r="I819" s="19" t="s">
        <v>1135</v>
      </c>
      <c r="J819" s="19" t="s">
        <v>1136</v>
      </c>
      <c r="K819" s="19" t="str">
        <f>T("31100")</f>
        <v>31100</v>
      </c>
      <c r="L819" s="19" t="s">
        <v>19</v>
      </c>
      <c r="M819" s="21" t="s">
        <v>0</v>
      </c>
      <c r="N819" s="31">
        <v>45219</v>
      </c>
    </row>
    <row r="820" spans="1:14" ht="16" hidden="1" x14ac:dyDescent="0.2">
      <c r="A820" s="19" t="s">
        <v>1990</v>
      </c>
      <c r="B820" s="20">
        <v>45218</v>
      </c>
      <c r="C820" s="19" t="str">
        <f>T("330242392:0830380419")</f>
        <v>330242392:0830380419</v>
      </c>
      <c r="D820" s="19" t="str">
        <f>T("WC-MARZIN")</f>
        <v>WC-MARZIN</v>
      </c>
      <c r="E820" s="19" t="str">
        <f>T("510146749")</f>
        <v>510146749</v>
      </c>
      <c r="F820" s="19" t="s">
        <v>17</v>
      </c>
      <c r="G820" s="19" t="s">
        <v>14</v>
      </c>
      <c r="H820" s="19" t="str">
        <f>T("607252645")</f>
        <v>607252645</v>
      </c>
      <c r="I820" s="19" t="s">
        <v>1991</v>
      </c>
      <c r="J820" s="19" t="s">
        <v>1992</v>
      </c>
      <c r="K820" s="19" t="str">
        <f>T("50700")</f>
        <v>50700</v>
      </c>
      <c r="L820" s="19" t="s">
        <v>19</v>
      </c>
      <c r="M820" s="21" t="s">
        <v>0</v>
      </c>
      <c r="N820" s="31">
        <v>45222</v>
      </c>
    </row>
    <row r="821" spans="1:14" ht="16" hidden="1" x14ac:dyDescent="0.2">
      <c r="A821" s="19" t="s">
        <v>1993</v>
      </c>
      <c r="B821" s="20">
        <v>45218</v>
      </c>
      <c r="C821" s="19" t="str">
        <f>T("330242396:0830380420")</f>
        <v>330242396:0830380420</v>
      </c>
      <c r="D821" s="19" t="str">
        <f>T("WC-VIGNAUD")</f>
        <v>WC-VIGNAUD</v>
      </c>
      <c r="E821" s="19" t="str">
        <f>T("510146753")</f>
        <v>510146753</v>
      </c>
      <c r="F821" s="19" t="s">
        <v>17</v>
      </c>
      <c r="G821" s="19" t="s">
        <v>14</v>
      </c>
      <c r="H821" s="19" t="str">
        <f>T("607252654")</f>
        <v>607252654</v>
      </c>
      <c r="I821" s="19" t="s">
        <v>1994</v>
      </c>
      <c r="J821" s="19" t="s">
        <v>1995</v>
      </c>
      <c r="K821" s="19" t="str">
        <f>T("37100")</f>
        <v>37100</v>
      </c>
      <c r="L821" s="19" t="s">
        <v>19</v>
      </c>
      <c r="M821" s="21" t="s">
        <v>0</v>
      </c>
      <c r="N821" s="31">
        <v>45219</v>
      </c>
    </row>
    <row r="822" spans="1:14" ht="16" hidden="1" x14ac:dyDescent="0.2">
      <c r="A822" s="19" t="s">
        <v>1996</v>
      </c>
      <c r="B822" s="20">
        <v>45218</v>
      </c>
      <c r="C822" s="19" t="str">
        <f>T("330242382:0830380270")</f>
        <v>330242382:0830380270</v>
      </c>
      <c r="D822" s="19" t="str">
        <f>T("23098213 - GAY")</f>
        <v>23098213 - GAY</v>
      </c>
      <c r="E822" s="19" t="str">
        <f>T("510146625")</f>
        <v>510146625</v>
      </c>
      <c r="F822" s="19" t="s">
        <v>16</v>
      </c>
      <c r="G822" s="19" t="s">
        <v>14</v>
      </c>
      <c r="H822" s="19" t="str">
        <f>T("607252668")</f>
        <v>607252668</v>
      </c>
      <c r="I822" s="19" t="s">
        <v>1396</v>
      </c>
      <c r="J822" s="19" t="s">
        <v>1397</v>
      </c>
      <c r="K822" s="19" t="str">
        <f>T("69400")</f>
        <v>69400</v>
      </c>
      <c r="L822" s="19" t="s">
        <v>19</v>
      </c>
      <c r="M822" s="21" t="s">
        <v>0</v>
      </c>
      <c r="N822" s="31">
        <v>45219</v>
      </c>
    </row>
    <row r="823" spans="1:14" ht="16" hidden="1" x14ac:dyDescent="0.2">
      <c r="A823" s="19" t="s">
        <v>1997</v>
      </c>
      <c r="B823" s="20">
        <v>45218</v>
      </c>
      <c r="C823" s="19" t="str">
        <f>T("330243018:0830381351")</f>
        <v>330243018:0830381351</v>
      </c>
      <c r="D823" s="19" t="str">
        <f>T("PEYRE - COSTEMALE")</f>
        <v>PEYRE - COSTEMALE</v>
      </c>
      <c r="E823" s="19" t="str">
        <f>T("510146800")</f>
        <v>510146800</v>
      </c>
      <c r="F823" s="19" t="s">
        <v>17</v>
      </c>
      <c r="G823" s="19" t="s">
        <v>14</v>
      </c>
      <c r="H823" s="19" t="str">
        <f>T("607252671")</f>
        <v>607252671</v>
      </c>
      <c r="I823" s="19" t="s">
        <v>1998</v>
      </c>
      <c r="J823" s="19" t="s">
        <v>1999</v>
      </c>
      <c r="K823" s="19" t="str">
        <f>T("06600")</f>
        <v>06600</v>
      </c>
      <c r="L823" s="19" t="s">
        <v>19</v>
      </c>
      <c r="M823" s="21" t="s">
        <v>0</v>
      </c>
      <c r="N823" s="31">
        <v>45222</v>
      </c>
    </row>
    <row r="824" spans="1:14" ht="16" x14ac:dyDescent="0.2">
      <c r="A824" s="19" t="s">
        <v>2000</v>
      </c>
      <c r="B824" s="20">
        <v>45218</v>
      </c>
      <c r="C824" s="19" t="str">
        <f>T("330242376:0830380266")</f>
        <v>330242376:0830380266</v>
      </c>
      <c r="D824" s="19" t="str">
        <f>T("C2309261 EQUANS B")</f>
        <v>C2309261 EQUANS B</v>
      </c>
      <c r="E824" s="19" t="str">
        <f>T("510146678")</f>
        <v>510146678</v>
      </c>
      <c r="F824" s="19" t="s">
        <v>16</v>
      </c>
      <c r="G824" s="19" t="s">
        <v>14</v>
      </c>
      <c r="H824" s="19" t="str">
        <f>T("607252685")</f>
        <v>607252685</v>
      </c>
      <c r="I824" s="19" t="s">
        <v>2001</v>
      </c>
      <c r="J824" s="19" t="s">
        <v>2002</v>
      </c>
      <c r="K824" s="19" t="str">
        <f>T("92320")</f>
        <v>92320</v>
      </c>
      <c r="L824" s="19" t="s">
        <v>19</v>
      </c>
      <c r="M824" s="21" t="s">
        <v>1</v>
      </c>
      <c r="N824" s="21"/>
    </row>
    <row r="825" spans="1:14" ht="16" hidden="1" x14ac:dyDescent="0.2">
      <c r="A825" s="19" t="s">
        <v>2003</v>
      </c>
      <c r="B825" s="20">
        <v>45218</v>
      </c>
      <c r="C825" s="19" t="str">
        <f>T("330242388:0830380418")</f>
        <v>330242388:0830380418</v>
      </c>
      <c r="D825" s="19" t="str">
        <f>T("WC-LAMY")</f>
        <v>WC-LAMY</v>
      </c>
      <c r="E825" s="19" t="str">
        <f>T("510146745")</f>
        <v>510146745</v>
      </c>
      <c r="F825" s="19" t="s">
        <v>17</v>
      </c>
      <c r="G825" s="19" t="s">
        <v>14</v>
      </c>
      <c r="H825" s="19" t="str">
        <f>T("607252699")</f>
        <v>607252699</v>
      </c>
      <c r="I825" s="19" t="s">
        <v>2004</v>
      </c>
      <c r="J825" s="19" t="s">
        <v>2005</v>
      </c>
      <c r="K825" s="19" t="str">
        <f>T("49400")</f>
        <v>49400</v>
      </c>
      <c r="L825" s="19" t="s">
        <v>19</v>
      </c>
      <c r="M825" s="21" t="s">
        <v>0</v>
      </c>
      <c r="N825" s="31">
        <v>45219</v>
      </c>
    </row>
    <row r="826" spans="1:14" ht="16" hidden="1" x14ac:dyDescent="0.2">
      <c r="A826" s="19" t="s">
        <v>2006</v>
      </c>
      <c r="B826" s="20">
        <v>45218</v>
      </c>
      <c r="C826" s="19" t="str">
        <f>T("330243041:0830381367")</f>
        <v>330243041:0830381367</v>
      </c>
      <c r="D826" s="19" t="str">
        <f>T("U230009249")</f>
        <v>U230009249</v>
      </c>
      <c r="E826" s="19" t="str">
        <f>T("510146869")</f>
        <v>510146869</v>
      </c>
      <c r="F826" s="19" t="s">
        <v>17</v>
      </c>
      <c r="G826" s="19" t="s">
        <v>14</v>
      </c>
      <c r="H826" s="19" t="str">
        <f>T("607252708")</f>
        <v>607252708</v>
      </c>
      <c r="I826" s="19" t="s">
        <v>2007</v>
      </c>
      <c r="J826" s="19" t="s">
        <v>2008</v>
      </c>
      <c r="K826" s="19" t="str">
        <f>T("44400")</f>
        <v>44400</v>
      </c>
      <c r="L826" s="19" t="s">
        <v>19</v>
      </c>
      <c r="M826" s="21" t="s">
        <v>0</v>
      </c>
      <c r="N826" s="31">
        <v>45219</v>
      </c>
    </row>
    <row r="827" spans="1:14" ht="16" hidden="1" x14ac:dyDescent="0.2">
      <c r="A827" s="19" t="s">
        <v>2009</v>
      </c>
      <c r="B827" s="20">
        <v>45218</v>
      </c>
      <c r="C827" s="19" t="str">
        <f>T("330242380:0830380417")</f>
        <v>330242380:0830380417</v>
      </c>
      <c r="D827" s="19" t="str">
        <f>T("SOL2310FBC008971-")</f>
        <v>SOL2310FBC008971-</v>
      </c>
      <c r="E827" s="19" t="str">
        <f>T("510146616")</f>
        <v>510146616</v>
      </c>
      <c r="F827" s="19" t="s">
        <v>17</v>
      </c>
      <c r="G827" s="19" t="s">
        <v>14</v>
      </c>
      <c r="H827" s="19" t="str">
        <f>T("607252711")</f>
        <v>607252711</v>
      </c>
      <c r="I827" s="19" t="s">
        <v>2010</v>
      </c>
      <c r="J827" s="19" t="s">
        <v>2011</v>
      </c>
      <c r="K827" s="19" t="str">
        <f>T("34160")</f>
        <v>34160</v>
      </c>
      <c r="L827" s="19" t="s">
        <v>19</v>
      </c>
      <c r="M827" s="21" t="s">
        <v>0</v>
      </c>
      <c r="N827" s="31">
        <v>45220</v>
      </c>
    </row>
    <row r="828" spans="1:14" ht="16" hidden="1" x14ac:dyDescent="0.2">
      <c r="A828" s="19" t="s">
        <v>2012</v>
      </c>
      <c r="B828" s="20">
        <v>45218</v>
      </c>
      <c r="C828" s="19" t="str">
        <f>T("330243015:0830381348")</f>
        <v>330243015:0830381348</v>
      </c>
      <c r="D828" s="19" t="str">
        <f>T("WC BRUNET")</f>
        <v>WC BRUNET</v>
      </c>
      <c r="E828" s="19" t="str">
        <f>T("510146807")</f>
        <v>510146807</v>
      </c>
      <c r="F828" s="19" t="s">
        <v>17</v>
      </c>
      <c r="G828" s="19" t="s">
        <v>14</v>
      </c>
      <c r="H828" s="19" t="str">
        <f>T("607252725")</f>
        <v>607252725</v>
      </c>
      <c r="I828" s="19" t="s">
        <v>2013</v>
      </c>
      <c r="J828" s="19" t="s">
        <v>2014</v>
      </c>
      <c r="K828" s="19" t="str">
        <f>T("26250")</f>
        <v>26250</v>
      </c>
      <c r="L828" s="19" t="s">
        <v>19</v>
      </c>
      <c r="M828" s="21" t="s">
        <v>0</v>
      </c>
      <c r="N828" s="31">
        <v>45219</v>
      </c>
    </row>
    <row r="829" spans="1:14" ht="16" hidden="1" x14ac:dyDescent="0.2">
      <c r="A829" s="19" t="s">
        <v>2015</v>
      </c>
      <c r="B829" s="20">
        <v>45218</v>
      </c>
      <c r="C829" s="19" t="str">
        <f>T("330242401:0830380283")</f>
        <v>330242401:0830380283</v>
      </c>
      <c r="D829" s="19" t="str">
        <f>T("ENGIE IP MORGUE")</f>
        <v>ENGIE IP MORGUE</v>
      </c>
      <c r="E829" s="19" t="str">
        <f>T("510146644")</f>
        <v>510146644</v>
      </c>
      <c r="F829" s="19" t="s">
        <v>16</v>
      </c>
      <c r="G829" s="19" t="s">
        <v>14</v>
      </c>
      <c r="H829" s="19" t="str">
        <f>T("607252739")</f>
        <v>607252739</v>
      </c>
      <c r="I829" s="19" t="s">
        <v>2016</v>
      </c>
      <c r="J829" s="19" t="s">
        <v>2017</v>
      </c>
      <c r="K829" s="19" t="str">
        <f>T("69530")</f>
        <v>69530</v>
      </c>
      <c r="L829" s="19" t="s">
        <v>19</v>
      </c>
      <c r="M829" s="21" t="s">
        <v>0</v>
      </c>
      <c r="N829" s="31">
        <v>45219</v>
      </c>
    </row>
    <row r="830" spans="1:14" ht="16" hidden="1" x14ac:dyDescent="0.2">
      <c r="A830" s="19" t="s">
        <v>2018</v>
      </c>
      <c r="B830" s="20">
        <v>45218</v>
      </c>
      <c r="C830" s="19" t="str">
        <f>T("330243000:0830381336")</f>
        <v>330243000:0830381336</v>
      </c>
      <c r="D830" s="19" t="str">
        <f>T("WC Pompe funebre")</f>
        <v>WC Pompe funebre</v>
      </c>
      <c r="E830" s="19" t="str">
        <f>T("510146858")</f>
        <v>510146858</v>
      </c>
      <c r="F830" s="19" t="s">
        <v>17</v>
      </c>
      <c r="G830" s="19" t="s">
        <v>14</v>
      </c>
      <c r="H830" s="19" t="str">
        <f>T("607252742")</f>
        <v>607252742</v>
      </c>
      <c r="I830" s="19" t="s">
        <v>2019</v>
      </c>
      <c r="J830" s="19" t="s">
        <v>2020</v>
      </c>
      <c r="K830" s="19" t="str">
        <f>T("52000")</f>
        <v>52000</v>
      </c>
      <c r="L830" s="19" t="s">
        <v>19</v>
      </c>
      <c r="M830" s="21" t="s">
        <v>0</v>
      </c>
      <c r="N830" s="31">
        <v>45222</v>
      </c>
    </row>
    <row r="831" spans="1:14" ht="16" x14ac:dyDescent="0.2">
      <c r="A831" s="19" t="s">
        <v>2021</v>
      </c>
      <c r="B831" s="20">
        <v>45218</v>
      </c>
      <c r="C831" s="19" t="str">
        <f>T("330242985:0830381326")</f>
        <v>330242985:0830381326</v>
      </c>
      <c r="D831" s="19" t="str">
        <f>T("161852")</f>
        <v>161852</v>
      </c>
      <c r="E831" s="19" t="str">
        <f>T("510146838")</f>
        <v>510146838</v>
      </c>
      <c r="F831" s="19" t="s">
        <v>17</v>
      </c>
      <c r="G831" s="19" t="s">
        <v>14</v>
      </c>
      <c r="H831" s="19" t="str">
        <f>T("607252756")</f>
        <v>607252756</v>
      </c>
      <c r="I831" s="19" t="s">
        <v>2022</v>
      </c>
      <c r="J831" s="19" t="s">
        <v>2023</v>
      </c>
      <c r="K831" s="19" t="str">
        <f>T("30490")</f>
        <v>30490</v>
      </c>
      <c r="L831" s="19" t="s">
        <v>19</v>
      </c>
      <c r="M831" s="21" t="s">
        <v>1</v>
      </c>
      <c r="N831" s="21"/>
    </row>
    <row r="832" spans="1:14" ht="16" hidden="1" x14ac:dyDescent="0.2">
      <c r="A832" s="19" t="s">
        <v>2024</v>
      </c>
      <c r="B832" s="20">
        <v>45218</v>
      </c>
      <c r="C832" s="19" t="str">
        <f>T("330242422:0830380427")</f>
        <v>330242422:0830380427</v>
      </c>
      <c r="D832" s="19" t="str">
        <f>T("SOL2310FBC008898-")</f>
        <v>SOL2310FBC008898-</v>
      </c>
      <c r="E832" s="19" t="str">
        <f>T("510146392")</f>
        <v>510146392</v>
      </c>
      <c r="F832" s="19" t="s">
        <v>17</v>
      </c>
      <c r="G832" s="19" t="s">
        <v>14</v>
      </c>
      <c r="H832" s="19" t="str">
        <f>T("607252760")</f>
        <v>607252760</v>
      </c>
      <c r="I832" s="19" t="s">
        <v>2025</v>
      </c>
      <c r="J832" s="19" t="s">
        <v>2026</v>
      </c>
      <c r="K832" s="19" t="str">
        <f>T("81500")</f>
        <v>81500</v>
      </c>
      <c r="L832" s="19" t="s">
        <v>19</v>
      </c>
      <c r="M832" s="21" t="s">
        <v>0</v>
      </c>
      <c r="N832" s="31">
        <v>45219</v>
      </c>
    </row>
    <row r="833" spans="1:14" ht="16" x14ac:dyDescent="0.2">
      <c r="A833" s="19" t="s">
        <v>2027</v>
      </c>
      <c r="B833" s="20">
        <v>45218</v>
      </c>
      <c r="C833" s="19" t="str">
        <f>T("330243005:0830381340")</f>
        <v>330243005:0830381340</v>
      </c>
      <c r="D833" s="19" t="str">
        <f>T("CDC128202 L0030 S")</f>
        <v>CDC128202 L0030 S</v>
      </c>
      <c r="E833" s="19" t="str">
        <f>T("510146822")</f>
        <v>510146822</v>
      </c>
      <c r="F833" s="19" t="s">
        <v>17</v>
      </c>
      <c r="G833" s="19" t="s">
        <v>14</v>
      </c>
      <c r="H833" s="19" t="str">
        <f>T("607252773")</f>
        <v>607252773</v>
      </c>
      <c r="I833" s="19" t="s">
        <v>2028</v>
      </c>
      <c r="J833" s="19" t="s">
        <v>2029</v>
      </c>
      <c r="K833" s="19" t="str">
        <f>T("64780")</f>
        <v>64780</v>
      </c>
      <c r="L833" s="19" t="s">
        <v>19</v>
      </c>
      <c r="M833" s="21" t="s">
        <v>1</v>
      </c>
      <c r="N833" s="21"/>
    </row>
    <row r="834" spans="1:14" ht="16" hidden="1" x14ac:dyDescent="0.2">
      <c r="A834" s="19" t="s">
        <v>2030</v>
      </c>
      <c r="B834" s="20">
        <v>45218</v>
      </c>
      <c r="C834" s="19" t="str">
        <f>T("330243069:0830381386")</f>
        <v>330243069:0830381386</v>
      </c>
      <c r="D834" s="19" t="str">
        <f>T("161690")</f>
        <v>161690</v>
      </c>
      <c r="E834" s="19" t="str">
        <f>T("510146499")</f>
        <v>510146499</v>
      </c>
      <c r="F834" s="19" t="s">
        <v>17</v>
      </c>
      <c r="G834" s="19" t="s">
        <v>14</v>
      </c>
      <c r="H834" s="19" t="str">
        <f>T("607252787")</f>
        <v>607252787</v>
      </c>
      <c r="I834" s="19" t="s">
        <v>2031</v>
      </c>
      <c r="J834" s="19" t="s">
        <v>2032</v>
      </c>
      <c r="K834" s="19" t="str">
        <f>T("02270")</f>
        <v>02270</v>
      </c>
      <c r="L834" s="19" t="s">
        <v>19</v>
      </c>
      <c r="M834" s="21" t="s">
        <v>0</v>
      </c>
      <c r="N834" s="31">
        <v>45219</v>
      </c>
    </row>
    <row r="835" spans="1:14" ht="16" hidden="1" x14ac:dyDescent="0.2">
      <c r="A835" s="19" t="s">
        <v>2033</v>
      </c>
      <c r="B835" s="20">
        <v>45218</v>
      </c>
      <c r="C835" s="19" t="str">
        <f>T("330242983:0830381324")</f>
        <v>330242983:0830381324</v>
      </c>
      <c r="D835" s="19" t="str">
        <f>T("22901069")</f>
        <v>22901069</v>
      </c>
      <c r="E835" s="19" t="str">
        <f>T("510146841")</f>
        <v>510146841</v>
      </c>
      <c r="F835" s="19" t="s">
        <v>17</v>
      </c>
      <c r="G835" s="19" t="s">
        <v>14</v>
      </c>
      <c r="H835" s="19" t="str">
        <f>T("607252795")</f>
        <v>607252795</v>
      </c>
      <c r="I835" s="19" t="s">
        <v>2034</v>
      </c>
      <c r="J835" s="19" t="s">
        <v>2035</v>
      </c>
      <c r="K835" s="19" t="str">
        <f>T("11100")</f>
        <v>11100</v>
      </c>
      <c r="L835" s="19" t="s">
        <v>19</v>
      </c>
      <c r="M835" s="21" t="s">
        <v>0</v>
      </c>
      <c r="N835" s="31">
        <v>45222</v>
      </c>
    </row>
    <row r="836" spans="1:14" ht="16" hidden="1" x14ac:dyDescent="0.2">
      <c r="A836" s="19" t="s">
        <v>2036</v>
      </c>
      <c r="B836" s="20">
        <v>45218</v>
      </c>
      <c r="C836" s="19" t="str">
        <f>T("330243036:0830381365")</f>
        <v>330243036:0830381365</v>
      </c>
      <c r="D836" s="19" t="str">
        <f>T("CDC128296 EB0006")</f>
        <v>CDC128296 EB0006</v>
      </c>
      <c r="E836" s="19" t="str">
        <f>T("510146914")</f>
        <v>510146914</v>
      </c>
      <c r="F836" s="19" t="s">
        <v>17</v>
      </c>
      <c r="G836" s="19" t="s">
        <v>14</v>
      </c>
      <c r="H836" s="19" t="str">
        <f>T("607252800")</f>
        <v>607252800</v>
      </c>
      <c r="I836" s="19" t="s">
        <v>2037</v>
      </c>
      <c r="J836" s="19" t="s">
        <v>2038</v>
      </c>
      <c r="K836" s="19" t="str">
        <f>T("33370")</f>
        <v>33370</v>
      </c>
      <c r="L836" s="19" t="s">
        <v>19</v>
      </c>
      <c r="M836" s="21" t="s">
        <v>0</v>
      </c>
      <c r="N836" s="31">
        <v>45222</v>
      </c>
    </row>
    <row r="837" spans="1:14" ht="16" hidden="1" x14ac:dyDescent="0.2">
      <c r="A837" s="19" t="s">
        <v>2039</v>
      </c>
      <c r="B837" s="20">
        <v>45218</v>
      </c>
      <c r="C837" s="19" t="str">
        <f>T("330243067:0830381384")</f>
        <v>330243067:0830381384</v>
      </c>
      <c r="D837" s="19" t="str">
        <f>T("161692")</f>
        <v>161692</v>
      </c>
      <c r="E837" s="19" t="str">
        <f>T("510146503")</f>
        <v>510146503</v>
      </c>
      <c r="F837" s="19" t="s">
        <v>17</v>
      </c>
      <c r="G837" s="19" t="s">
        <v>14</v>
      </c>
      <c r="H837" s="19" t="str">
        <f>T("607252813")</f>
        <v>607252813</v>
      </c>
      <c r="I837" s="19" t="s">
        <v>2040</v>
      </c>
      <c r="J837" s="19" t="s">
        <v>2041</v>
      </c>
      <c r="K837" s="19" t="str">
        <f>T("95450")</f>
        <v>95450</v>
      </c>
      <c r="L837" s="19" t="s">
        <v>19</v>
      </c>
      <c r="M837" s="21" t="s">
        <v>0</v>
      </c>
      <c r="N837" s="31">
        <v>45219</v>
      </c>
    </row>
    <row r="838" spans="1:14" ht="16" x14ac:dyDescent="0.2">
      <c r="A838" s="19" t="s">
        <v>2042</v>
      </c>
      <c r="B838" s="20">
        <v>45218</v>
      </c>
      <c r="C838" s="19" t="str">
        <f>T("330243065:0830381382")</f>
        <v>330243065:0830381382</v>
      </c>
      <c r="D838" s="19" t="str">
        <f>T("00100395-SAV FILT")</f>
        <v>00100395-SAV FILT</v>
      </c>
      <c r="E838" s="19" t="str">
        <f>T("510146603")</f>
        <v>510146603</v>
      </c>
      <c r="F838" s="19" t="s">
        <v>17</v>
      </c>
      <c r="G838" s="19" t="s">
        <v>14</v>
      </c>
      <c r="H838" s="19" t="str">
        <f>T("607252827")</f>
        <v>607252827</v>
      </c>
      <c r="I838" s="19" t="s">
        <v>2043</v>
      </c>
      <c r="J838" s="19" t="s">
        <v>2044</v>
      </c>
      <c r="K838" s="19" t="str">
        <f>T("83460")</f>
        <v>83460</v>
      </c>
      <c r="L838" s="19" t="s">
        <v>19</v>
      </c>
      <c r="M838" s="21" t="s">
        <v>1</v>
      </c>
      <c r="N838" s="21"/>
    </row>
    <row r="839" spans="1:14" ht="16" hidden="1" x14ac:dyDescent="0.2">
      <c r="A839" s="19" t="s">
        <v>2045</v>
      </c>
      <c r="B839" s="20">
        <v>45218</v>
      </c>
      <c r="C839" s="19" t="str">
        <f>T("330243039:0830381366")</f>
        <v>330243039:0830381366</v>
      </c>
      <c r="D839" s="19" t="str">
        <f>T("SOL2310FBC009088-")</f>
        <v>SOL2310FBC009088-</v>
      </c>
      <c r="E839" s="19" t="str">
        <f>T("510146911")</f>
        <v>510146911</v>
      </c>
      <c r="F839" s="19" t="s">
        <v>17</v>
      </c>
      <c r="G839" s="19" t="s">
        <v>14</v>
      </c>
      <c r="H839" s="19" t="str">
        <f>T("607252835")</f>
        <v>607252835</v>
      </c>
      <c r="I839" s="19" t="s">
        <v>1264</v>
      </c>
      <c r="J839" s="19" t="s">
        <v>1265</v>
      </c>
      <c r="K839" s="19" t="str">
        <f>T("81990")</f>
        <v>81990</v>
      </c>
      <c r="L839" s="19" t="s">
        <v>19</v>
      </c>
      <c r="M839" s="21" t="s">
        <v>0</v>
      </c>
      <c r="N839" s="31">
        <v>45219</v>
      </c>
    </row>
    <row r="840" spans="1:14" ht="16" hidden="1" x14ac:dyDescent="0.2">
      <c r="A840" s="19" t="s">
        <v>2046</v>
      </c>
      <c r="B840" s="20">
        <v>45218</v>
      </c>
      <c r="C840" s="19" t="str">
        <f>T("330243014:0830381347")</f>
        <v>330243014:0830381347</v>
      </c>
      <c r="D840" s="19" t="str">
        <f>T("C2310098 HYD 44BC")</f>
        <v>C2310098 HYD 44BC</v>
      </c>
      <c r="E840" s="19" t="str">
        <f>T("510146811")</f>
        <v>510146811</v>
      </c>
      <c r="F840" s="19" t="s">
        <v>17</v>
      </c>
      <c r="G840" s="19" t="s">
        <v>14</v>
      </c>
      <c r="H840" s="19" t="str">
        <f>T("607252844")</f>
        <v>607252844</v>
      </c>
      <c r="I840" s="19" t="s">
        <v>1149</v>
      </c>
      <c r="J840" s="19" t="s">
        <v>2047</v>
      </c>
      <c r="K840" s="19" t="str">
        <f>T("86000")</f>
        <v>86000</v>
      </c>
      <c r="L840" s="19" t="s">
        <v>19</v>
      </c>
      <c r="M840" s="21" t="s">
        <v>0</v>
      </c>
      <c r="N840" s="31">
        <v>45222</v>
      </c>
    </row>
    <row r="841" spans="1:14" ht="16" hidden="1" x14ac:dyDescent="0.2">
      <c r="A841" s="19" t="s">
        <v>2048</v>
      </c>
      <c r="B841" s="20">
        <v>45218</v>
      </c>
      <c r="C841" s="19" t="str">
        <f>T("330243006:0830381341")</f>
        <v>330243006:0830381341</v>
      </c>
      <c r="D841" s="19" t="str">
        <f>T("CF103859")</f>
        <v>CF103859</v>
      </c>
      <c r="E841" s="19" t="str">
        <f>T("510146821")</f>
        <v>510146821</v>
      </c>
      <c r="F841" s="19" t="s">
        <v>16</v>
      </c>
      <c r="G841" s="19" t="s">
        <v>14</v>
      </c>
      <c r="H841" s="19" t="str">
        <f>T("607252858")</f>
        <v>607252858</v>
      </c>
      <c r="I841" s="19" t="s">
        <v>34</v>
      </c>
      <c r="J841" s="19" t="s">
        <v>716</v>
      </c>
      <c r="K841" s="19" t="str">
        <f>T("63100")</f>
        <v>63100</v>
      </c>
      <c r="L841" s="19" t="s">
        <v>19</v>
      </c>
      <c r="M841" s="21" t="s">
        <v>0</v>
      </c>
      <c r="N841" s="31">
        <v>45222</v>
      </c>
    </row>
    <row r="842" spans="1:14" ht="16" hidden="1" x14ac:dyDescent="0.2">
      <c r="A842" s="19" t="s">
        <v>2049</v>
      </c>
      <c r="B842" s="20">
        <v>45218</v>
      </c>
      <c r="C842" s="19" t="str">
        <f>T("330243025:0830381358")</f>
        <v>330243025:0830381358</v>
      </c>
      <c r="D842" s="19" t="str">
        <f>T("CDC128257 DIVPG S")</f>
        <v>CDC128257 DIVPG S</v>
      </c>
      <c r="E842" s="19" t="str">
        <f>T("510146872")</f>
        <v>510146872</v>
      </c>
      <c r="F842" s="19" t="s">
        <v>17</v>
      </c>
      <c r="G842" s="19" t="s">
        <v>14</v>
      </c>
      <c r="H842" s="19" t="str">
        <f>T("607252861")</f>
        <v>607252861</v>
      </c>
      <c r="I842" s="19" t="s">
        <v>26</v>
      </c>
      <c r="J842" s="19" t="s">
        <v>2050</v>
      </c>
      <c r="K842" s="19" t="str">
        <f>T("40990")</f>
        <v>40990</v>
      </c>
      <c r="L842" s="19" t="s">
        <v>19</v>
      </c>
      <c r="M842" s="21" t="s">
        <v>0</v>
      </c>
      <c r="N842" s="31">
        <v>45222</v>
      </c>
    </row>
    <row r="843" spans="1:14" ht="16" hidden="1" x14ac:dyDescent="0.2">
      <c r="A843" s="19" t="s">
        <v>2051</v>
      </c>
      <c r="B843" s="20">
        <v>45218</v>
      </c>
      <c r="C843" s="19" t="str">
        <f>T("330243027:0830381360")</f>
        <v>330243027:0830381360</v>
      </c>
      <c r="D843" s="19" t="str">
        <f>T("CF103861")</f>
        <v>CF103861</v>
      </c>
      <c r="E843" s="19" t="str">
        <f>T("510146919")</f>
        <v>510146919</v>
      </c>
      <c r="F843" s="19" t="s">
        <v>17</v>
      </c>
      <c r="G843" s="19" t="s">
        <v>14</v>
      </c>
      <c r="H843" s="19" t="str">
        <f>T("607252875")</f>
        <v>607252875</v>
      </c>
      <c r="I843" s="19" t="s">
        <v>34</v>
      </c>
      <c r="J843" s="19" t="s">
        <v>716</v>
      </c>
      <c r="K843" s="19" t="str">
        <f>T("63100")</f>
        <v>63100</v>
      </c>
      <c r="L843" s="19" t="s">
        <v>19</v>
      </c>
      <c r="M843" s="21" t="s">
        <v>0</v>
      </c>
      <c r="N843" s="31">
        <v>45222</v>
      </c>
    </row>
    <row r="844" spans="1:14" ht="16" hidden="1" x14ac:dyDescent="0.2">
      <c r="A844" s="19" t="s">
        <v>2052</v>
      </c>
      <c r="B844" s="20">
        <v>45218</v>
      </c>
      <c r="C844" s="19" t="str">
        <f>T("330243026:0830381359")</f>
        <v>330243026:0830381359</v>
      </c>
      <c r="D844" s="19" t="str">
        <f>T("ACMR - RAW-35NHB")</f>
        <v>ACMR - RAW-35NHB</v>
      </c>
      <c r="E844" s="19" t="str">
        <f>T("510146871")</f>
        <v>510146871</v>
      </c>
      <c r="F844" s="19" t="s">
        <v>17</v>
      </c>
      <c r="G844" s="19" t="s">
        <v>14</v>
      </c>
      <c r="H844" s="19" t="str">
        <f>T("607252889")</f>
        <v>607252889</v>
      </c>
      <c r="I844" s="19" t="s">
        <v>219</v>
      </c>
      <c r="J844" s="19" t="s">
        <v>2053</v>
      </c>
      <c r="K844" s="19" t="str">
        <f>T("71100")</f>
        <v>71100</v>
      </c>
      <c r="L844" s="19" t="s">
        <v>19</v>
      </c>
      <c r="M844" s="21" t="s">
        <v>0</v>
      </c>
      <c r="N844" s="31">
        <v>45219</v>
      </c>
    </row>
    <row r="845" spans="1:14" ht="16" hidden="1" x14ac:dyDescent="0.2">
      <c r="A845" s="19" t="s">
        <v>2054</v>
      </c>
      <c r="B845" s="20">
        <v>45218</v>
      </c>
      <c r="C845" s="19" t="str">
        <f>T("330242990:0830381331")</f>
        <v>330242990:0830381331</v>
      </c>
      <c r="D845" s="19" t="str">
        <f>T("Bigland")</f>
        <v>Bigland</v>
      </c>
      <c r="E845" s="19" t="str">
        <f>T("510146831")</f>
        <v>510146831</v>
      </c>
      <c r="F845" s="19" t="s">
        <v>17</v>
      </c>
      <c r="G845" s="19" t="s">
        <v>14</v>
      </c>
      <c r="H845" s="19" t="str">
        <f>T("607252892")</f>
        <v>607252892</v>
      </c>
      <c r="I845" s="19" t="s">
        <v>2055</v>
      </c>
      <c r="J845" s="19" t="s">
        <v>2056</v>
      </c>
      <c r="K845" s="19" t="str">
        <f>T("69110")</f>
        <v>69110</v>
      </c>
      <c r="L845" s="19" t="s">
        <v>19</v>
      </c>
      <c r="M845" s="21" t="s">
        <v>0</v>
      </c>
      <c r="N845" s="31">
        <v>45219</v>
      </c>
    </row>
    <row r="846" spans="1:14" ht="16" hidden="1" x14ac:dyDescent="0.2">
      <c r="A846" s="19" t="s">
        <v>2057</v>
      </c>
      <c r="B846" s="20">
        <v>45218</v>
      </c>
      <c r="C846" s="19" t="str">
        <f>T("330242988:0830381329")</f>
        <v>330242988:0830381329</v>
      </c>
      <c r="D846" s="19" t="str">
        <f>T("SOL2310FBC009068-")</f>
        <v>SOL2310FBC009068-</v>
      </c>
      <c r="E846" s="19" t="str">
        <f>T("510146834")</f>
        <v>510146834</v>
      </c>
      <c r="F846" s="19" t="s">
        <v>17</v>
      </c>
      <c r="G846" s="19" t="s">
        <v>14</v>
      </c>
      <c r="H846" s="19" t="str">
        <f>T("607252901")</f>
        <v>607252901</v>
      </c>
      <c r="I846" s="19" t="s">
        <v>2058</v>
      </c>
      <c r="J846" s="19" t="s">
        <v>430</v>
      </c>
      <c r="K846" s="19" t="str">
        <f>T("02820")</f>
        <v>02820</v>
      </c>
      <c r="L846" s="19" t="s">
        <v>19</v>
      </c>
      <c r="M846" s="21" t="s">
        <v>0</v>
      </c>
      <c r="N846" s="31">
        <v>45219</v>
      </c>
    </row>
    <row r="847" spans="1:14" ht="16" hidden="1" x14ac:dyDescent="0.2">
      <c r="A847" s="19" t="s">
        <v>2059</v>
      </c>
      <c r="B847" s="20">
        <v>45218</v>
      </c>
      <c r="C847" s="19" t="str">
        <f>T("330242404:0830380286")</f>
        <v>330242404:0830380286</v>
      </c>
      <c r="D847" s="19" t="str">
        <f>T("2310003")</f>
        <v>2310003</v>
      </c>
      <c r="E847" s="19" t="str">
        <f>T("510146690")</f>
        <v>510146690</v>
      </c>
      <c r="F847" s="19" t="s">
        <v>16</v>
      </c>
      <c r="G847" s="19" t="s">
        <v>14</v>
      </c>
      <c r="H847" s="19" t="str">
        <f>T("607252915")</f>
        <v>607252915</v>
      </c>
      <c r="I847" s="19" t="s">
        <v>2060</v>
      </c>
      <c r="J847" s="19" t="s">
        <v>59</v>
      </c>
      <c r="K847" s="19" t="str">
        <f>T("59180")</f>
        <v>59180</v>
      </c>
      <c r="L847" s="19" t="s">
        <v>19</v>
      </c>
      <c r="M847" s="21" t="s">
        <v>0</v>
      </c>
      <c r="N847" s="31">
        <v>45222</v>
      </c>
    </row>
    <row r="848" spans="1:14" ht="16" hidden="1" x14ac:dyDescent="0.2">
      <c r="A848" s="19" t="s">
        <v>2061</v>
      </c>
      <c r="B848" s="20">
        <v>45218</v>
      </c>
      <c r="C848" s="19" t="str">
        <f>T("330243101:0830381404")</f>
        <v>330243101:0830381404</v>
      </c>
      <c r="D848" s="19" t="str">
        <f>T("CDC127419 MB0073")</f>
        <v>CDC127419 MB0073</v>
      </c>
      <c r="E848" s="19" t="str">
        <f>T("510146076")</f>
        <v>510146076</v>
      </c>
      <c r="F848" s="19" t="s">
        <v>17</v>
      </c>
      <c r="G848" s="19" t="s">
        <v>14</v>
      </c>
      <c r="H848" s="19" t="str">
        <f>T("607252929")</f>
        <v>607252929</v>
      </c>
      <c r="I848" s="19" t="s">
        <v>26</v>
      </c>
      <c r="J848" s="19" t="s">
        <v>2062</v>
      </c>
      <c r="K848" s="19" t="str">
        <f>T("33700")</f>
        <v>33700</v>
      </c>
      <c r="L848" s="19" t="s">
        <v>19</v>
      </c>
      <c r="M848" s="21" t="s">
        <v>0</v>
      </c>
      <c r="N848" s="31">
        <v>45219</v>
      </c>
    </row>
    <row r="849" spans="1:14" ht="16" x14ac:dyDescent="0.2">
      <c r="A849" s="19" t="s">
        <v>2063</v>
      </c>
      <c r="B849" s="20">
        <v>45218</v>
      </c>
      <c r="C849" s="19" t="str">
        <f>T("330242987:0830381328")</f>
        <v>330242987:0830381328</v>
      </c>
      <c r="D849" s="19" t="str">
        <f>T("CDC128225 D0025 S")</f>
        <v>CDC128225 D0025 S</v>
      </c>
      <c r="E849" s="19" t="str">
        <f>T("510146835")</f>
        <v>510146835</v>
      </c>
      <c r="F849" s="19" t="s">
        <v>17</v>
      </c>
      <c r="G849" s="19" t="s">
        <v>14</v>
      </c>
      <c r="H849" s="19" t="str">
        <f>T("607252932")</f>
        <v>607252932</v>
      </c>
      <c r="I849" s="19" t="s">
        <v>2064</v>
      </c>
      <c r="J849" s="19" t="s">
        <v>2065</v>
      </c>
      <c r="K849" s="19" t="str">
        <f>T("64250")</f>
        <v>64250</v>
      </c>
      <c r="L849" s="19" t="s">
        <v>19</v>
      </c>
      <c r="M849" s="21" t="s">
        <v>1</v>
      </c>
      <c r="N849" s="21"/>
    </row>
    <row r="850" spans="1:14" ht="16" hidden="1" x14ac:dyDescent="0.2">
      <c r="A850" s="19" t="s">
        <v>2066</v>
      </c>
      <c r="B850" s="20">
        <v>45218</v>
      </c>
      <c r="C850" s="19" t="str">
        <f>T("330243043:0830381368")</f>
        <v>330243043:0830381368</v>
      </c>
      <c r="D850" s="19" t="str">
        <f>T("WC DELPECH")</f>
        <v>WC DELPECH</v>
      </c>
      <c r="E850" s="19" t="str">
        <f>T("510146881")</f>
        <v>510146881</v>
      </c>
      <c r="F850" s="19" t="s">
        <v>17</v>
      </c>
      <c r="G850" s="19" t="s">
        <v>14</v>
      </c>
      <c r="H850" s="19" t="str">
        <f>T("607252946")</f>
        <v>607252946</v>
      </c>
      <c r="I850" s="19" t="s">
        <v>327</v>
      </c>
      <c r="J850" s="19" t="s">
        <v>328</v>
      </c>
      <c r="K850" s="19" t="str">
        <f>T("46000")</f>
        <v>46000</v>
      </c>
      <c r="L850" s="19" t="s">
        <v>19</v>
      </c>
      <c r="M850" s="21" t="s">
        <v>0</v>
      </c>
      <c r="N850" s="31">
        <v>45222</v>
      </c>
    </row>
    <row r="851" spans="1:14" ht="16" x14ac:dyDescent="0.2">
      <c r="A851" s="19" t="s">
        <v>2067</v>
      </c>
      <c r="B851" s="20">
        <v>45218</v>
      </c>
      <c r="C851" s="19" t="str">
        <f>T("330243056:0830381378")</f>
        <v>330243056:0830381378</v>
      </c>
      <c r="D851" s="19" t="str">
        <f>T("WC LM")</f>
        <v>WC LM</v>
      </c>
      <c r="E851" s="19" t="str">
        <f>T("510146895")</f>
        <v>510146895</v>
      </c>
      <c r="F851" s="19" t="s">
        <v>17</v>
      </c>
      <c r="G851" s="19" t="s">
        <v>14</v>
      </c>
      <c r="H851" s="19" t="str">
        <f>T("607252950")</f>
        <v>607252950</v>
      </c>
      <c r="I851" s="19" t="s">
        <v>22</v>
      </c>
      <c r="J851" s="19" t="s">
        <v>2068</v>
      </c>
      <c r="K851" s="19" t="str">
        <f>T("38000")</f>
        <v>38000</v>
      </c>
      <c r="L851" s="19" t="s">
        <v>19</v>
      </c>
      <c r="M851" s="21" t="s">
        <v>1</v>
      </c>
      <c r="N851" s="21"/>
    </row>
    <row r="852" spans="1:14" ht="16" x14ac:dyDescent="0.2">
      <c r="A852" s="19" t="s">
        <v>2069</v>
      </c>
      <c r="B852" s="20">
        <v>45218</v>
      </c>
      <c r="C852" s="19" t="str">
        <f>T("330242997:0830381433")</f>
        <v>330242997:0830381433</v>
      </c>
      <c r="D852" s="19" t="str">
        <f>T("WC DESPOR")</f>
        <v>WC DESPOR</v>
      </c>
      <c r="E852" s="19" t="str">
        <f>T("510146862")</f>
        <v>510146862</v>
      </c>
      <c r="F852" s="19" t="s">
        <v>17</v>
      </c>
      <c r="G852" s="19" t="s">
        <v>14</v>
      </c>
      <c r="H852" s="19" t="str">
        <f>T("607252963")</f>
        <v>607252963</v>
      </c>
      <c r="I852" s="19" t="s">
        <v>2070</v>
      </c>
      <c r="J852" s="19" t="s">
        <v>2071</v>
      </c>
      <c r="K852" s="19" t="str">
        <f>T("46700")</f>
        <v>46700</v>
      </c>
      <c r="L852" s="19" t="s">
        <v>19</v>
      </c>
      <c r="M852" s="21" t="s">
        <v>1</v>
      </c>
      <c r="N852" s="21"/>
    </row>
    <row r="853" spans="1:14" ht="16" hidden="1" x14ac:dyDescent="0.2">
      <c r="A853" s="19" t="s">
        <v>2072</v>
      </c>
      <c r="B853" s="20">
        <v>45218</v>
      </c>
      <c r="C853" s="19" t="str">
        <f>T("330243019:0830381352")</f>
        <v>330243019:0830381352</v>
      </c>
      <c r="D853" s="19" t="str">
        <f>T("IF RAK50RXB")</f>
        <v>IF RAK50RXB</v>
      </c>
      <c r="E853" s="19" t="str">
        <f>T("510146809")</f>
        <v>510146809</v>
      </c>
      <c r="F853" s="19" t="s">
        <v>17</v>
      </c>
      <c r="G853" s="19" t="s">
        <v>14</v>
      </c>
      <c r="H853" s="19" t="str">
        <f>T("607252977")</f>
        <v>607252977</v>
      </c>
      <c r="I853" s="19" t="s">
        <v>219</v>
      </c>
      <c r="J853" s="19" t="s">
        <v>2073</v>
      </c>
      <c r="K853" s="19" t="str">
        <f>T("42000")</f>
        <v>42000</v>
      </c>
      <c r="L853" s="19" t="s">
        <v>19</v>
      </c>
      <c r="M853" s="21" t="s">
        <v>0</v>
      </c>
      <c r="N853" s="31">
        <v>45219</v>
      </c>
    </row>
    <row r="854" spans="1:14" ht="16" hidden="1" x14ac:dyDescent="0.2">
      <c r="A854" s="19" t="s">
        <v>2074</v>
      </c>
      <c r="B854" s="20">
        <v>45218</v>
      </c>
      <c r="C854" s="19" t="str">
        <f>T("330243016:0830381349")</f>
        <v>330243016:0830381349</v>
      </c>
      <c r="D854" s="19" t="str">
        <f>T("PR230417")</f>
        <v>PR230417</v>
      </c>
      <c r="E854" s="19" t="str">
        <f>T("510146806")</f>
        <v>510146806</v>
      </c>
      <c r="F854" s="19" t="s">
        <v>17</v>
      </c>
      <c r="G854" s="19" t="s">
        <v>14</v>
      </c>
      <c r="H854" s="19" t="str">
        <f>T("607252985")</f>
        <v>607252985</v>
      </c>
      <c r="I854" s="19" t="s">
        <v>1854</v>
      </c>
      <c r="J854" s="19" t="s">
        <v>1855</v>
      </c>
      <c r="K854" s="19" t="str">
        <f>T("69400")</f>
        <v>69400</v>
      </c>
      <c r="L854" s="19" t="s">
        <v>19</v>
      </c>
      <c r="M854" s="21" t="s">
        <v>0</v>
      </c>
      <c r="N854" s="31">
        <v>45219</v>
      </c>
    </row>
    <row r="855" spans="1:14" ht="16" hidden="1" x14ac:dyDescent="0.2">
      <c r="A855" s="19" t="s">
        <v>2075</v>
      </c>
      <c r="B855" s="20">
        <v>45218</v>
      </c>
      <c r="C855" s="19" t="str">
        <f>T("330242992:0830381332")</f>
        <v>330242992:0830381332</v>
      </c>
      <c r="D855" s="19" t="str">
        <f>T("CHAUVEAU")</f>
        <v>CHAUVEAU</v>
      </c>
      <c r="E855" s="19" t="str">
        <f>T("510146703")</f>
        <v>510146703</v>
      </c>
      <c r="F855" s="19" t="s">
        <v>17</v>
      </c>
      <c r="G855" s="19" t="s">
        <v>14</v>
      </c>
      <c r="H855" s="19" t="str">
        <f>T("607252994")</f>
        <v>607252994</v>
      </c>
      <c r="I855" s="19" t="s">
        <v>369</v>
      </c>
      <c r="J855" s="19" t="s">
        <v>381</v>
      </c>
      <c r="K855" s="19" t="str">
        <f>T("36000")</f>
        <v>36000</v>
      </c>
      <c r="L855" s="19" t="s">
        <v>19</v>
      </c>
      <c r="M855" s="21" t="s">
        <v>0</v>
      </c>
      <c r="N855" s="31">
        <v>45222</v>
      </c>
    </row>
    <row r="856" spans="1:14" ht="16" hidden="1" x14ac:dyDescent="0.2">
      <c r="A856" s="19" t="s">
        <v>2076</v>
      </c>
      <c r="B856" s="20">
        <v>45218</v>
      </c>
      <c r="C856" s="19" t="str">
        <f>T("330243012:0830381345")</f>
        <v>330243012:0830381345</v>
      </c>
      <c r="D856" s="19" t="str">
        <f>T("CDC128191 E0094 S")</f>
        <v>CDC128191 E0094 S</v>
      </c>
      <c r="E856" s="19" t="str">
        <f>T("510146814")</f>
        <v>510146814</v>
      </c>
      <c r="F856" s="19" t="s">
        <v>17</v>
      </c>
      <c r="G856" s="19" t="s">
        <v>14</v>
      </c>
      <c r="H856" s="19" t="str">
        <f>T("607253005")</f>
        <v>607253005</v>
      </c>
      <c r="I856" s="19" t="s">
        <v>76</v>
      </c>
      <c r="J856" s="19" t="s">
        <v>2077</v>
      </c>
      <c r="K856" s="19" t="str">
        <f>T("33270")</f>
        <v>33270</v>
      </c>
      <c r="L856" s="19" t="s">
        <v>19</v>
      </c>
      <c r="M856" s="21" t="s">
        <v>0</v>
      </c>
      <c r="N856" s="31">
        <v>45219</v>
      </c>
    </row>
    <row r="857" spans="1:14" ht="16" hidden="1" x14ac:dyDescent="0.2">
      <c r="A857" s="19" t="s">
        <v>2078</v>
      </c>
      <c r="B857" s="20">
        <v>45218</v>
      </c>
      <c r="C857" s="19" t="str">
        <f>T("330243044:0830381369")</f>
        <v>330243044:0830381369</v>
      </c>
      <c r="D857" s="19" t="str">
        <f>T("CIF")</f>
        <v>CIF</v>
      </c>
      <c r="E857" s="19" t="str">
        <f>T("510146880")</f>
        <v>510146880</v>
      </c>
      <c r="F857" s="19" t="s">
        <v>17</v>
      </c>
      <c r="G857" s="19" t="s">
        <v>14</v>
      </c>
      <c r="H857" s="19" t="str">
        <f>T("607253028")</f>
        <v>607253028</v>
      </c>
      <c r="I857" s="19" t="s">
        <v>1517</v>
      </c>
      <c r="J857" s="19" t="s">
        <v>2079</v>
      </c>
      <c r="K857" s="19" t="str">
        <f>T("33310")</f>
        <v>33310</v>
      </c>
      <c r="L857" s="19" t="s">
        <v>19</v>
      </c>
      <c r="M857" s="21" t="s">
        <v>0</v>
      </c>
      <c r="N857" s="31">
        <v>45219</v>
      </c>
    </row>
    <row r="858" spans="1:14" ht="16" hidden="1" x14ac:dyDescent="0.2">
      <c r="A858" s="19" t="s">
        <v>2080</v>
      </c>
      <c r="B858" s="20">
        <v>45218</v>
      </c>
      <c r="C858" s="19" t="str">
        <f>T("330243007:0830381342")</f>
        <v>330243007:0830381342</v>
      </c>
      <c r="D858" s="19" t="str">
        <f>T("THIEBAUD LOGIE")</f>
        <v>THIEBAUD LOGIE</v>
      </c>
      <c r="E858" s="19" t="str">
        <f>T("510146820")</f>
        <v>510146820</v>
      </c>
      <c r="F858" s="19" t="s">
        <v>17</v>
      </c>
      <c r="G858" s="19" t="s">
        <v>14</v>
      </c>
      <c r="H858" s="19" t="str">
        <f>T("607253014")</f>
        <v>607253014</v>
      </c>
      <c r="I858" s="19" t="s">
        <v>369</v>
      </c>
      <c r="J858" s="19" t="s">
        <v>370</v>
      </c>
      <c r="K858" s="19" t="str">
        <f>T("36000")</f>
        <v>36000</v>
      </c>
      <c r="L858" s="19" t="s">
        <v>19</v>
      </c>
      <c r="M858" s="21" t="s">
        <v>0</v>
      </c>
      <c r="N858" s="31">
        <v>45222</v>
      </c>
    </row>
    <row r="859" spans="1:14" ht="16" hidden="1" x14ac:dyDescent="0.2">
      <c r="A859" s="19" t="s">
        <v>2081</v>
      </c>
      <c r="B859" s="20">
        <v>45218</v>
      </c>
      <c r="C859" s="19" t="str">
        <f>T("330243045:0830381370")</f>
        <v>330243045:0830381370</v>
      </c>
      <c r="D859" s="19" t="str">
        <f>T("24100093 - SAV PA")</f>
        <v>24100093 - SAV PA</v>
      </c>
      <c r="E859" s="19" t="str">
        <f>T("510146879")</f>
        <v>510146879</v>
      </c>
      <c r="F859" s="19" t="s">
        <v>17</v>
      </c>
      <c r="G859" s="19" t="s">
        <v>14</v>
      </c>
      <c r="H859" s="19" t="str">
        <f>T("607253031")</f>
        <v>607253031</v>
      </c>
      <c r="I859" s="19" t="s">
        <v>2082</v>
      </c>
      <c r="J859" s="19" t="s">
        <v>2083</v>
      </c>
      <c r="K859" s="19" t="str">
        <f>T("33320")</f>
        <v>33320</v>
      </c>
      <c r="L859" s="19" t="s">
        <v>19</v>
      </c>
      <c r="M859" s="21" t="s">
        <v>0</v>
      </c>
      <c r="N859" s="31">
        <v>45219</v>
      </c>
    </row>
    <row r="860" spans="1:14" ht="16" x14ac:dyDescent="0.2">
      <c r="A860" s="19" t="s">
        <v>2084</v>
      </c>
      <c r="B860" s="20">
        <v>45218</v>
      </c>
      <c r="C860" s="19" t="str">
        <f>T("330243034:0830381363")</f>
        <v>330243034:0830381363</v>
      </c>
      <c r="D860" s="19" t="str">
        <f>T("CDC128288 S0103 S")</f>
        <v>CDC128288 S0103 S</v>
      </c>
      <c r="E860" s="19" t="str">
        <f>T("510146909")</f>
        <v>510146909</v>
      </c>
      <c r="F860" s="19" t="s">
        <v>17</v>
      </c>
      <c r="G860" s="19" t="s">
        <v>14</v>
      </c>
      <c r="H860" s="19" t="str">
        <f>T("607253045")</f>
        <v>607253045</v>
      </c>
      <c r="I860" s="19" t="s">
        <v>2085</v>
      </c>
      <c r="J860" s="19" t="s">
        <v>2086</v>
      </c>
      <c r="K860" s="19" t="str">
        <f>T("64700")</f>
        <v>64700</v>
      </c>
      <c r="L860" s="19" t="s">
        <v>19</v>
      </c>
      <c r="M860" s="21" t="s">
        <v>1</v>
      </c>
      <c r="N860" s="21"/>
    </row>
    <row r="861" spans="1:14" ht="16" hidden="1" x14ac:dyDescent="0.2">
      <c r="A861" s="19" t="s">
        <v>2087</v>
      </c>
      <c r="B861" s="20">
        <v>45218</v>
      </c>
      <c r="C861" s="19" t="str">
        <f>T("330243091:0830381397")</f>
        <v>330243091:0830381397</v>
      </c>
      <c r="D861" s="19" t="str">
        <f>T("8068P - TECMAT SE")</f>
        <v>8068P - TECMAT SE</v>
      </c>
      <c r="E861" s="19" t="str">
        <f>T("510146633")</f>
        <v>510146633</v>
      </c>
      <c r="F861" s="19" t="s">
        <v>17</v>
      </c>
      <c r="G861" s="19" t="s">
        <v>14</v>
      </c>
      <c r="H861" s="19" t="str">
        <f>T("607253059")</f>
        <v>607253059</v>
      </c>
      <c r="I861" s="19" t="s">
        <v>2088</v>
      </c>
      <c r="J861" s="19" t="s">
        <v>2089</v>
      </c>
      <c r="K861" s="19" t="str">
        <f>T("69630")</f>
        <v>69630</v>
      </c>
      <c r="L861" s="19" t="s">
        <v>19</v>
      </c>
      <c r="M861" s="21" t="s">
        <v>0</v>
      </c>
      <c r="N861" s="31">
        <v>45219</v>
      </c>
    </row>
    <row r="862" spans="1:14" ht="16" hidden="1" x14ac:dyDescent="0.2">
      <c r="A862" s="19" t="s">
        <v>2090</v>
      </c>
      <c r="B862" s="20">
        <v>45218</v>
      </c>
      <c r="C862" s="19" t="str">
        <f>T("330243017:0830381350")</f>
        <v>330243017:0830381350</v>
      </c>
      <c r="D862" s="19" t="str">
        <f>T("WC BADOIL")</f>
        <v>WC BADOIL</v>
      </c>
      <c r="E862" s="19" t="str">
        <f>T("510146805")</f>
        <v>510146805</v>
      </c>
      <c r="F862" s="19" t="s">
        <v>17</v>
      </c>
      <c r="G862" s="19" t="s">
        <v>14</v>
      </c>
      <c r="H862" s="19" t="str">
        <f>T("607253062")</f>
        <v>607253062</v>
      </c>
      <c r="I862" s="19" t="s">
        <v>2091</v>
      </c>
      <c r="J862" s="19" t="s">
        <v>2092</v>
      </c>
      <c r="K862" s="19" t="str">
        <f>T("26250")</f>
        <v>26250</v>
      </c>
      <c r="L862" s="19" t="s">
        <v>19</v>
      </c>
      <c r="M862" s="21" t="s">
        <v>0</v>
      </c>
      <c r="N862" s="31">
        <v>45222</v>
      </c>
    </row>
    <row r="863" spans="1:14" ht="16" hidden="1" x14ac:dyDescent="0.2">
      <c r="A863" s="19" t="s">
        <v>2093</v>
      </c>
      <c r="B863" s="20">
        <v>45218</v>
      </c>
      <c r="C863" s="19" t="str">
        <f>T("330243102:0830381405")</f>
        <v>330243102:0830381405</v>
      </c>
      <c r="D863" s="19" t="str">
        <f>T("CDC127417 MB0001")</f>
        <v>CDC127417 MB0001</v>
      </c>
      <c r="E863" s="19" t="str">
        <f>T("510146074")</f>
        <v>510146074</v>
      </c>
      <c r="F863" s="19" t="s">
        <v>17</v>
      </c>
      <c r="G863" s="19" t="s">
        <v>14</v>
      </c>
      <c r="H863" s="19" t="str">
        <f>T("607253076")</f>
        <v>607253076</v>
      </c>
      <c r="I863" s="19" t="s">
        <v>2094</v>
      </c>
      <c r="J863" s="19" t="s">
        <v>2095</v>
      </c>
      <c r="K863" s="19" t="str">
        <f>T("47600")</f>
        <v>47600</v>
      </c>
      <c r="L863" s="19" t="s">
        <v>19</v>
      </c>
      <c r="M863" s="21" t="s">
        <v>0</v>
      </c>
      <c r="N863" s="31">
        <v>45222</v>
      </c>
    </row>
    <row r="864" spans="1:14" ht="16" hidden="1" x14ac:dyDescent="0.2">
      <c r="A864" s="19" t="s">
        <v>2096</v>
      </c>
      <c r="B864" s="20">
        <v>45218</v>
      </c>
      <c r="C864" s="19" t="str">
        <f>T("330243046:0830381371")</f>
        <v>330243046:0830381371</v>
      </c>
      <c r="D864" s="19" t="str">
        <f>T("00100490-8066")</f>
        <v>00100490-8066</v>
      </c>
      <c r="E864" s="19" t="str">
        <f>T("510146876")</f>
        <v>510146876</v>
      </c>
      <c r="F864" s="19" t="s">
        <v>17</v>
      </c>
      <c r="G864" s="19" t="s">
        <v>14</v>
      </c>
      <c r="H864" s="19" t="str">
        <f>T("607253080")</f>
        <v>607253080</v>
      </c>
      <c r="I864" s="19" t="s">
        <v>2097</v>
      </c>
      <c r="J864" s="19" t="s">
        <v>2098</v>
      </c>
      <c r="K864" s="19" t="str">
        <f>T("59370")</f>
        <v>59370</v>
      </c>
      <c r="L864" s="19" t="s">
        <v>19</v>
      </c>
      <c r="M864" s="21" t="s">
        <v>0</v>
      </c>
      <c r="N864" s="31">
        <v>45219</v>
      </c>
    </row>
    <row r="865" spans="1:14" ht="16" hidden="1" x14ac:dyDescent="0.2">
      <c r="A865" s="19" t="s">
        <v>2099</v>
      </c>
      <c r="B865" s="20">
        <v>45218</v>
      </c>
      <c r="C865" s="19" t="str">
        <f>T("330243053:0830381375")</f>
        <v>330243053:0830381375</v>
      </c>
      <c r="D865" s="19" t="str">
        <f>T("WC-SAV3")</f>
        <v>WC-SAV3</v>
      </c>
      <c r="E865" s="19" t="str">
        <f>T("510146898")</f>
        <v>510146898</v>
      </c>
      <c r="F865" s="19" t="s">
        <v>17</v>
      </c>
      <c r="G865" s="19" t="s">
        <v>14</v>
      </c>
      <c r="H865" s="19" t="str">
        <f>T("607253093")</f>
        <v>607253093</v>
      </c>
      <c r="I865" s="19" t="s">
        <v>2100</v>
      </c>
      <c r="J865" s="19" t="s">
        <v>2101</v>
      </c>
      <c r="K865" s="19" t="str">
        <f>T("44300")</f>
        <v>44300</v>
      </c>
      <c r="L865" s="19" t="s">
        <v>19</v>
      </c>
      <c r="M865" s="21" t="s">
        <v>0</v>
      </c>
      <c r="N865" s="31">
        <v>45219</v>
      </c>
    </row>
    <row r="866" spans="1:14" ht="16" hidden="1" x14ac:dyDescent="0.2">
      <c r="A866" s="19" t="s">
        <v>2102</v>
      </c>
      <c r="B866" s="20">
        <v>45218</v>
      </c>
      <c r="C866" s="19" t="str">
        <f>T("330243086:0830381396")</f>
        <v>330243086:0830381396</v>
      </c>
      <c r="D866" s="19" t="str">
        <f>T("SOL2310FBC008980-")</f>
        <v>SOL2310FBC008980-</v>
      </c>
      <c r="E866" s="19" t="str">
        <f>T("510146654")</f>
        <v>510146654</v>
      </c>
      <c r="F866" s="19" t="s">
        <v>17</v>
      </c>
      <c r="G866" s="19" t="s">
        <v>14</v>
      </c>
      <c r="H866" s="19" t="str">
        <f>T("607253102")</f>
        <v>607253102</v>
      </c>
      <c r="I866" s="19" t="s">
        <v>2103</v>
      </c>
      <c r="J866" s="19" t="s">
        <v>2104</v>
      </c>
      <c r="K866" s="19" t="str">
        <f>T("38200")</f>
        <v>38200</v>
      </c>
      <c r="L866" s="19" t="s">
        <v>19</v>
      </c>
      <c r="M866" s="21" t="s">
        <v>0</v>
      </c>
      <c r="N866" s="31">
        <v>45219</v>
      </c>
    </row>
    <row r="867" spans="1:14" ht="16" hidden="1" x14ac:dyDescent="0.2">
      <c r="A867" s="19" t="s">
        <v>2105</v>
      </c>
      <c r="B867" s="20">
        <v>45218</v>
      </c>
      <c r="C867" s="19" t="str">
        <f>T("330243022:0830381355")</f>
        <v>330243022:0830381355</v>
      </c>
      <c r="D867" s="19" t="str">
        <f>T("BRUN LOC")</f>
        <v>BRUN LOC</v>
      </c>
      <c r="E867" s="19" t="str">
        <f>T("510146844")</f>
        <v>510146844</v>
      </c>
      <c r="F867" s="19" t="s">
        <v>17</v>
      </c>
      <c r="G867" s="19" t="s">
        <v>14</v>
      </c>
      <c r="H867" s="19" t="str">
        <f>T("607253116")</f>
        <v>607253116</v>
      </c>
      <c r="I867" s="19" t="s">
        <v>1517</v>
      </c>
      <c r="J867" s="19" t="s">
        <v>2079</v>
      </c>
      <c r="K867" s="19" t="str">
        <f>T("33310")</f>
        <v>33310</v>
      </c>
      <c r="L867" s="19" t="s">
        <v>19</v>
      </c>
      <c r="M867" s="21" t="s">
        <v>0</v>
      </c>
      <c r="N867" s="31">
        <v>45219</v>
      </c>
    </row>
    <row r="868" spans="1:14" ht="16" hidden="1" x14ac:dyDescent="0.2">
      <c r="A868" s="19" t="s">
        <v>2106</v>
      </c>
      <c r="B868" s="20">
        <v>45218</v>
      </c>
      <c r="C868" s="19" t="str">
        <f>T("330242986:0830381327")</f>
        <v>330242986:0830381327</v>
      </c>
      <c r="D868" s="19" t="str">
        <f>T("SOL2309FBC008584-")</f>
        <v>SOL2309FBC008584-</v>
      </c>
      <c r="E868" s="19" t="str">
        <f>T("510146836")</f>
        <v>510146836</v>
      </c>
      <c r="F868" s="19" t="s">
        <v>17</v>
      </c>
      <c r="G868" s="19" t="s">
        <v>14</v>
      </c>
      <c r="H868" s="19" t="str">
        <f>T("607253120")</f>
        <v>607253120</v>
      </c>
      <c r="I868" s="19" t="s">
        <v>2107</v>
      </c>
      <c r="J868" s="19" t="s">
        <v>2108</v>
      </c>
      <c r="K868" s="19" t="str">
        <f>T("34400")</f>
        <v>34400</v>
      </c>
      <c r="L868" s="19" t="s">
        <v>19</v>
      </c>
      <c r="M868" s="21" t="s">
        <v>0</v>
      </c>
      <c r="N868" s="31">
        <v>45219</v>
      </c>
    </row>
    <row r="869" spans="1:14" ht="16" hidden="1" x14ac:dyDescent="0.2">
      <c r="A869" s="19" t="s">
        <v>2109</v>
      </c>
      <c r="B869" s="20">
        <v>45218</v>
      </c>
      <c r="C869" s="19" t="str">
        <f>T("330243103:0830381406")</f>
        <v>330243103:0830381406</v>
      </c>
      <c r="D869" s="19" t="str">
        <f>T("CDC217410 SB0095")</f>
        <v>CDC217410 SB0095</v>
      </c>
      <c r="E869" s="19" t="str">
        <f>T("510146071")</f>
        <v>510146071</v>
      </c>
      <c r="F869" s="19" t="s">
        <v>17</v>
      </c>
      <c r="G869" s="19" t="s">
        <v>14</v>
      </c>
      <c r="H869" s="19" t="str">
        <f>T("607253133")</f>
        <v>607253133</v>
      </c>
      <c r="I869" s="19" t="s">
        <v>26</v>
      </c>
      <c r="J869" s="19" t="s">
        <v>2110</v>
      </c>
      <c r="K869" s="19" t="str">
        <f>T("16340")</f>
        <v>16340</v>
      </c>
      <c r="L869" s="19" t="s">
        <v>19</v>
      </c>
      <c r="M869" s="21" t="s">
        <v>0</v>
      </c>
      <c r="N869" s="31">
        <v>45222</v>
      </c>
    </row>
    <row r="870" spans="1:14" ht="16" x14ac:dyDescent="0.2">
      <c r="A870" s="19" t="s">
        <v>2111</v>
      </c>
      <c r="B870" s="20">
        <v>45218</v>
      </c>
      <c r="C870" s="19" t="str">
        <f>T("330243011:0830381344")</f>
        <v>330243011:0830381344</v>
      </c>
      <c r="D870" s="19" t="str">
        <f>T("WC ARTI")</f>
        <v>WC ARTI</v>
      </c>
      <c r="E870" s="19" t="str">
        <f>T("510146812")</f>
        <v>510146812</v>
      </c>
      <c r="F870" s="19" t="s">
        <v>17</v>
      </c>
      <c r="G870" s="19" t="s">
        <v>14</v>
      </c>
      <c r="H870" s="19" t="str">
        <f>T("607253147")</f>
        <v>607253147</v>
      </c>
      <c r="I870" s="19" t="s">
        <v>1866</v>
      </c>
      <c r="J870" s="19" t="s">
        <v>639</v>
      </c>
      <c r="K870" s="19" t="str">
        <f>T("26000")</f>
        <v>26000</v>
      </c>
      <c r="L870" s="19" t="s">
        <v>19</v>
      </c>
      <c r="M870" s="21" t="s">
        <v>1</v>
      </c>
      <c r="N870" s="21"/>
    </row>
    <row r="871" spans="1:14" ht="16" hidden="1" x14ac:dyDescent="0.2">
      <c r="A871" s="19" t="s">
        <v>2112</v>
      </c>
      <c r="B871" s="20">
        <v>45218</v>
      </c>
      <c r="C871" s="19" t="str">
        <f>T("330242984:0830381325")</f>
        <v>330242984:0830381325</v>
      </c>
      <c r="D871" s="19" t="str">
        <f>T("BC15930 - AR38860")</f>
        <v>BC15930 - AR38860</v>
      </c>
      <c r="E871" s="19" t="str">
        <f>T("510146840")</f>
        <v>510146840</v>
      </c>
      <c r="F871" s="19" t="s">
        <v>17</v>
      </c>
      <c r="G871" s="19" t="s">
        <v>14</v>
      </c>
      <c r="H871" s="19" t="str">
        <f>T("607253155")</f>
        <v>607253155</v>
      </c>
      <c r="I871" s="19" t="s">
        <v>2113</v>
      </c>
      <c r="J871" s="19" t="s">
        <v>2114</v>
      </c>
      <c r="K871" s="19" t="str">
        <f>T("49400")</f>
        <v>49400</v>
      </c>
      <c r="L871" s="19" t="s">
        <v>19</v>
      </c>
      <c r="M871" s="21" t="s">
        <v>0</v>
      </c>
      <c r="N871" s="31">
        <v>45219</v>
      </c>
    </row>
    <row r="872" spans="1:14" ht="16" hidden="1" x14ac:dyDescent="0.2">
      <c r="A872" s="19" t="s">
        <v>2115</v>
      </c>
      <c r="B872" s="20">
        <v>45218</v>
      </c>
      <c r="C872" s="19" t="str">
        <f>T("330243141:0830381427")</f>
        <v>330243141:0830381427</v>
      </c>
      <c r="D872" s="19" t="str">
        <f>T("C2310077 HYD 59BC")</f>
        <v>C2310077 HYD 59BC</v>
      </c>
      <c r="E872" s="19" t="str">
        <f>T("510146710")</f>
        <v>510146710</v>
      </c>
      <c r="F872" s="19" t="s">
        <v>17</v>
      </c>
      <c r="G872" s="19" t="s">
        <v>14</v>
      </c>
      <c r="H872" s="19" t="str">
        <f>T("607253164")</f>
        <v>607253164</v>
      </c>
      <c r="I872" s="19" t="s">
        <v>260</v>
      </c>
      <c r="J872" s="19" t="s">
        <v>261</v>
      </c>
      <c r="K872" s="19" t="str">
        <f>T("59650")</f>
        <v>59650</v>
      </c>
      <c r="L872" s="19" t="s">
        <v>19</v>
      </c>
      <c r="M872" s="21" t="s">
        <v>0</v>
      </c>
      <c r="N872" s="31">
        <v>45219</v>
      </c>
    </row>
    <row r="873" spans="1:14" ht="16" x14ac:dyDescent="0.2">
      <c r="A873" s="19" t="s">
        <v>2116</v>
      </c>
      <c r="B873" s="20">
        <v>45218</v>
      </c>
      <c r="C873" s="19" t="str">
        <f>T("330242375:0830380415")</f>
        <v>330242375:0830380415</v>
      </c>
      <c r="D873" s="19" t="str">
        <f>T("COMERA")</f>
        <v>COMERA</v>
      </c>
      <c r="E873" s="19" t="str">
        <f>T("510146659")</f>
        <v>510146659</v>
      </c>
      <c r="F873" s="19" t="s">
        <v>16</v>
      </c>
      <c r="G873" s="19" t="s">
        <v>14</v>
      </c>
      <c r="H873" s="19" t="str">
        <f>T("607253178")</f>
        <v>607253178</v>
      </c>
      <c r="I873" s="19" t="s">
        <v>2117</v>
      </c>
      <c r="J873" s="19" t="s">
        <v>2118</v>
      </c>
      <c r="K873" s="19" t="str">
        <f>T("10120")</f>
        <v>10120</v>
      </c>
      <c r="L873" s="19" t="s">
        <v>19</v>
      </c>
      <c r="M873" s="21" t="s">
        <v>1</v>
      </c>
      <c r="N873" s="21"/>
    </row>
    <row r="874" spans="1:14" ht="16" hidden="1" x14ac:dyDescent="0.2">
      <c r="A874" s="19" t="s">
        <v>2119</v>
      </c>
      <c r="B874" s="20">
        <v>45218</v>
      </c>
      <c r="C874" s="19" t="str">
        <f>T("330242993:0830381333")</f>
        <v>330242993:0830381333</v>
      </c>
      <c r="D874" s="19" t="str">
        <f>T("TEST CECILE")</f>
        <v>TEST CECILE</v>
      </c>
      <c r="E874" s="19" t="str">
        <f>T("510146866")</f>
        <v>510146866</v>
      </c>
      <c r="F874" s="19" t="s">
        <v>17</v>
      </c>
      <c r="G874" s="19" t="s">
        <v>14</v>
      </c>
      <c r="H874" s="19" t="str">
        <f>T("607253181")</f>
        <v>607253181</v>
      </c>
      <c r="I874" s="19" t="s">
        <v>2120</v>
      </c>
      <c r="J874" s="19" t="s">
        <v>2121</v>
      </c>
      <c r="K874" s="19" t="str">
        <f>T("44300")</f>
        <v>44300</v>
      </c>
      <c r="L874" s="19" t="s">
        <v>19</v>
      </c>
      <c r="M874" s="21" t="s">
        <v>0</v>
      </c>
      <c r="N874" s="31">
        <v>45219</v>
      </c>
    </row>
    <row r="875" spans="1:14" ht="16" hidden="1" x14ac:dyDescent="0.2">
      <c r="A875" s="19" t="s">
        <v>2122</v>
      </c>
      <c r="B875" s="20">
        <v>45218</v>
      </c>
      <c r="C875" s="19" t="str">
        <f>T("330243075:0830381390")</f>
        <v>330243075:0830381390</v>
      </c>
      <c r="D875" s="19" t="str">
        <f>T("00100347-SAV FILT")</f>
        <v>00100347-SAV FILT</v>
      </c>
      <c r="E875" s="19" t="str">
        <f>T("510146386")</f>
        <v>510146386</v>
      </c>
      <c r="F875" s="19" t="s">
        <v>17</v>
      </c>
      <c r="G875" s="19" t="s">
        <v>14</v>
      </c>
      <c r="H875" s="19" t="str">
        <f>T("607253195")</f>
        <v>607253195</v>
      </c>
      <c r="I875" s="19" t="s">
        <v>2123</v>
      </c>
      <c r="J875" s="19" t="s">
        <v>2124</v>
      </c>
      <c r="K875" s="19" t="str">
        <f>T("83310")</f>
        <v>83310</v>
      </c>
      <c r="L875" s="19" t="s">
        <v>19</v>
      </c>
      <c r="M875" s="21" t="s">
        <v>0</v>
      </c>
      <c r="N875" s="31">
        <v>45222</v>
      </c>
    </row>
    <row r="876" spans="1:14" ht="16" hidden="1" x14ac:dyDescent="0.2">
      <c r="A876" s="19" t="s">
        <v>2125</v>
      </c>
      <c r="B876" s="20">
        <v>45218</v>
      </c>
      <c r="C876" s="19" t="str">
        <f>T("330243033:0830381362")</f>
        <v>330243033:0830381362</v>
      </c>
      <c r="D876" s="19" t="str">
        <f>T("00100497-SAVRAS35")</f>
        <v>00100497-SAVRAS35</v>
      </c>
      <c r="E876" s="19" t="str">
        <f>T("510146922")</f>
        <v>510146922</v>
      </c>
      <c r="F876" s="19" t="s">
        <v>16</v>
      </c>
      <c r="G876" s="19" t="s">
        <v>14</v>
      </c>
      <c r="H876" s="19" t="str">
        <f>T("607253204")</f>
        <v>607253204</v>
      </c>
      <c r="I876" s="19" t="s">
        <v>2126</v>
      </c>
      <c r="J876" s="19" t="s">
        <v>2127</v>
      </c>
      <c r="K876" s="19" t="str">
        <f>T("13880")</f>
        <v>13880</v>
      </c>
      <c r="L876" s="19" t="s">
        <v>19</v>
      </c>
      <c r="M876" s="21" t="s">
        <v>0</v>
      </c>
      <c r="N876" s="31">
        <v>45219</v>
      </c>
    </row>
    <row r="877" spans="1:14" ht="16" hidden="1" x14ac:dyDescent="0.2">
      <c r="A877" s="19" t="s">
        <v>2128</v>
      </c>
      <c r="B877" s="20">
        <v>45218</v>
      </c>
      <c r="C877" s="19" t="str">
        <f>T("330243087:0830381458")</f>
        <v>330243087:0830381458</v>
      </c>
      <c r="D877" s="19" t="str">
        <f>T("I.P. IRM")</f>
        <v>I.P. IRM</v>
      </c>
      <c r="E877" s="19" t="str">
        <f>T("510146647")</f>
        <v>510146647</v>
      </c>
      <c r="F877" s="19" t="s">
        <v>16</v>
      </c>
      <c r="G877" s="19" t="s">
        <v>14</v>
      </c>
      <c r="H877" s="19" t="str">
        <f>T("607253218")</f>
        <v>607253218</v>
      </c>
      <c r="I877" s="19" t="s">
        <v>2016</v>
      </c>
      <c r="J877" s="19" t="s">
        <v>2017</v>
      </c>
      <c r="K877" s="19" t="str">
        <f>T("69530")</f>
        <v>69530</v>
      </c>
      <c r="L877" s="19" t="s">
        <v>19</v>
      </c>
      <c r="M877" s="21" t="s">
        <v>0</v>
      </c>
      <c r="N877" s="31">
        <v>45219</v>
      </c>
    </row>
    <row r="878" spans="1:14" ht="16" hidden="1" x14ac:dyDescent="0.2">
      <c r="A878" s="19" t="s">
        <v>2129</v>
      </c>
      <c r="B878" s="20">
        <v>45218</v>
      </c>
      <c r="C878" s="19" t="str">
        <f>T("330243104:0830381407")</f>
        <v>330243104:0830381407</v>
      </c>
      <c r="D878" s="19" t="str">
        <f>T("CA2310082")</f>
        <v>CA2310082</v>
      </c>
      <c r="E878" s="19" t="str">
        <f>T("510146618")</f>
        <v>510146618</v>
      </c>
      <c r="F878" s="19" t="s">
        <v>17</v>
      </c>
      <c r="G878" s="19" t="s">
        <v>14</v>
      </c>
      <c r="H878" s="19" t="str">
        <f>T("607253221")</f>
        <v>607253221</v>
      </c>
      <c r="I878" s="19" t="s">
        <v>1937</v>
      </c>
      <c r="J878" s="19" t="s">
        <v>1938</v>
      </c>
      <c r="K878" s="19" t="str">
        <f>T("51370")</f>
        <v>51370</v>
      </c>
      <c r="L878" s="19" t="s">
        <v>19</v>
      </c>
      <c r="M878" s="21" t="s">
        <v>0</v>
      </c>
      <c r="N878" s="31">
        <v>45219</v>
      </c>
    </row>
    <row r="879" spans="1:14" ht="16" hidden="1" x14ac:dyDescent="0.2">
      <c r="A879" s="19" t="s">
        <v>2130</v>
      </c>
      <c r="B879" s="20">
        <v>45218</v>
      </c>
      <c r="C879" s="19" t="str">
        <f>T("330243071:0830381388")</f>
        <v>330243071:0830381388</v>
      </c>
      <c r="D879" s="19" t="str">
        <f>T("161589")</f>
        <v>161589</v>
      </c>
      <c r="E879" s="19" t="str">
        <f>T("510146461")</f>
        <v>510146461</v>
      </c>
      <c r="F879" s="19" t="s">
        <v>17</v>
      </c>
      <c r="G879" s="19" t="s">
        <v>14</v>
      </c>
      <c r="H879" s="19" t="str">
        <f>T("607253235")</f>
        <v>607253235</v>
      </c>
      <c r="I879" s="19" t="s">
        <v>670</v>
      </c>
      <c r="J879" s="19" t="s">
        <v>689</v>
      </c>
      <c r="K879" s="19" t="str">
        <f>T("20600")</f>
        <v>20600</v>
      </c>
      <c r="L879" s="19" t="s">
        <v>19</v>
      </c>
      <c r="M879" s="21" t="s">
        <v>0</v>
      </c>
      <c r="N879" s="31">
        <v>45222</v>
      </c>
    </row>
    <row r="880" spans="1:14" ht="16" hidden="1" x14ac:dyDescent="0.2">
      <c r="A880" s="19" t="s">
        <v>2131</v>
      </c>
      <c r="B880" s="20">
        <v>45218</v>
      </c>
      <c r="C880" s="19" t="str">
        <f>T("330243021:0830381354")</f>
        <v>330243021:0830381354</v>
      </c>
      <c r="D880" s="19" t="str">
        <f>T("CHERPIN ERIC")</f>
        <v>CHERPIN ERIC</v>
      </c>
      <c r="E880" s="19" t="str">
        <f>T("510146810")</f>
        <v>510146810</v>
      </c>
      <c r="F880" s="19" t="s">
        <v>17</v>
      </c>
      <c r="G880" s="19" t="s">
        <v>14</v>
      </c>
      <c r="H880" s="19" t="str">
        <f>T("607253249")</f>
        <v>607253249</v>
      </c>
      <c r="I880" s="19" t="s">
        <v>1854</v>
      </c>
      <c r="J880" s="19" t="s">
        <v>1855</v>
      </c>
      <c r="K880" s="19" t="str">
        <f>T("69400")</f>
        <v>69400</v>
      </c>
      <c r="L880" s="19" t="s">
        <v>19</v>
      </c>
      <c r="M880" s="21" t="s">
        <v>0</v>
      </c>
      <c r="N880" s="31">
        <v>45219</v>
      </c>
    </row>
    <row r="881" spans="1:15" ht="16" hidden="1" x14ac:dyDescent="0.2">
      <c r="A881" s="19" t="s">
        <v>2132</v>
      </c>
      <c r="B881" s="20">
        <v>45218</v>
      </c>
      <c r="C881" s="19" t="str">
        <f>T("330243096:0830381399")</f>
        <v>330243096:0830381399</v>
      </c>
      <c r="D881" s="19" t="str">
        <f>T("w008913")</f>
        <v>w008913</v>
      </c>
      <c r="E881" s="19" t="str">
        <f>T("510146621")</f>
        <v>510146621</v>
      </c>
      <c r="F881" s="19" t="s">
        <v>17</v>
      </c>
      <c r="G881" s="19" t="s">
        <v>14</v>
      </c>
      <c r="H881" s="19" t="str">
        <f>T("607253252")</f>
        <v>607253252</v>
      </c>
      <c r="I881" s="19" t="s">
        <v>2133</v>
      </c>
      <c r="J881" s="19" t="s">
        <v>2134</v>
      </c>
      <c r="K881" s="19" t="str">
        <f>T("03250")</f>
        <v>03250</v>
      </c>
      <c r="L881" s="19" t="s">
        <v>19</v>
      </c>
      <c r="M881" s="21" t="s">
        <v>0</v>
      </c>
      <c r="N881" s="31">
        <v>45220</v>
      </c>
    </row>
    <row r="882" spans="1:15" ht="16" x14ac:dyDescent="0.2">
      <c r="A882" s="19" t="s">
        <v>2135</v>
      </c>
      <c r="B882" s="20">
        <v>45218</v>
      </c>
      <c r="C882" s="19" t="str">
        <f>T("330243030:0830381361")</f>
        <v>330243030:0830381361</v>
      </c>
      <c r="D882" s="19" t="str">
        <f>T("C10728961")</f>
        <v>C10728961</v>
      </c>
      <c r="E882" s="19" t="str">
        <f>T("510146887")</f>
        <v>510146887</v>
      </c>
      <c r="F882" s="19" t="s">
        <v>16</v>
      </c>
      <c r="G882" s="19" t="s">
        <v>14</v>
      </c>
      <c r="H882" s="19" t="str">
        <f>T("607253266")</f>
        <v>607253266</v>
      </c>
      <c r="I882" s="19" t="s">
        <v>2136</v>
      </c>
      <c r="J882" s="19" t="s">
        <v>2137</v>
      </c>
      <c r="K882" s="19" t="str">
        <f>T("21075")</f>
        <v>21075</v>
      </c>
      <c r="L882" s="19" t="s">
        <v>19</v>
      </c>
      <c r="M882" s="21" t="s">
        <v>1</v>
      </c>
      <c r="N882" s="21"/>
    </row>
    <row r="883" spans="1:15" ht="16" hidden="1" x14ac:dyDescent="0.2">
      <c r="A883" s="19" t="s">
        <v>2138</v>
      </c>
      <c r="B883" s="20">
        <v>45218</v>
      </c>
      <c r="C883" s="19" t="str">
        <f>T("330243024:0830381357")</f>
        <v>330243024:0830381357</v>
      </c>
      <c r="D883" s="19" t="str">
        <f>T("CENTAURE SAV - 36")</f>
        <v>CENTAURE SAV - 36</v>
      </c>
      <c r="E883" s="19" t="str">
        <f>T("510146873")</f>
        <v>510146873</v>
      </c>
      <c r="F883" s="19" t="s">
        <v>17</v>
      </c>
      <c r="G883" s="19" t="s">
        <v>14</v>
      </c>
      <c r="H883" s="19" t="str">
        <f>T("607253270")</f>
        <v>607253270</v>
      </c>
      <c r="I883" s="19" t="s">
        <v>1388</v>
      </c>
      <c r="J883" s="19" t="s">
        <v>1389</v>
      </c>
      <c r="K883" s="19" t="str">
        <f>T("91630")</f>
        <v>91630</v>
      </c>
      <c r="L883" s="19" t="s">
        <v>19</v>
      </c>
      <c r="M883" s="21" t="s">
        <v>0</v>
      </c>
      <c r="N883" s="31">
        <v>45219</v>
      </c>
    </row>
    <row r="884" spans="1:15" ht="16" hidden="1" x14ac:dyDescent="0.2">
      <c r="A884" s="19" t="s">
        <v>2139</v>
      </c>
      <c r="B884" s="20">
        <v>45218</v>
      </c>
      <c r="C884" s="19" t="str">
        <f>T("330243089:0830381460")</f>
        <v>330243089:0830381460</v>
      </c>
      <c r="D884" s="19" t="str">
        <f>T("DOCTEUR HUMBLOT I")</f>
        <v>DOCTEUR HUMBLOT I</v>
      </c>
      <c r="E884" s="19" t="str">
        <f>T("510146641")</f>
        <v>510146641</v>
      </c>
      <c r="F884" s="19" t="s">
        <v>16</v>
      </c>
      <c r="G884" s="19" t="s">
        <v>14</v>
      </c>
      <c r="H884" s="19" t="str">
        <f>T("607253283")</f>
        <v>607253283</v>
      </c>
      <c r="I884" s="19" t="s">
        <v>2016</v>
      </c>
      <c r="J884" s="19" t="s">
        <v>2017</v>
      </c>
      <c r="K884" s="19" t="str">
        <f>T("69530")</f>
        <v>69530</v>
      </c>
      <c r="L884" s="19" t="s">
        <v>19</v>
      </c>
      <c r="M884" s="21" t="s">
        <v>0</v>
      </c>
      <c r="N884" s="31">
        <v>45219</v>
      </c>
    </row>
    <row r="885" spans="1:15" ht="16" hidden="1" x14ac:dyDescent="0.2">
      <c r="A885" s="19" t="s">
        <v>2140</v>
      </c>
      <c r="B885" s="20">
        <v>45218</v>
      </c>
      <c r="C885" s="19" t="str">
        <f>T("330243097:0830381400")</f>
        <v>330243097:0830381400</v>
      </c>
      <c r="D885" s="19" t="str">
        <f>T("FIALON")</f>
        <v>FIALON</v>
      </c>
      <c r="E885" s="19" t="str">
        <f>T("510146619")</f>
        <v>510146619</v>
      </c>
      <c r="F885" s="19" t="s">
        <v>17</v>
      </c>
      <c r="G885" s="19" t="s">
        <v>14</v>
      </c>
      <c r="H885" s="19" t="str">
        <f>T("607253297")</f>
        <v>607253297</v>
      </c>
      <c r="I885" s="19" t="s">
        <v>1866</v>
      </c>
      <c r="J885" s="19" t="s">
        <v>24</v>
      </c>
      <c r="K885" s="19" t="str">
        <f>T("26200")</f>
        <v>26200</v>
      </c>
      <c r="L885" s="19" t="s">
        <v>19</v>
      </c>
      <c r="M885" s="21" t="s">
        <v>0</v>
      </c>
      <c r="N885" s="31">
        <v>45222</v>
      </c>
    </row>
    <row r="886" spans="1:15" ht="16" x14ac:dyDescent="0.2">
      <c r="A886" s="19" t="s">
        <v>2141</v>
      </c>
      <c r="B886" s="20">
        <v>45218</v>
      </c>
      <c r="C886" s="19" t="str">
        <f>T("330243150:0830381492")</f>
        <v>330243150:0830381492</v>
      </c>
      <c r="D886" s="19" t="str">
        <f>T("CDC128017 S0053 S")</f>
        <v>CDC128017 S0053 S</v>
      </c>
      <c r="E886" s="19" t="str">
        <f>T("510146600")</f>
        <v>510146600</v>
      </c>
      <c r="F886" s="19" t="s">
        <v>16</v>
      </c>
      <c r="G886" s="19" t="s">
        <v>14</v>
      </c>
      <c r="H886" s="19" t="str">
        <f>T("607253306")</f>
        <v>607253306</v>
      </c>
      <c r="I886" s="19" t="s">
        <v>56</v>
      </c>
      <c r="J886" s="19" t="s">
        <v>440</v>
      </c>
      <c r="K886" s="19" t="str">
        <f>T("64390")</f>
        <v>64390</v>
      </c>
      <c r="L886" s="19" t="s">
        <v>19</v>
      </c>
      <c r="M886" s="21" t="s">
        <v>1</v>
      </c>
      <c r="N886" s="21"/>
    </row>
    <row r="887" spans="1:15" ht="16" hidden="1" x14ac:dyDescent="0.2">
      <c r="A887" s="19" t="s">
        <v>2142</v>
      </c>
      <c r="B887" s="20">
        <v>45218</v>
      </c>
      <c r="C887" s="19" t="str">
        <f>T("330243062:0830381380")</f>
        <v>330243062:0830381380</v>
      </c>
      <c r="D887" s="19" t="str">
        <f>T("BC15945-AR38901")</f>
        <v>BC15945-AR38901</v>
      </c>
      <c r="E887" s="19" t="str">
        <f>T("510146845")</f>
        <v>510146845</v>
      </c>
      <c r="F887" s="19" t="s">
        <v>17</v>
      </c>
      <c r="G887" s="19" t="s">
        <v>14</v>
      </c>
      <c r="H887" s="19" t="str">
        <f>T("607253310")</f>
        <v>607253310</v>
      </c>
      <c r="I887" s="19" t="s">
        <v>2143</v>
      </c>
      <c r="J887" s="19" t="s">
        <v>2144</v>
      </c>
      <c r="K887" s="19" t="str">
        <f>T("29000")</f>
        <v>29000</v>
      </c>
      <c r="L887" s="19" t="s">
        <v>19</v>
      </c>
      <c r="M887" s="21" t="s">
        <v>0</v>
      </c>
      <c r="N887" s="31">
        <v>45219</v>
      </c>
    </row>
    <row r="888" spans="1:15" ht="16" hidden="1" x14ac:dyDescent="0.2">
      <c r="A888" s="19" t="s">
        <v>2145</v>
      </c>
      <c r="B888" s="20">
        <v>45218</v>
      </c>
      <c r="C888" s="19" t="str">
        <f>T("330243111:0830381411")</f>
        <v>330243111:0830381411</v>
      </c>
      <c r="D888" s="19" t="str">
        <f>T("00100471-11356")</f>
        <v>00100471-11356</v>
      </c>
      <c r="E888" s="19" t="str">
        <f>T("510146793")</f>
        <v>510146793</v>
      </c>
      <c r="F888" s="19" t="s">
        <v>17</v>
      </c>
      <c r="G888" s="19" t="s">
        <v>14</v>
      </c>
      <c r="H888" s="19" t="str">
        <f>T("607253323")</f>
        <v>607253323</v>
      </c>
      <c r="I888" s="19" t="s">
        <v>2146</v>
      </c>
      <c r="J888" s="19" t="s">
        <v>2147</v>
      </c>
      <c r="K888" s="19" t="str">
        <f>T("45340")</f>
        <v>45340</v>
      </c>
      <c r="L888" s="19" t="s">
        <v>19</v>
      </c>
      <c r="M888" s="21" t="s">
        <v>0</v>
      </c>
      <c r="N888" s="31">
        <v>45219</v>
      </c>
    </row>
    <row r="889" spans="1:15" ht="16" hidden="1" x14ac:dyDescent="0.2">
      <c r="A889" s="19" t="s">
        <v>2148</v>
      </c>
      <c r="B889" s="20">
        <v>45218</v>
      </c>
      <c r="C889" s="19" t="str">
        <f>T("330243050:0830381446")</f>
        <v>330243050:0830381446</v>
      </c>
      <c r="D889" s="19" t="str">
        <f>T("WC-LE HOUEROU")</f>
        <v>WC-LE HOUEROU</v>
      </c>
      <c r="E889" s="19" t="str">
        <f>T("510146901")</f>
        <v>510146901</v>
      </c>
      <c r="F889" s="19" t="s">
        <v>17</v>
      </c>
      <c r="G889" s="19" t="s">
        <v>14</v>
      </c>
      <c r="H889" s="19" t="str">
        <f>T("607253337")</f>
        <v>607253337</v>
      </c>
      <c r="I889" s="19" t="s">
        <v>2149</v>
      </c>
      <c r="J889" s="19" t="s">
        <v>2150</v>
      </c>
      <c r="K889" s="19" t="str">
        <f>T("22000")</f>
        <v>22000</v>
      </c>
      <c r="L889" s="19" t="s">
        <v>19</v>
      </c>
      <c r="M889" s="21" t="s">
        <v>0</v>
      </c>
      <c r="N889" s="31">
        <v>45222</v>
      </c>
    </row>
    <row r="890" spans="1:15" ht="16" hidden="1" x14ac:dyDescent="0.2">
      <c r="A890" s="19" t="s">
        <v>2151</v>
      </c>
      <c r="B890" s="20">
        <v>45218</v>
      </c>
      <c r="C890" s="19" t="str">
        <f>T("330243143:0830381428")</f>
        <v>330243143:0830381428</v>
      </c>
      <c r="D890" s="19" t="str">
        <f>T("925327 - 1H POUR")</f>
        <v>925327 - 1H POUR</v>
      </c>
      <c r="E890" s="19" t="str">
        <f>T("510146656")</f>
        <v>510146656</v>
      </c>
      <c r="F890" s="19" t="s">
        <v>17</v>
      </c>
      <c r="G890" s="19" t="s">
        <v>14</v>
      </c>
      <c r="H890" s="19" t="str">
        <f>T("607253345")</f>
        <v>607253345</v>
      </c>
      <c r="I890" s="19" t="s">
        <v>2152</v>
      </c>
      <c r="J890" s="19" t="s">
        <v>2153</v>
      </c>
      <c r="K890" s="19" t="str">
        <f>T("01000")</f>
        <v>01000</v>
      </c>
      <c r="L890" s="19" t="s">
        <v>19</v>
      </c>
      <c r="M890" s="21" t="s">
        <v>0</v>
      </c>
      <c r="N890" s="31">
        <v>45219</v>
      </c>
    </row>
    <row r="891" spans="1:15" ht="16" x14ac:dyDescent="0.2">
      <c r="A891" s="19" t="s">
        <v>2154</v>
      </c>
      <c r="B891" s="20">
        <v>45218</v>
      </c>
      <c r="C891" s="19" t="str">
        <f>T("330243058:0830381449")</f>
        <v>330243058:0830381449</v>
      </c>
      <c r="D891" s="19" t="str">
        <f>T("WC FIVE")</f>
        <v>WC FIVE</v>
      </c>
      <c r="E891" s="19" t="str">
        <f>T("510146893")</f>
        <v>510146893</v>
      </c>
      <c r="F891" s="19" t="s">
        <v>16</v>
      </c>
      <c r="G891" s="19" t="s">
        <v>14</v>
      </c>
      <c r="H891" s="19" t="str">
        <f>T("607253354")</f>
        <v>607253354</v>
      </c>
      <c r="I891" s="19" t="s">
        <v>22</v>
      </c>
      <c r="J891" s="19" t="s">
        <v>639</v>
      </c>
      <c r="K891" s="19" t="str">
        <f>T("26000")</f>
        <v>26000</v>
      </c>
      <c r="L891" s="19" t="s">
        <v>19</v>
      </c>
      <c r="M891" s="21" t="s">
        <v>1</v>
      </c>
      <c r="N891" s="21"/>
    </row>
    <row r="892" spans="1:15" ht="16" hidden="1" x14ac:dyDescent="0.2">
      <c r="A892" s="19" t="s">
        <v>2155</v>
      </c>
      <c r="B892" s="20">
        <v>45218</v>
      </c>
      <c r="C892" s="19" t="str">
        <f>T("330243068:0830381385")</f>
        <v>330243068:0830381385</v>
      </c>
      <c r="D892" s="19" t="str">
        <f>T("LE KIOSQUE A PIZZ")</f>
        <v>LE KIOSQUE A PIZZ</v>
      </c>
      <c r="E892" s="19" t="str">
        <f>T("510146502")</f>
        <v>510146502</v>
      </c>
      <c r="F892" s="19" t="s">
        <v>17</v>
      </c>
      <c r="G892" s="19" t="s">
        <v>14</v>
      </c>
      <c r="H892" s="19" t="str">
        <f>T("607253368")</f>
        <v>607253368</v>
      </c>
      <c r="I892" s="19" t="s">
        <v>87</v>
      </c>
      <c r="J892" s="19" t="s">
        <v>2156</v>
      </c>
      <c r="K892" s="19" t="str">
        <f>T("51100")</f>
        <v>51100</v>
      </c>
      <c r="L892" s="19" t="s">
        <v>19</v>
      </c>
      <c r="M892" s="21" t="s">
        <v>0</v>
      </c>
      <c r="N892" s="31">
        <v>45219</v>
      </c>
    </row>
    <row r="893" spans="1:15" ht="16" hidden="1" x14ac:dyDescent="0.2">
      <c r="A893" s="19" t="s">
        <v>2157</v>
      </c>
      <c r="B893" s="20">
        <v>45218</v>
      </c>
      <c r="C893" s="19" t="str">
        <f>T("330243003:0830381338")</f>
        <v>330243003:0830381338</v>
      </c>
      <c r="D893" s="19" t="str">
        <f>T("SOL2310FBC009065-")</f>
        <v>SOL2310FBC009065-</v>
      </c>
      <c r="E893" s="19" t="str">
        <f>T("510146829")</f>
        <v>510146829</v>
      </c>
      <c r="F893" s="19" t="s">
        <v>17</v>
      </c>
      <c r="G893" s="19" t="s">
        <v>14</v>
      </c>
      <c r="H893" s="19" t="str">
        <f>T("607253371")</f>
        <v>607253371</v>
      </c>
      <c r="I893" s="19" t="s">
        <v>2158</v>
      </c>
      <c r="J893" s="19" t="s">
        <v>2159</v>
      </c>
      <c r="K893" s="19" t="str">
        <f>T("31410")</f>
        <v>31410</v>
      </c>
      <c r="L893" s="19" t="s">
        <v>19</v>
      </c>
      <c r="M893" s="21" t="s">
        <v>0</v>
      </c>
      <c r="N893" s="31">
        <v>45219</v>
      </c>
    </row>
    <row r="894" spans="1:15" ht="16" x14ac:dyDescent="0.2">
      <c r="A894" s="19" t="s">
        <v>2160</v>
      </c>
      <c r="B894" s="20">
        <v>45218</v>
      </c>
      <c r="C894" s="19" t="str">
        <f>T("330243127:0830381420")</f>
        <v>330243127:0830381420</v>
      </c>
      <c r="D894" s="19" t="str">
        <f>T("897202")</f>
        <v>897202</v>
      </c>
      <c r="E894" s="19" t="str">
        <f>T("510146764")</f>
        <v>510146764</v>
      </c>
      <c r="F894" s="19" t="s">
        <v>17</v>
      </c>
      <c r="G894" s="19" t="s">
        <v>14</v>
      </c>
      <c r="H894" s="19" t="str">
        <f>T("607253385")</f>
        <v>607253385</v>
      </c>
      <c r="I894" s="19" t="s">
        <v>2161</v>
      </c>
      <c r="J894" s="19" t="s">
        <v>2162</v>
      </c>
      <c r="K894" s="19" t="str">
        <f>T("94470")</f>
        <v>94470</v>
      </c>
      <c r="L894" s="19" t="s">
        <v>19</v>
      </c>
      <c r="M894" s="21" t="s">
        <v>1</v>
      </c>
      <c r="N894" s="21"/>
      <c r="O894" s="19" t="s">
        <v>2364</v>
      </c>
    </row>
    <row r="895" spans="1:15" ht="16" hidden="1" x14ac:dyDescent="0.2">
      <c r="A895" s="19" t="s">
        <v>2163</v>
      </c>
      <c r="B895" s="20">
        <v>45218</v>
      </c>
      <c r="C895" s="19" t="str">
        <f>T("330243049:0830381372")</f>
        <v>330243049:0830381372</v>
      </c>
      <c r="D895" s="19" t="str">
        <f>T("13S11528-AP-60773")</f>
        <v>13S11528-AP-60773</v>
      </c>
      <c r="E895" s="19" t="str">
        <f>T("510146902")</f>
        <v>510146902</v>
      </c>
      <c r="F895" s="19" t="s">
        <v>17</v>
      </c>
      <c r="G895" s="19" t="s">
        <v>14</v>
      </c>
      <c r="H895" s="19" t="str">
        <f>T("607253399")</f>
        <v>607253399</v>
      </c>
      <c r="I895" s="19" t="s">
        <v>55</v>
      </c>
      <c r="J895" s="19" t="s">
        <v>775</v>
      </c>
      <c r="K895" s="19" t="str">
        <f>T("13580")</f>
        <v>13580</v>
      </c>
      <c r="L895" s="19" t="s">
        <v>19</v>
      </c>
      <c r="M895" s="21" t="s">
        <v>0</v>
      </c>
      <c r="N895" s="31">
        <v>45219</v>
      </c>
    </row>
    <row r="896" spans="1:15" ht="16" x14ac:dyDescent="0.2">
      <c r="A896" s="19" t="s">
        <v>2164</v>
      </c>
      <c r="B896" s="20">
        <v>45218</v>
      </c>
      <c r="C896" s="19" t="str">
        <f>T("330243020:0830381353")</f>
        <v>330243020:0830381353</v>
      </c>
      <c r="D896" s="19" t="str">
        <f>T("C2310073BIS HYD 4")</f>
        <v>C2310073BIS HYD 4</v>
      </c>
      <c r="E896" s="19" t="str">
        <f>T("510146803")</f>
        <v>510146803</v>
      </c>
      <c r="F896" s="19" t="s">
        <v>16</v>
      </c>
      <c r="G896" s="19" t="s">
        <v>14</v>
      </c>
      <c r="H896" s="19" t="str">
        <f>T("607253408")</f>
        <v>607253408</v>
      </c>
      <c r="I896" s="19" t="s">
        <v>1149</v>
      </c>
      <c r="J896" s="19" t="s">
        <v>2165</v>
      </c>
      <c r="K896" s="19" t="str">
        <f>T("06150")</f>
        <v>06150</v>
      </c>
      <c r="L896" s="19" t="s">
        <v>19</v>
      </c>
      <c r="M896" s="21" t="s">
        <v>1</v>
      </c>
      <c r="N896" s="21"/>
    </row>
    <row r="897" spans="1:15" ht="16" x14ac:dyDescent="0.2">
      <c r="A897" s="19" t="s">
        <v>2166</v>
      </c>
      <c r="B897" s="20">
        <v>45218</v>
      </c>
      <c r="C897" s="19" t="str">
        <f>T("330243035:0830381364")</f>
        <v>330243035:0830381364</v>
      </c>
      <c r="D897" s="19" t="str">
        <f>T("SIVOM DU BOCAGE")</f>
        <v>SIVOM DU BOCAGE</v>
      </c>
      <c r="E897" s="19" t="str">
        <f>T("510146905")</f>
        <v>510146905</v>
      </c>
      <c r="F897" s="19" t="s">
        <v>16</v>
      </c>
      <c r="G897" s="19" t="s">
        <v>14</v>
      </c>
      <c r="H897" s="19" t="str">
        <f>T("607253411")</f>
        <v>607253411</v>
      </c>
      <c r="I897" s="19" t="s">
        <v>2167</v>
      </c>
      <c r="J897" s="19" t="s">
        <v>2167</v>
      </c>
      <c r="K897" s="19" t="str">
        <f>T("72210")</f>
        <v>72210</v>
      </c>
      <c r="L897" s="19" t="s">
        <v>19</v>
      </c>
      <c r="M897" s="21" t="s">
        <v>1</v>
      </c>
      <c r="N897" s="21"/>
      <c r="O897" s="19" t="s">
        <v>2364</v>
      </c>
    </row>
    <row r="898" spans="1:15" ht="16" hidden="1" x14ac:dyDescent="0.2">
      <c r="A898" s="19" t="s">
        <v>2168</v>
      </c>
      <c r="B898" s="20">
        <v>45218</v>
      </c>
      <c r="C898" s="19" t="str">
        <f>T("330243125:0830381419")</f>
        <v>330243125:0830381419</v>
      </c>
      <c r="D898" s="19" t="str">
        <f>T("00100462-SAV LA V")</f>
        <v>00100462-SAV LA V</v>
      </c>
      <c r="E898" s="19" t="str">
        <f>T("510146768")</f>
        <v>510146768</v>
      </c>
      <c r="F898" s="19" t="s">
        <v>16</v>
      </c>
      <c r="G898" s="19" t="s">
        <v>14</v>
      </c>
      <c r="H898" s="19" t="str">
        <f>T("607253425")</f>
        <v>607253425</v>
      </c>
      <c r="I898" s="19" t="s">
        <v>353</v>
      </c>
      <c r="J898" s="19" t="s">
        <v>435</v>
      </c>
      <c r="K898" s="19" t="str">
        <f>T("83160")</f>
        <v>83160</v>
      </c>
      <c r="L898" s="19" t="s">
        <v>19</v>
      </c>
      <c r="M898" s="21" t="s">
        <v>0</v>
      </c>
      <c r="N898" s="31">
        <v>45219</v>
      </c>
    </row>
    <row r="899" spans="1:15" ht="16" hidden="1" x14ac:dyDescent="0.2">
      <c r="A899" s="19" t="s">
        <v>2169</v>
      </c>
      <c r="B899" s="20">
        <v>45218</v>
      </c>
      <c r="C899" s="19" t="str">
        <f>T("330243148:0830381491")</f>
        <v>330243148:0830381491</v>
      </c>
      <c r="D899" s="19" t="str">
        <f>T("88053")</f>
        <v>88053</v>
      </c>
      <c r="E899" s="19" t="str">
        <f>T("510146584")</f>
        <v>510146584</v>
      </c>
      <c r="F899" s="19" t="s">
        <v>16</v>
      </c>
      <c r="G899" s="19" t="s">
        <v>14</v>
      </c>
      <c r="H899" s="19" t="str">
        <f>T("607253439")</f>
        <v>607253439</v>
      </c>
      <c r="I899" s="19" t="s">
        <v>1525</v>
      </c>
      <c r="J899" s="19" t="s">
        <v>1526</v>
      </c>
      <c r="K899" s="19" t="str">
        <f>T("77290")</f>
        <v>77290</v>
      </c>
      <c r="L899" s="19" t="s">
        <v>19</v>
      </c>
      <c r="M899" s="21" t="s">
        <v>0</v>
      </c>
      <c r="N899" s="31">
        <v>45222</v>
      </c>
    </row>
    <row r="900" spans="1:15" ht="16" hidden="1" x14ac:dyDescent="0.2">
      <c r="A900" s="19" t="s">
        <v>2170</v>
      </c>
      <c r="B900" s="20">
        <v>45218</v>
      </c>
      <c r="C900" s="19" t="str">
        <f>T("330243013:0830381346")</f>
        <v>330243013:0830381346</v>
      </c>
      <c r="D900" s="19" t="str">
        <f>T("WC CYRIL")</f>
        <v>WC CYRIL</v>
      </c>
      <c r="E900" s="19" t="str">
        <f>T("510146813")</f>
        <v>510146813</v>
      </c>
      <c r="F900" s="19" t="s">
        <v>17</v>
      </c>
      <c r="G900" s="19" t="s">
        <v>14</v>
      </c>
      <c r="H900" s="19" t="str">
        <f>T("607253442")</f>
        <v>607253442</v>
      </c>
      <c r="I900" s="19" t="s">
        <v>2171</v>
      </c>
      <c r="J900" s="19" t="s">
        <v>2172</v>
      </c>
      <c r="K900" s="19" t="str">
        <f>T("26130")</f>
        <v>26130</v>
      </c>
      <c r="L900" s="19" t="s">
        <v>19</v>
      </c>
      <c r="M900" s="21" t="s">
        <v>0</v>
      </c>
      <c r="N900" s="31">
        <v>45219</v>
      </c>
    </row>
    <row r="901" spans="1:15" ht="16" hidden="1" x14ac:dyDescent="0.2">
      <c r="A901" s="19" t="s">
        <v>2173</v>
      </c>
      <c r="B901" s="20">
        <v>45218</v>
      </c>
      <c r="C901" s="19" t="str">
        <f>T("330242439:0830380431")</f>
        <v>330242439:0830380431</v>
      </c>
      <c r="D901" s="19" t="str">
        <f>T("PR230512")</f>
        <v>PR230512</v>
      </c>
      <c r="E901" s="19" t="str">
        <f>T("510146573")</f>
        <v>510146573</v>
      </c>
      <c r="F901" s="19" t="s">
        <v>16</v>
      </c>
      <c r="G901" s="19" t="s">
        <v>14</v>
      </c>
      <c r="H901" s="19" t="str">
        <f>T("607253456")</f>
        <v>607253456</v>
      </c>
      <c r="I901" s="19" t="s">
        <v>1854</v>
      </c>
      <c r="J901" s="19" t="s">
        <v>1855</v>
      </c>
      <c r="K901" s="19" t="str">
        <f>T("69400")</f>
        <v>69400</v>
      </c>
      <c r="L901" s="19" t="s">
        <v>19</v>
      </c>
      <c r="M901" s="21" t="s">
        <v>0</v>
      </c>
      <c r="N901" s="31">
        <v>45219</v>
      </c>
    </row>
    <row r="902" spans="1:15" ht="16" hidden="1" x14ac:dyDescent="0.2">
      <c r="A902" s="19" t="s">
        <v>2174</v>
      </c>
      <c r="B902" s="20">
        <v>45218</v>
      </c>
      <c r="C902" s="19" t="str">
        <f>T("330243082:0830381393")</f>
        <v>330243082:0830381393</v>
      </c>
      <c r="D902" s="19" t="str">
        <f>T("CFM23ROB02201")</f>
        <v>CFM23ROB02201</v>
      </c>
      <c r="E902" s="19" t="str">
        <f>T("510146668")</f>
        <v>510146668</v>
      </c>
      <c r="F902" s="19" t="s">
        <v>17</v>
      </c>
      <c r="G902" s="19" t="s">
        <v>14</v>
      </c>
      <c r="H902" s="19" t="str">
        <f>T("607253473")</f>
        <v>607253473</v>
      </c>
      <c r="I902" s="19" t="s">
        <v>2175</v>
      </c>
      <c r="J902" s="19" t="s">
        <v>2176</v>
      </c>
      <c r="K902" s="19" t="str">
        <f>T("66000")</f>
        <v>66000</v>
      </c>
      <c r="L902" s="19" t="s">
        <v>19</v>
      </c>
      <c r="M902" s="21" t="s">
        <v>0</v>
      </c>
      <c r="N902" s="31">
        <v>45222</v>
      </c>
    </row>
    <row r="903" spans="1:15" ht="16" hidden="1" x14ac:dyDescent="0.2">
      <c r="A903" s="19" t="s">
        <v>2177</v>
      </c>
      <c r="B903" s="20">
        <v>45218</v>
      </c>
      <c r="C903" s="19" t="str">
        <f>T("330243008:0830381343")</f>
        <v>330243008:0830381343</v>
      </c>
      <c r="D903" s="19" t="str">
        <f>T("161839")</f>
        <v>161839</v>
      </c>
      <c r="E903" s="19" t="str">
        <f>T("510146816")</f>
        <v>510146816</v>
      </c>
      <c r="F903" s="19" t="s">
        <v>17</v>
      </c>
      <c r="G903" s="19" t="s">
        <v>14</v>
      </c>
      <c r="H903" s="19" t="str">
        <f>T("607253487")</f>
        <v>607253487</v>
      </c>
      <c r="I903" s="19" t="s">
        <v>153</v>
      </c>
      <c r="J903" s="19" t="s">
        <v>689</v>
      </c>
      <c r="K903" s="19" t="str">
        <f>T("20600")</f>
        <v>20600</v>
      </c>
      <c r="L903" s="19" t="s">
        <v>19</v>
      </c>
      <c r="M903" s="21" t="s">
        <v>0</v>
      </c>
      <c r="N903" s="31">
        <v>45222</v>
      </c>
    </row>
    <row r="904" spans="1:15" ht="16" hidden="1" x14ac:dyDescent="0.2">
      <c r="A904" s="19" t="s">
        <v>2178</v>
      </c>
      <c r="B904" s="20">
        <v>45218</v>
      </c>
      <c r="C904" s="19" t="str">
        <f>T("330242428:0830380429")</f>
        <v>330242428:0830380429</v>
      </c>
      <c r="D904" s="19" t="str">
        <f>T("161763")</f>
        <v>161763</v>
      </c>
      <c r="E904" s="19" t="str">
        <f>T("510146511")</f>
        <v>510146511</v>
      </c>
      <c r="F904" s="19" t="s">
        <v>16</v>
      </c>
      <c r="G904" s="19" t="s">
        <v>14</v>
      </c>
      <c r="H904" s="19" t="str">
        <f>T("607253495")</f>
        <v>607253495</v>
      </c>
      <c r="I904" s="19" t="s">
        <v>2179</v>
      </c>
      <c r="J904" s="19" t="s">
        <v>2180</v>
      </c>
      <c r="K904" s="19" t="str">
        <f>T("06220")</f>
        <v>06220</v>
      </c>
      <c r="L904" s="19" t="s">
        <v>19</v>
      </c>
      <c r="M904" s="21" t="s">
        <v>0</v>
      </c>
      <c r="N904" s="31">
        <v>45219</v>
      </c>
    </row>
    <row r="905" spans="1:15" ht="16" hidden="1" x14ac:dyDescent="0.2">
      <c r="A905" s="19" t="s">
        <v>2181</v>
      </c>
      <c r="B905" s="20">
        <v>45218</v>
      </c>
      <c r="C905" s="19" t="str">
        <f>T("330243070:0830381387")</f>
        <v>330243070:0830381387</v>
      </c>
      <c r="D905" s="19" t="str">
        <f>T("161612")</f>
        <v>161612</v>
      </c>
      <c r="E905" s="19" t="str">
        <f>T("510146469")</f>
        <v>510146469</v>
      </c>
      <c r="F905" s="19" t="s">
        <v>17</v>
      </c>
      <c r="G905" s="19" t="s">
        <v>14</v>
      </c>
      <c r="H905" s="19" t="str">
        <f>T("607253500")</f>
        <v>607253500</v>
      </c>
      <c r="I905" s="19" t="s">
        <v>670</v>
      </c>
      <c r="J905" s="19" t="s">
        <v>689</v>
      </c>
      <c r="K905" s="19" t="str">
        <f>T("20600")</f>
        <v>20600</v>
      </c>
      <c r="L905" s="19" t="s">
        <v>19</v>
      </c>
      <c r="M905" s="21" t="s">
        <v>0</v>
      </c>
      <c r="N905" s="31">
        <v>45222</v>
      </c>
    </row>
    <row r="906" spans="1:15" ht="16" hidden="1" x14ac:dyDescent="0.2">
      <c r="A906" s="19" t="s">
        <v>2182</v>
      </c>
      <c r="B906" s="20">
        <v>45218</v>
      </c>
      <c r="C906" s="19" t="str">
        <f>T("330243114:0830381478")</f>
        <v>330243114:0830381478</v>
      </c>
      <c r="D906" s="19" t="str">
        <f>T("00100474-SAV 1403")</f>
        <v>00100474-SAV 1403</v>
      </c>
      <c r="E906" s="19" t="str">
        <f>T("510146794")</f>
        <v>510146794</v>
      </c>
      <c r="F906" s="19" t="s">
        <v>17</v>
      </c>
      <c r="G906" s="19" t="s">
        <v>14</v>
      </c>
      <c r="H906" s="19" t="str">
        <f>T("607253513")</f>
        <v>607253513</v>
      </c>
      <c r="I906" s="19" t="s">
        <v>2183</v>
      </c>
      <c r="J906" s="19" t="s">
        <v>2184</v>
      </c>
      <c r="K906" s="19" t="str">
        <f>T("69100")</f>
        <v>69100</v>
      </c>
      <c r="L906" s="19" t="s">
        <v>19</v>
      </c>
      <c r="M906" s="21" t="s">
        <v>0</v>
      </c>
      <c r="N906" s="31">
        <v>45219</v>
      </c>
    </row>
    <row r="907" spans="1:15" ht="16" x14ac:dyDescent="0.2">
      <c r="A907" s="19" t="s">
        <v>2185</v>
      </c>
      <c r="B907" s="20">
        <v>45218</v>
      </c>
      <c r="C907" s="19" t="str">
        <f>T("330243107:0830381409")</f>
        <v>330243107:0830381409</v>
      </c>
      <c r="D907" s="19" t="str">
        <f>T("CF210828 - VINCEN")</f>
        <v>CF210828 - VINCEN</v>
      </c>
      <c r="E907" s="19" t="str">
        <f>T("510146706")</f>
        <v>510146706</v>
      </c>
      <c r="F907" s="19" t="s">
        <v>16</v>
      </c>
      <c r="G907" s="19" t="s">
        <v>14</v>
      </c>
      <c r="H907" s="19" t="str">
        <f>T("607253527")</f>
        <v>607253527</v>
      </c>
      <c r="I907" s="19" t="s">
        <v>2186</v>
      </c>
      <c r="J907" s="19" t="s">
        <v>2187</v>
      </c>
      <c r="K907" s="19" t="str">
        <f>T("77150")</f>
        <v>77150</v>
      </c>
      <c r="L907" s="19" t="s">
        <v>19</v>
      </c>
      <c r="M907" s="21" t="s">
        <v>1</v>
      </c>
      <c r="N907" s="21"/>
    </row>
    <row r="908" spans="1:15" ht="16" hidden="1" x14ac:dyDescent="0.2">
      <c r="A908" s="19" t="s">
        <v>2188</v>
      </c>
      <c r="B908" s="20">
        <v>45218</v>
      </c>
      <c r="C908" s="19" t="str">
        <f>T("330243124:0830381418")</f>
        <v>330243124:0830381418</v>
      </c>
      <c r="D908" s="19" t="str">
        <f>T("00100463-SAV RAYN")</f>
        <v>00100463-SAV RAYN</v>
      </c>
      <c r="E908" s="19" t="str">
        <f>T("510146769")</f>
        <v>510146769</v>
      </c>
      <c r="F908" s="19" t="s">
        <v>16</v>
      </c>
      <c r="G908" s="19" t="s">
        <v>14</v>
      </c>
      <c r="H908" s="19" t="str">
        <f>T("607253535")</f>
        <v>607253535</v>
      </c>
      <c r="I908" s="19" t="s">
        <v>225</v>
      </c>
      <c r="J908" s="19" t="s">
        <v>226</v>
      </c>
      <c r="K908" s="19" t="str">
        <f>T("06370")</f>
        <v>06370</v>
      </c>
      <c r="L908" s="19" t="s">
        <v>19</v>
      </c>
      <c r="M908" s="21" t="s">
        <v>0</v>
      </c>
      <c r="N908" s="31">
        <v>45219</v>
      </c>
    </row>
    <row r="909" spans="1:15" ht="16" x14ac:dyDescent="0.2">
      <c r="A909" s="19" t="s">
        <v>2189</v>
      </c>
      <c r="B909" s="20">
        <v>45218</v>
      </c>
      <c r="C909" s="19" t="str">
        <f>T("330243128:0830381483")</f>
        <v>330243128:0830381483</v>
      </c>
      <c r="D909" s="19" t="str">
        <f>T("WC-DELISTRIE")</f>
        <v>WC-DELISTRIE</v>
      </c>
      <c r="E909" s="19" t="str">
        <f>T("510146763")</f>
        <v>510146763</v>
      </c>
      <c r="F909" s="19" t="s">
        <v>17</v>
      </c>
      <c r="G909" s="19" t="s">
        <v>14</v>
      </c>
      <c r="H909" s="19" t="str">
        <f>T("607253558")</f>
        <v>607253558</v>
      </c>
      <c r="I909" s="19" t="s">
        <v>47</v>
      </c>
      <c r="J909" s="19" t="s">
        <v>180</v>
      </c>
      <c r="K909" s="19" t="str">
        <f>T("06370")</f>
        <v>06370</v>
      </c>
      <c r="L909" s="19" t="s">
        <v>19</v>
      </c>
      <c r="M909" s="21" t="s">
        <v>1</v>
      </c>
      <c r="N909" s="21"/>
    </row>
    <row r="910" spans="1:15" ht="16" hidden="1" x14ac:dyDescent="0.2">
      <c r="A910" s="19" t="s">
        <v>2190</v>
      </c>
      <c r="B910" s="20">
        <v>45218</v>
      </c>
      <c r="C910" s="19" t="str">
        <f>T("330243119:0830381480")</f>
        <v>330243119:0830381480</v>
      </c>
      <c r="D910" s="19" t="str">
        <f>T("WC-ETD STOCK")</f>
        <v>WC-ETD STOCK</v>
      </c>
      <c r="E910" s="19" t="str">
        <f>T("510146781")</f>
        <v>510146781</v>
      </c>
      <c r="F910" s="19" t="s">
        <v>17</v>
      </c>
      <c r="G910" s="19" t="s">
        <v>14</v>
      </c>
      <c r="H910" s="19" t="str">
        <f>T("607253561")</f>
        <v>607253561</v>
      </c>
      <c r="I910" s="19" t="s">
        <v>851</v>
      </c>
      <c r="J910" s="19" t="s">
        <v>859</v>
      </c>
      <c r="K910" s="19" t="str">
        <f>T("54180")</f>
        <v>54180</v>
      </c>
      <c r="L910" s="19" t="s">
        <v>19</v>
      </c>
      <c r="M910" s="21" t="s">
        <v>0</v>
      </c>
      <c r="N910" s="31">
        <v>45222</v>
      </c>
    </row>
    <row r="911" spans="1:15" ht="16" hidden="1" x14ac:dyDescent="0.2">
      <c r="A911" s="19" t="s">
        <v>2191</v>
      </c>
      <c r="B911" s="20">
        <v>45218</v>
      </c>
      <c r="C911" s="19" t="str">
        <f>T("330243149:0830381465")</f>
        <v>330243149:0830381465</v>
      </c>
      <c r="D911" s="19" t="str">
        <f>T("SOL2310FBC008958-")</f>
        <v>SOL2310FBC008958-</v>
      </c>
      <c r="E911" s="19" t="str">
        <f>T("510146596")</f>
        <v>510146596</v>
      </c>
      <c r="F911" s="19" t="s">
        <v>16</v>
      </c>
      <c r="G911" s="19" t="s">
        <v>14</v>
      </c>
      <c r="H911" s="19" t="str">
        <f>T("607253575")</f>
        <v>607253575</v>
      </c>
      <c r="I911" s="19" t="s">
        <v>1377</v>
      </c>
      <c r="J911" s="19" t="s">
        <v>2192</v>
      </c>
      <c r="K911" s="19" t="str">
        <f>T("11100")</f>
        <v>11100</v>
      </c>
      <c r="L911" s="19" t="s">
        <v>19</v>
      </c>
      <c r="M911" s="21" t="s">
        <v>0</v>
      </c>
      <c r="N911" s="31">
        <v>45222</v>
      </c>
    </row>
    <row r="912" spans="1:15" ht="16" hidden="1" x14ac:dyDescent="0.2">
      <c r="A912" s="19" t="s">
        <v>2193</v>
      </c>
      <c r="B912" s="20">
        <v>45218</v>
      </c>
      <c r="C912" s="19" t="str">
        <f>T("330242415:0830380292")</f>
        <v>330242415:0830380292</v>
      </c>
      <c r="D912" s="21"/>
      <c r="E912" s="19" t="str">
        <f>T("510146357")</f>
        <v>510146357</v>
      </c>
      <c r="F912" s="19" t="s">
        <v>17</v>
      </c>
      <c r="G912" s="19" t="s">
        <v>14</v>
      </c>
      <c r="H912" s="19" t="str">
        <f>T("607253589")</f>
        <v>607253589</v>
      </c>
      <c r="I912" s="19" t="s">
        <v>2194</v>
      </c>
      <c r="J912" s="19" t="s">
        <v>2195</v>
      </c>
      <c r="K912" s="19" t="str">
        <f>T("31190")</f>
        <v>31190</v>
      </c>
      <c r="L912" s="19" t="s">
        <v>19</v>
      </c>
      <c r="M912" s="21" t="s">
        <v>0</v>
      </c>
      <c r="N912" s="31">
        <v>45219</v>
      </c>
    </row>
    <row r="913" spans="1:15" ht="16" hidden="1" x14ac:dyDescent="0.2">
      <c r="A913" s="19" t="s">
        <v>2196</v>
      </c>
      <c r="B913" s="20">
        <v>45218</v>
      </c>
      <c r="C913" s="19" t="str">
        <f>T("330243140:0830381488")</f>
        <v>330243140:0830381488</v>
      </c>
      <c r="D913" s="19" t="str">
        <f>T("C2310079 HYD 59BC")</f>
        <v>C2310079 HYD 59BC</v>
      </c>
      <c r="E913" s="19" t="str">
        <f>T("510146714")</f>
        <v>510146714</v>
      </c>
      <c r="F913" s="19" t="s">
        <v>17</v>
      </c>
      <c r="G913" s="19" t="s">
        <v>14</v>
      </c>
      <c r="H913" s="19" t="str">
        <f>T("607253592")</f>
        <v>607253592</v>
      </c>
      <c r="I913" s="19" t="s">
        <v>260</v>
      </c>
      <c r="J913" s="19" t="s">
        <v>261</v>
      </c>
      <c r="K913" s="19" t="str">
        <f>T("59650")</f>
        <v>59650</v>
      </c>
      <c r="L913" s="19" t="s">
        <v>19</v>
      </c>
      <c r="M913" s="21" t="s">
        <v>0</v>
      </c>
      <c r="N913" s="31">
        <v>45219</v>
      </c>
    </row>
    <row r="914" spans="1:15" ht="16" hidden="1" x14ac:dyDescent="0.2">
      <c r="A914" s="19" t="s">
        <v>2197</v>
      </c>
      <c r="B914" s="20">
        <v>45218</v>
      </c>
      <c r="C914" s="19" t="str">
        <f>T("330243037:0830381439")</f>
        <v>330243037:0830381439</v>
      </c>
      <c r="D914" s="19" t="str">
        <f>T("WC-MR MORIN")</f>
        <v>WC-MR MORIN</v>
      </c>
      <c r="E914" s="19" t="str">
        <f>T("510146913")</f>
        <v>510146913</v>
      </c>
      <c r="F914" s="19" t="s">
        <v>17</v>
      </c>
      <c r="G914" s="19" t="s">
        <v>14</v>
      </c>
      <c r="H914" s="19" t="str">
        <f>T("607253601")</f>
        <v>607253601</v>
      </c>
      <c r="I914" s="19" t="s">
        <v>47</v>
      </c>
      <c r="J914" s="19" t="s">
        <v>185</v>
      </c>
      <c r="K914" s="19" t="str">
        <f>T("45140")</f>
        <v>45140</v>
      </c>
      <c r="L914" s="19" t="s">
        <v>19</v>
      </c>
      <c r="M914" s="21" t="s">
        <v>0</v>
      </c>
      <c r="N914" s="31">
        <v>45219</v>
      </c>
    </row>
    <row r="915" spans="1:15" ht="16" x14ac:dyDescent="0.2">
      <c r="A915" s="19" t="s">
        <v>2198</v>
      </c>
      <c r="B915" s="20">
        <v>45218</v>
      </c>
      <c r="C915" s="19" t="str">
        <f>T("330243147:0830381490")</f>
        <v>330243147:0830381490</v>
      </c>
      <c r="D915" s="19" t="str">
        <f>T("WC ENGIE")</f>
        <v>WC ENGIE</v>
      </c>
      <c r="E915" s="19" t="str">
        <f>T("510146685")</f>
        <v>510146685</v>
      </c>
      <c r="F915" s="19" t="s">
        <v>17</v>
      </c>
      <c r="G915" s="19" t="s">
        <v>14</v>
      </c>
      <c r="H915" s="19" t="str">
        <f>T("607253615")</f>
        <v>607253615</v>
      </c>
      <c r="I915" s="19" t="s">
        <v>22</v>
      </c>
      <c r="J915" s="19" t="s">
        <v>639</v>
      </c>
      <c r="K915" s="19" t="str">
        <f>T("26000")</f>
        <v>26000</v>
      </c>
      <c r="L915" s="19" t="s">
        <v>19</v>
      </c>
      <c r="M915" s="21" t="s">
        <v>1</v>
      </c>
      <c r="N915" s="21"/>
    </row>
    <row r="916" spans="1:15" ht="16" x14ac:dyDescent="0.2">
      <c r="A916" s="19" t="s">
        <v>2199</v>
      </c>
      <c r="B916" s="20">
        <v>45218</v>
      </c>
      <c r="C916" s="19" t="str">
        <f>T("330242991:0830381431")</f>
        <v>330242991:0830381431</v>
      </c>
      <c r="D916" s="19" t="str">
        <f>T("00100482-MONSIEUR")</f>
        <v>00100482-MONSIEUR</v>
      </c>
      <c r="E916" s="19" t="str">
        <f>T("510146830")</f>
        <v>510146830</v>
      </c>
      <c r="F916" s="19" t="s">
        <v>16</v>
      </c>
      <c r="G916" s="19" t="s">
        <v>14</v>
      </c>
      <c r="H916" s="19" t="str">
        <f>T("607253629")</f>
        <v>607253629</v>
      </c>
      <c r="I916" s="19" t="s">
        <v>47</v>
      </c>
      <c r="J916" s="19" t="s">
        <v>2200</v>
      </c>
      <c r="K916" s="19" t="str">
        <f>T("91320")</f>
        <v>91320</v>
      </c>
      <c r="L916" s="19" t="s">
        <v>19</v>
      </c>
      <c r="M916" s="21" t="s">
        <v>1</v>
      </c>
      <c r="N916" s="21"/>
    </row>
    <row r="917" spans="1:15" ht="16" hidden="1" x14ac:dyDescent="0.2">
      <c r="A917" s="19" t="s">
        <v>2201</v>
      </c>
      <c r="B917" s="20">
        <v>45218</v>
      </c>
      <c r="C917" s="19" t="str">
        <f>T("330242982:0830381377")</f>
        <v>330242982:0830381377</v>
      </c>
      <c r="D917" s="19" t="str">
        <f>T("BC15944-AR38898")</f>
        <v>BC15944-AR38898</v>
      </c>
      <c r="E917" s="19" t="str">
        <f>T("510146842")</f>
        <v>510146842</v>
      </c>
      <c r="F917" s="19" t="s">
        <v>17</v>
      </c>
      <c r="G917" s="19" t="s">
        <v>14</v>
      </c>
      <c r="H917" s="19" t="str">
        <f>T("607253632")</f>
        <v>607253632</v>
      </c>
      <c r="I917" s="19" t="s">
        <v>2202</v>
      </c>
      <c r="J917" s="19" t="s">
        <v>2203</v>
      </c>
      <c r="K917" s="19" t="str">
        <f>T("49430")</f>
        <v>49430</v>
      </c>
      <c r="L917" s="19" t="s">
        <v>19</v>
      </c>
      <c r="M917" s="21" t="s">
        <v>0</v>
      </c>
      <c r="N917" s="31">
        <v>45219</v>
      </c>
    </row>
    <row r="918" spans="1:15" ht="16" x14ac:dyDescent="0.2">
      <c r="A918" s="19" t="s">
        <v>2204</v>
      </c>
      <c r="B918" s="20">
        <v>45218</v>
      </c>
      <c r="C918" s="19" t="str">
        <f>T("330243081:0830381456")</f>
        <v>330243081:0830381456</v>
      </c>
      <c r="D918" s="19" t="str">
        <f>T("00100416-SAV REST")</f>
        <v>00100416-SAV REST</v>
      </c>
      <c r="E918" s="19" t="str">
        <f>T("510146669")</f>
        <v>510146669</v>
      </c>
      <c r="F918" s="19" t="s">
        <v>17</v>
      </c>
      <c r="G918" s="19" t="s">
        <v>14</v>
      </c>
      <c r="H918" s="19" t="str">
        <f>T("607253646")</f>
        <v>607253646</v>
      </c>
      <c r="I918" s="19" t="s">
        <v>2205</v>
      </c>
      <c r="J918" s="19" t="s">
        <v>2206</v>
      </c>
      <c r="K918" s="19" t="str">
        <f>T("83480")</f>
        <v>83480</v>
      </c>
      <c r="L918" s="19" t="s">
        <v>19</v>
      </c>
      <c r="M918" s="21" t="s">
        <v>1</v>
      </c>
      <c r="N918" s="21"/>
    </row>
    <row r="919" spans="1:15" ht="16" hidden="1" x14ac:dyDescent="0.2">
      <c r="A919" s="19" t="s">
        <v>2207</v>
      </c>
      <c r="B919" s="20">
        <v>45218</v>
      </c>
      <c r="C919" s="19" t="str">
        <f>T("330242412:0830380423")</f>
        <v>330242412:0830380423</v>
      </c>
      <c r="D919" s="19" t="str">
        <f>T("6733-AQUAGAZ-1060")</f>
        <v>6733-AQUAGAZ-1060</v>
      </c>
      <c r="E919" s="19" t="str">
        <f>T("510146310")</f>
        <v>510146310</v>
      </c>
      <c r="F919" s="19" t="s">
        <v>16</v>
      </c>
      <c r="G919" s="19" t="s">
        <v>14</v>
      </c>
      <c r="H919" s="19" t="str">
        <f>T("607253650")</f>
        <v>607253650</v>
      </c>
      <c r="I919" s="19" t="s">
        <v>2208</v>
      </c>
      <c r="J919" s="19" t="s">
        <v>2209</v>
      </c>
      <c r="K919" s="19" t="str">
        <f>T("21200")</f>
        <v>21200</v>
      </c>
      <c r="L919" s="19" t="s">
        <v>19</v>
      </c>
      <c r="M919" s="21" t="s">
        <v>0</v>
      </c>
      <c r="N919" s="31">
        <v>45219</v>
      </c>
    </row>
    <row r="920" spans="1:15" ht="16" hidden="1" x14ac:dyDescent="0.2">
      <c r="A920" s="19" t="s">
        <v>2210</v>
      </c>
      <c r="B920" s="20">
        <v>45218</v>
      </c>
      <c r="C920" s="19" t="str">
        <f>T("330243079:0830381454")</f>
        <v>330243079:0830381454</v>
      </c>
      <c r="D920" s="19" t="str">
        <f>T("161814")</f>
        <v>161814</v>
      </c>
      <c r="E920" s="19" t="str">
        <f>T("510146681")</f>
        <v>510146681</v>
      </c>
      <c r="F920" s="19" t="s">
        <v>17</v>
      </c>
      <c r="G920" s="19" t="s">
        <v>14</v>
      </c>
      <c r="H920" s="19" t="str">
        <f>T("607253663")</f>
        <v>607253663</v>
      </c>
      <c r="I920" s="19" t="s">
        <v>153</v>
      </c>
      <c r="J920" s="19" t="s">
        <v>689</v>
      </c>
      <c r="K920" s="19" t="str">
        <f>T("20600")</f>
        <v>20600</v>
      </c>
      <c r="L920" s="19" t="s">
        <v>19</v>
      </c>
      <c r="M920" s="21" t="s">
        <v>0</v>
      </c>
      <c r="N920" s="31">
        <v>45222</v>
      </c>
    </row>
    <row r="921" spans="1:15" ht="16" x14ac:dyDescent="0.2">
      <c r="A921" s="19" t="s">
        <v>2211</v>
      </c>
      <c r="B921" s="20">
        <v>45218</v>
      </c>
      <c r="C921" s="19" t="str">
        <f>T("330243130:0830381485")</f>
        <v>330243130:0830381485</v>
      </c>
      <c r="D921" s="19" t="str">
        <f>T("WC-LEFEVRE")</f>
        <v>WC-LEFEVRE</v>
      </c>
      <c r="E921" s="19" t="str">
        <f>T("510146765")</f>
        <v>510146765</v>
      </c>
      <c r="F921" s="19" t="s">
        <v>17</v>
      </c>
      <c r="G921" s="19" t="s">
        <v>14</v>
      </c>
      <c r="H921" s="19" t="str">
        <f>T("607253677")</f>
        <v>607253677</v>
      </c>
      <c r="I921" s="19" t="s">
        <v>2212</v>
      </c>
      <c r="J921" s="19" t="s">
        <v>2213</v>
      </c>
      <c r="K921" s="19" t="str">
        <f>T("14370")</f>
        <v>14370</v>
      </c>
      <c r="L921" s="19" t="s">
        <v>19</v>
      </c>
      <c r="M921" s="21" t="s">
        <v>1</v>
      </c>
      <c r="N921" s="21"/>
      <c r="O921" s="19" t="s">
        <v>2364</v>
      </c>
    </row>
    <row r="922" spans="1:15" ht="16" hidden="1" x14ac:dyDescent="0.2">
      <c r="A922" s="19" t="s">
        <v>2214</v>
      </c>
      <c r="B922" s="20">
        <v>45218</v>
      </c>
      <c r="C922" s="19" t="str">
        <f>T("330243040:0830381441")</f>
        <v>330243040:0830381441</v>
      </c>
      <c r="D922" s="19" t="str">
        <f>T("WC PREYNAT")</f>
        <v>WC PREYNAT</v>
      </c>
      <c r="E922" s="19" t="str">
        <f>T("510146870")</f>
        <v>510146870</v>
      </c>
      <c r="F922" s="19" t="s">
        <v>17</v>
      </c>
      <c r="G922" s="19" t="s">
        <v>14</v>
      </c>
      <c r="H922" s="19" t="str">
        <f>T("607253685")</f>
        <v>607253685</v>
      </c>
      <c r="I922" s="19" t="s">
        <v>2215</v>
      </c>
      <c r="J922" s="19" t="s">
        <v>2216</v>
      </c>
      <c r="K922" s="19" t="str">
        <f>T("71300")</f>
        <v>71300</v>
      </c>
      <c r="L922" s="19" t="s">
        <v>19</v>
      </c>
      <c r="M922" s="21" t="s">
        <v>0</v>
      </c>
      <c r="N922" s="31">
        <v>45219</v>
      </c>
    </row>
    <row r="923" spans="1:15" ht="16" x14ac:dyDescent="0.2">
      <c r="A923" s="19" t="s">
        <v>2217</v>
      </c>
      <c r="B923" s="20">
        <v>45218</v>
      </c>
      <c r="C923" s="19" t="str">
        <f>T("330243055:0830381447")</f>
        <v>330243055:0830381447</v>
      </c>
      <c r="D923" s="19" t="str">
        <f>T("O2Feel")</f>
        <v>O2Feel</v>
      </c>
      <c r="E923" s="19" t="str">
        <f>T("510146896")</f>
        <v>510146896</v>
      </c>
      <c r="F923" s="19" t="s">
        <v>16</v>
      </c>
      <c r="G923" s="19" t="s">
        <v>14</v>
      </c>
      <c r="H923" s="19" t="str">
        <f>T("607253694")</f>
        <v>607253694</v>
      </c>
      <c r="I923" s="19" t="s">
        <v>2218</v>
      </c>
      <c r="J923" s="19" t="s">
        <v>2219</v>
      </c>
      <c r="K923" s="19" t="str">
        <f>T("59840")</f>
        <v>59840</v>
      </c>
      <c r="L923" s="19" t="s">
        <v>19</v>
      </c>
      <c r="M923" s="21" t="s">
        <v>1</v>
      </c>
      <c r="N923" s="21"/>
    </row>
    <row r="924" spans="1:15" ht="16" hidden="1" x14ac:dyDescent="0.2">
      <c r="A924" s="19" t="s">
        <v>2220</v>
      </c>
      <c r="B924" s="20">
        <v>45218</v>
      </c>
      <c r="C924" s="19" t="str">
        <f>T("330243131:0830381421")</f>
        <v>330243131:0830381421</v>
      </c>
      <c r="D924" s="19" t="str">
        <f>T("CC 300463")</f>
        <v>CC 300463</v>
      </c>
      <c r="E924" s="19" t="str">
        <f>T("510146760")</f>
        <v>510146760</v>
      </c>
      <c r="F924" s="19" t="s">
        <v>16</v>
      </c>
      <c r="G924" s="19" t="s">
        <v>14</v>
      </c>
      <c r="H924" s="19" t="str">
        <f>T("607253703")</f>
        <v>607253703</v>
      </c>
      <c r="I924" s="19" t="s">
        <v>1428</v>
      </c>
      <c r="J924" s="19" t="s">
        <v>1429</v>
      </c>
      <c r="K924" s="19" t="str">
        <f>T("03500")</f>
        <v>03500</v>
      </c>
      <c r="L924" s="19" t="s">
        <v>19</v>
      </c>
      <c r="M924" s="21" t="s">
        <v>0</v>
      </c>
      <c r="N924" s="31">
        <v>45222</v>
      </c>
    </row>
    <row r="925" spans="1:15" ht="16" hidden="1" x14ac:dyDescent="0.2">
      <c r="A925" s="19" t="s">
        <v>2221</v>
      </c>
      <c r="B925" s="20">
        <v>45218</v>
      </c>
      <c r="C925" s="19" t="str">
        <f>T("330243098:0830381401")</f>
        <v>330243098:0830381401</v>
      </c>
      <c r="D925" s="19" t="str">
        <f>T("WC-SALOME")</f>
        <v>WC-SALOME</v>
      </c>
      <c r="E925" s="19" t="str">
        <f>T("510146538")</f>
        <v>510146538</v>
      </c>
      <c r="F925" s="19" t="s">
        <v>17</v>
      </c>
      <c r="G925" s="19" t="s">
        <v>14</v>
      </c>
      <c r="H925" s="19" t="str">
        <f>T("607253717")</f>
        <v>607253717</v>
      </c>
      <c r="I925" s="19" t="s">
        <v>2222</v>
      </c>
      <c r="J925" s="19" t="s">
        <v>1411</v>
      </c>
      <c r="K925" s="19" t="str">
        <f>T("41500")</f>
        <v>41500</v>
      </c>
      <c r="L925" s="19" t="s">
        <v>19</v>
      </c>
      <c r="M925" s="21" t="s">
        <v>0</v>
      </c>
      <c r="N925" s="31">
        <v>45219</v>
      </c>
    </row>
    <row r="926" spans="1:15" ht="16" hidden="1" x14ac:dyDescent="0.2">
      <c r="A926" s="19" t="s">
        <v>2223</v>
      </c>
      <c r="B926" s="20">
        <v>45218</v>
      </c>
      <c r="C926" s="19" t="str">
        <f>T("330243132:0830381422")</f>
        <v>330243132:0830381422</v>
      </c>
      <c r="D926" s="19" t="str">
        <f>T("CC 300479")</f>
        <v>CC 300479</v>
      </c>
      <c r="E926" s="19" t="str">
        <f>T("510146759")</f>
        <v>510146759</v>
      </c>
      <c r="F926" s="19" t="s">
        <v>17</v>
      </c>
      <c r="G926" s="19" t="s">
        <v>14</v>
      </c>
      <c r="H926" s="19" t="str">
        <f>T("607253725")</f>
        <v>607253725</v>
      </c>
      <c r="I926" s="19" t="s">
        <v>1428</v>
      </c>
      <c r="J926" s="19" t="s">
        <v>1429</v>
      </c>
      <c r="K926" s="19" t="str">
        <f>T("03500")</f>
        <v>03500</v>
      </c>
      <c r="L926" s="19" t="s">
        <v>19</v>
      </c>
      <c r="M926" s="21" t="s">
        <v>0</v>
      </c>
      <c r="N926" s="31">
        <v>45222</v>
      </c>
    </row>
    <row r="927" spans="1:15" ht="16" hidden="1" x14ac:dyDescent="0.2">
      <c r="A927" s="19" t="s">
        <v>2224</v>
      </c>
      <c r="B927" s="20">
        <v>45218</v>
      </c>
      <c r="C927" s="19" t="str">
        <f>T("330243064:0830381381")</f>
        <v>330243064:0830381381</v>
      </c>
      <c r="D927" s="19" t="str">
        <f>T("00100406-SAV CUIR")</f>
        <v>00100406-SAV CUIR</v>
      </c>
      <c r="E927" s="19" t="str">
        <f>T("510146604")</f>
        <v>510146604</v>
      </c>
      <c r="F927" s="19" t="s">
        <v>17</v>
      </c>
      <c r="G927" s="19" t="s">
        <v>14</v>
      </c>
      <c r="H927" s="19" t="str">
        <f>T("607253734")</f>
        <v>607253734</v>
      </c>
      <c r="I927" s="19" t="s">
        <v>2225</v>
      </c>
      <c r="J927" s="19" t="s">
        <v>2226</v>
      </c>
      <c r="K927" s="19" t="str">
        <f>T("83200")</f>
        <v>83200</v>
      </c>
      <c r="L927" s="19" t="s">
        <v>19</v>
      </c>
      <c r="M927" s="21" t="s">
        <v>0</v>
      </c>
      <c r="N927" s="31">
        <v>45219</v>
      </c>
    </row>
    <row r="928" spans="1:15" ht="16" x14ac:dyDescent="0.2">
      <c r="A928" s="19" t="s">
        <v>2227</v>
      </c>
      <c r="B928" s="20">
        <v>45218</v>
      </c>
      <c r="C928" s="19" t="str">
        <f>T("330243136:0830381426")</f>
        <v>330243136:0830381426</v>
      </c>
      <c r="D928" s="19" t="str">
        <f>T("28-150-3583371")</f>
        <v>28-150-3583371</v>
      </c>
      <c r="E928" s="19" t="str">
        <f>T("510146740")</f>
        <v>510146740</v>
      </c>
      <c r="F928" s="19" t="s">
        <v>16</v>
      </c>
      <c r="G928" s="19" t="s">
        <v>14</v>
      </c>
      <c r="H928" s="19" t="str">
        <f>T("607253748")</f>
        <v>607253748</v>
      </c>
      <c r="I928" s="19" t="s">
        <v>2228</v>
      </c>
      <c r="J928" s="19" t="s">
        <v>2229</v>
      </c>
      <c r="K928" s="19" t="str">
        <f>T("66000")</f>
        <v>66000</v>
      </c>
      <c r="L928" s="19" t="s">
        <v>19</v>
      </c>
      <c r="M928" s="21" t="s">
        <v>1</v>
      </c>
      <c r="N928" s="21"/>
    </row>
    <row r="929" spans="1:14" ht="16" x14ac:dyDescent="0.2">
      <c r="A929" s="19" t="s">
        <v>2230</v>
      </c>
      <c r="B929" s="20">
        <v>45218</v>
      </c>
      <c r="C929" s="19" t="str">
        <f>T("330243099:0830381402")</f>
        <v>330243099:0830381402</v>
      </c>
      <c r="D929" s="19" t="str">
        <f>T("CDC127534 RB0044")</f>
        <v>CDC127534 RB0044</v>
      </c>
      <c r="E929" s="19" t="str">
        <f>T("510146243")</f>
        <v>510146243</v>
      </c>
      <c r="F929" s="19" t="s">
        <v>17</v>
      </c>
      <c r="G929" s="19" t="s">
        <v>14</v>
      </c>
      <c r="H929" s="19" t="str">
        <f>T("607253751")</f>
        <v>607253751</v>
      </c>
      <c r="I929" s="19" t="s">
        <v>2231</v>
      </c>
      <c r="J929" s="19" t="s">
        <v>2232</v>
      </c>
      <c r="K929" s="19" t="str">
        <f>T("19600")</f>
        <v>19600</v>
      </c>
      <c r="L929" s="19" t="s">
        <v>19</v>
      </c>
      <c r="M929" s="21" t="s">
        <v>1</v>
      </c>
      <c r="N929" s="21"/>
    </row>
    <row r="930" spans="1:14" ht="16" hidden="1" x14ac:dyDescent="0.2">
      <c r="A930" s="19" t="s">
        <v>2233</v>
      </c>
      <c r="B930" s="20">
        <v>45218</v>
      </c>
      <c r="C930" s="19" t="str">
        <f>T("330243057:0830381448")</f>
        <v>330243057:0830381448</v>
      </c>
      <c r="D930" s="19" t="str">
        <f>T("WC ECM")</f>
        <v>WC ECM</v>
      </c>
      <c r="E930" s="19" t="str">
        <f>T("510146894")</f>
        <v>510146894</v>
      </c>
      <c r="F930" s="19" t="s">
        <v>17</v>
      </c>
      <c r="G930" s="19" t="s">
        <v>14</v>
      </c>
      <c r="H930" s="19" t="str">
        <f>T("607253765")</f>
        <v>607253765</v>
      </c>
      <c r="I930" s="19" t="s">
        <v>2234</v>
      </c>
      <c r="J930" s="19" t="s">
        <v>2235</v>
      </c>
      <c r="K930" s="19" t="str">
        <f>T("07430")</f>
        <v>07430</v>
      </c>
      <c r="L930" s="19" t="s">
        <v>19</v>
      </c>
      <c r="M930" s="21" t="s">
        <v>0</v>
      </c>
      <c r="N930" s="31">
        <v>45219</v>
      </c>
    </row>
    <row r="931" spans="1:14" ht="16" hidden="1" x14ac:dyDescent="0.2">
      <c r="A931" s="19" t="s">
        <v>2236</v>
      </c>
      <c r="B931" s="20">
        <v>45218</v>
      </c>
      <c r="C931" s="19" t="str">
        <f>T("330243009:0830381436")</f>
        <v>330243009:0830381436</v>
      </c>
      <c r="D931" s="19" t="str">
        <f>T("WC240749 M0054-BL")</f>
        <v>WC240749 M0054-BL</v>
      </c>
      <c r="E931" s="19" t="str">
        <f>T("510146817")</f>
        <v>510146817</v>
      </c>
      <c r="F931" s="19" t="s">
        <v>17</v>
      </c>
      <c r="G931" s="19" t="s">
        <v>14</v>
      </c>
      <c r="H931" s="19" t="str">
        <f>T("607253779")</f>
        <v>607253779</v>
      </c>
      <c r="I931" s="19" t="s">
        <v>2237</v>
      </c>
      <c r="J931" s="19" t="s">
        <v>2238</v>
      </c>
      <c r="K931" s="19" t="str">
        <f>T("40550")</f>
        <v>40550</v>
      </c>
      <c r="L931" s="19" t="s">
        <v>19</v>
      </c>
      <c r="M931" s="21" t="s">
        <v>0</v>
      </c>
      <c r="N931" s="31">
        <v>45220</v>
      </c>
    </row>
    <row r="932" spans="1:14" ht="16" x14ac:dyDescent="0.2">
      <c r="A932" s="19" t="s">
        <v>2239</v>
      </c>
      <c r="B932" s="20">
        <v>45218</v>
      </c>
      <c r="C932" s="19" t="str">
        <f>T("330243105:0830381408")</f>
        <v>330243105:0830381408</v>
      </c>
      <c r="D932" s="19" t="str">
        <f>T("CDC128187 AB0052")</f>
        <v>CDC128187 AB0052</v>
      </c>
      <c r="E932" s="19" t="str">
        <f>T("510146802")</f>
        <v>510146802</v>
      </c>
      <c r="F932" s="19" t="s">
        <v>17</v>
      </c>
      <c r="G932" s="19" t="s">
        <v>14</v>
      </c>
      <c r="H932" s="19" t="str">
        <f>T("607253782")</f>
        <v>607253782</v>
      </c>
      <c r="I932" s="19" t="s">
        <v>2240</v>
      </c>
      <c r="J932" s="19" t="s">
        <v>2241</v>
      </c>
      <c r="K932" s="19" t="str">
        <f>T("47300")</f>
        <v>47300</v>
      </c>
      <c r="L932" s="19" t="s">
        <v>19</v>
      </c>
      <c r="M932" s="21" t="s">
        <v>1</v>
      </c>
      <c r="N932" s="21"/>
    </row>
    <row r="933" spans="1:14" ht="16" hidden="1" x14ac:dyDescent="0.2">
      <c r="A933" s="19" t="s">
        <v>2242</v>
      </c>
      <c r="B933" s="20">
        <v>45218</v>
      </c>
      <c r="C933" s="19" t="str">
        <f>T("330243052:0830381374")</f>
        <v>330243052:0830381374</v>
      </c>
      <c r="D933" s="19" t="str">
        <f>T("WC-SAV3")</f>
        <v>WC-SAV3</v>
      </c>
      <c r="E933" s="19" t="str">
        <f>T("510146899")</f>
        <v>510146899</v>
      </c>
      <c r="F933" s="19" t="s">
        <v>16</v>
      </c>
      <c r="G933" s="19" t="s">
        <v>14</v>
      </c>
      <c r="H933" s="19" t="str">
        <f>T("607253796")</f>
        <v>607253796</v>
      </c>
      <c r="I933" s="19" t="s">
        <v>2100</v>
      </c>
      <c r="J933" s="19" t="s">
        <v>2101</v>
      </c>
      <c r="K933" s="19" t="str">
        <f>T("44300")</f>
        <v>44300</v>
      </c>
      <c r="L933" s="19" t="s">
        <v>19</v>
      </c>
      <c r="M933" s="21" t="s">
        <v>0</v>
      </c>
      <c r="N933" s="31">
        <v>45222</v>
      </c>
    </row>
    <row r="934" spans="1:14" ht="16" hidden="1" x14ac:dyDescent="0.2">
      <c r="A934" s="19" t="s">
        <v>2243</v>
      </c>
      <c r="B934" s="20">
        <v>45218</v>
      </c>
      <c r="C934" s="19" t="str">
        <f>T("330243118:0830381415")</f>
        <v>330243118:0830381415</v>
      </c>
      <c r="D934" s="19" t="str">
        <f>T("WC-ETD STOCK")</f>
        <v>WC-ETD STOCK</v>
      </c>
      <c r="E934" s="19" t="str">
        <f>T("510146783")</f>
        <v>510146783</v>
      </c>
      <c r="F934" s="19" t="s">
        <v>17</v>
      </c>
      <c r="G934" s="19" t="s">
        <v>14</v>
      </c>
      <c r="H934" s="19" t="str">
        <f>T("607253805")</f>
        <v>607253805</v>
      </c>
      <c r="I934" s="19" t="s">
        <v>851</v>
      </c>
      <c r="J934" s="19" t="s">
        <v>859</v>
      </c>
      <c r="K934" s="19" t="str">
        <f>T("54180")</f>
        <v>54180</v>
      </c>
      <c r="L934" s="19" t="s">
        <v>19</v>
      </c>
      <c r="M934" s="21" t="s">
        <v>0</v>
      </c>
      <c r="N934" s="31">
        <v>45222</v>
      </c>
    </row>
    <row r="935" spans="1:14" ht="16" hidden="1" x14ac:dyDescent="0.2">
      <c r="A935" s="19" t="s">
        <v>2244</v>
      </c>
      <c r="B935" s="20">
        <v>45218</v>
      </c>
      <c r="C935" s="19" t="str">
        <f>T("330243134:0830381424")</f>
        <v>330243134:0830381424</v>
      </c>
      <c r="D935" s="19" t="str">
        <f>T("DA23069964")</f>
        <v>DA23069964</v>
      </c>
      <c r="E935" s="19" t="str">
        <f>T("510146752")</f>
        <v>510146752</v>
      </c>
      <c r="F935" s="19" t="s">
        <v>17</v>
      </c>
      <c r="G935" s="19" t="s">
        <v>14</v>
      </c>
      <c r="H935" s="19" t="str">
        <f>T("607253819")</f>
        <v>607253819</v>
      </c>
      <c r="I935" s="19" t="s">
        <v>749</v>
      </c>
      <c r="J935" s="19" t="s">
        <v>2245</v>
      </c>
      <c r="K935" s="19" t="str">
        <f>T("47190")</f>
        <v>47190</v>
      </c>
      <c r="L935" s="19" t="s">
        <v>19</v>
      </c>
      <c r="M935" s="21" t="s">
        <v>0</v>
      </c>
      <c r="N935" s="31">
        <v>45222</v>
      </c>
    </row>
    <row r="936" spans="1:14" ht="16" hidden="1" x14ac:dyDescent="0.2">
      <c r="A936" s="19" t="s">
        <v>2246</v>
      </c>
      <c r="B936" s="20">
        <v>45218</v>
      </c>
      <c r="C936" s="19" t="str">
        <f>T("330243074:0830381452")</f>
        <v>330243074:0830381452</v>
      </c>
      <c r="D936" s="19" t="str">
        <f>T("172278/AC")</f>
        <v>172278/AC</v>
      </c>
      <c r="E936" s="19" t="str">
        <f>T("510146387")</f>
        <v>510146387</v>
      </c>
      <c r="F936" s="19" t="s">
        <v>17</v>
      </c>
      <c r="G936" s="19" t="s">
        <v>14</v>
      </c>
      <c r="H936" s="19" t="str">
        <f>T("607253822")</f>
        <v>607253822</v>
      </c>
      <c r="I936" s="19" t="s">
        <v>1722</v>
      </c>
      <c r="J936" s="19" t="s">
        <v>1723</v>
      </c>
      <c r="K936" s="19" t="str">
        <f>T("25220")</f>
        <v>25220</v>
      </c>
      <c r="L936" s="19" t="s">
        <v>19</v>
      </c>
      <c r="M936" s="21" t="s">
        <v>0</v>
      </c>
      <c r="N936" s="31">
        <v>45219</v>
      </c>
    </row>
    <row r="937" spans="1:14" ht="16" hidden="1" x14ac:dyDescent="0.2">
      <c r="A937" s="19" t="s">
        <v>2247</v>
      </c>
      <c r="B937" s="20">
        <v>45218</v>
      </c>
      <c r="C937" s="19" t="str">
        <f>T("330243001:0830381435")</f>
        <v>330243001:0830381435</v>
      </c>
      <c r="D937" s="19" t="str">
        <f>T("WC-CARTER CASH AR")</f>
        <v>WC-CARTER CASH AR</v>
      </c>
      <c r="E937" s="19" t="str">
        <f>T("510146857")</f>
        <v>510146857</v>
      </c>
      <c r="F937" s="19" t="s">
        <v>17</v>
      </c>
      <c r="G937" s="19" t="s">
        <v>14</v>
      </c>
      <c r="H937" s="19" t="str">
        <f>T("607253836")</f>
        <v>607253836</v>
      </c>
      <c r="I937" s="19" t="s">
        <v>47</v>
      </c>
      <c r="J937" s="19" t="s">
        <v>2248</v>
      </c>
      <c r="K937" s="19" t="str">
        <f>T("83160")</f>
        <v>83160</v>
      </c>
      <c r="L937" s="19" t="s">
        <v>19</v>
      </c>
      <c r="M937" s="21" t="s">
        <v>0</v>
      </c>
      <c r="N937" s="31">
        <v>45219</v>
      </c>
    </row>
    <row r="938" spans="1:14" ht="16" hidden="1" x14ac:dyDescent="0.2">
      <c r="A938" s="19" t="s">
        <v>2249</v>
      </c>
      <c r="B938" s="20">
        <v>45218</v>
      </c>
      <c r="C938" s="19" t="str">
        <f>T("330242998:0830381434")</f>
        <v>330242998:0830381434</v>
      </c>
      <c r="D938" s="19" t="str">
        <f>T("WC-GUIGNARD ST AN")</f>
        <v>WC-GUIGNARD ST AN</v>
      </c>
      <c r="E938" s="19" t="str">
        <f>T("510146861")</f>
        <v>510146861</v>
      </c>
      <c r="F938" s="19" t="s">
        <v>17</v>
      </c>
      <c r="G938" s="19" t="s">
        <v>14</v>
      </c>
      <c r="H938" s="19" t="str">
        <f>T("607253840")</f>
        <v>607253840</v>
      </c>
      <c r="I938" s="19" t="s">
        <v>47</v>
      </c>
      <c r="J938" s="19" t="s">
        <v>2250</v>
      </c>
      <c r="K938" s="19" t="str">
        <f>T("83600")</f>
        <v>83600</v>
      </c>
      <c r="L938" s="19" t="s">
        <v>19</v>
      </c>
      <c r="M938" s="21" t="s">
        <v>0</v>
      </c>
      <c r="N938" s="31">
        <v>45222</v>
      </c>
    </row>
    <row r="939" spans="1:14" ht="16" hidden="1" x14ac:dyDescent="0.2">
      <c r="A939" s="19" t="s">
        <v>2251</v>
      </c>
      <c r="B939" s="20">
        <v>45218</v>
      </c>
      <c r="C939" s="19" t="str">
        <f>T("330238742:0830381430")</f>
        <v>330238742:0830381430</v>
      </c>
      <c r="D939" s="19" t="str">
        <f>T("00100240-SAV CASS")</f>
        <v>00100240-SAV CASS</v>
      </c>
      <c r="E939" s="19" t="str">
        <f>T("510146191")</f>
        <v>510146191</v>
      </c>
      <c r="F939" s="19" t="s">
        <v>17</v>
      </c>
      <c r="G939" s="19" t="s">
        <v>14</v>
      </c>
      <c r="H939" s="19" t="str">
        <f>T("607253853")</f>
        <v>607253853</v>
      </c>
      <c r="I939" s="19" t="s">
        <v>2252</v>
      </c>
      <c r="J939" s="19" t="s">
        <v>2253</v>
      </c>
      <c r="K939" s="19" t="str">
        <f>T("83520")</f>
        <v>83520</v>
      </c>
      <c r="L939" s="19" t="s">
        <v>19</v>
      </c>
      <c r="M939" s="21" t="s">
        <v>0</v>
      </c>
      <c r="N939" s="31">
        <v>45222</v>
      </c>
    </row>
    <row r="940" spans="1:14" ht="16" hidden="1" x14ac:dyDescent="0.2">
      <c r="A940" s="19" t="s">
        <v>2254</v>
      </c>
      <c r="B940" s="20">
        <v>45218</v>
      </c>
      <c r="C940" s="19" t="str">
        <f>T("330243028:0830381437")</f>
        <v>330243028:0830381437</v>
      </c>
      <c r="D940" s="19" t="str">
        <f>T("WC-TICKET 11176 S")</f>
        <v>WC-TICKET 11176 S</v>
      </c>
      <c r="E940" s="19" t="str">
        <f>T("510146853")</f>
        <v>510146853</v>
      </c>
      <c r="F940" s="19" t="s">
        <v>17</v>
      </c>
      <c r="G940" s="19" t="s">
        <v>14</v>
      </c>
      <c r="H940" s="19" t="str">
        <f>T("607253867")</f>
        <v>607253867</v>
      </c>
      <c r="I940" s="19" t="s">
        <v>47</v>
      </c>
      <c r="J940" s="19" t="s">
        <v>2255</v>
      </c>
      <c r="K940" s="19" t="str">
        <f>T("59370")</f>
        <v>59370</v>
      </c>
      <c r="L940" s="19" t="s">
        <v>19</v>
      </c>
      <c r="M940" s="21" t="s">
        <v>0</v>
      </c>
      <c r="N940" s="31">
        <v>45219</v>
      </c>
    </row>
    <row r="941" spans="1:14" ht="16" hidden="1" x14ac:dyDescent="0.2">
      <c r="A941" s="19" t="s">
        <v>2256</v>
      </c>
      <c r="B941" s="20">
        <v>45218</v>
      </c>
      <c r="C941" s="19" t="str">
        <f>T("330243106:0830381475")</f>
        <v>330243106:0830381475</v>
      </c>
      <c r="D941" s="19" t="str">
        <f>T("EC2023-0200")</f>
        <v>EC2023-0200</v>
      </c>
      <c r="E941" s="19" t="str">
        <f>T("510146774")</f>
        <v>510146774</v>
      </c>
      <c r="F941" s="19" t="s">
        <v>17</v>
      </c>
      <c r="G941" s="19" t="s">
        <v>14</v>
      </c>
      <c r="H941" s="19" t="str">
        <f>T("607253875")</f>
        <v>607253875</v>
      </c>
      <c r="I941" s="19" t="s">
        <v>2257</v>
      </c>
      <c r="J941" s="19" t="s">
        <v>2258</v>
      </c>
      <c r="K941" s="19" t="str">
        <f>T("60490")</f>
        <v>60490</v>
      </c>
      <c r="L941" s="19" t="s">
        <v>19</v>
      </c>
      <c r="M941" s="21" t="s">
        <v>0</v>
      </c>
      <c r="N941" s="31">
        <v>45219</v>
      </c>
    </row>
    <row r="942" spans="1:14" ht="16" hidden="1" x14ac:dyDescent="0.2">
      <c r="A942" s="19" t="s">
        <v>2259</v>
      </c>
      <c r="B942" s="20">
        <v>45218</v>
      </c>
      <c r="C942" s="19" t="str">
        <f>T("330242995:0830381432")</f>
        <v>330242995:0830381432</v>
      </c>
      <c r="D942" s="19" t="str">
        <f>T("WC-AQUA")</f>
        <v>WC-AQUA</v>
      </c>
      <c r="E942" s="19" t="str">
        <f>T("510146864")</f>
        <v>510146864</v>
      </c>
      <c r="F942" s="19" t="s">
        <v>17</v>
      </c>
      <c r="G942" s="19" t="s">
        <v>14</v>
      </c>
      <c r="H942" s="19" t="str">
        <f>T("607253884")</f>
        <v>607253884</v>
      </c>
      <c r="I942" s="19" t="s">
        <v>47</v>
      </c>
      <c r="J942" s="19" t="s">
        <v>185</v>
      </c>
      <c r="K942" s="19" t="str">
        <f>T("45140")</f>
        <v>45140</v>
      </c>
      <c r="L942" s="19" t="s">
        <v>19</v>
      </c>
      <c r="M942" s="21" t="s">
        <v>0</v>
      </c>
      <c r="N942" s="31">
        <v>45219</v>
      </c>
    </row>
    <row r="943" spans="1:14" ht="16" hidden="1" x14ac:dyDescent="0.2">
      <c r="A943" s="19" t="s">
        <v>2260</v>
      </c>
      <c r="B943" s="20">
        <v>45218</v>
      </c>
      <c r="C943" s="19" t="str">
        <f>T("330243061:0830381450")</f>
        <v>330243061:0830381450</v>
      </c>
      <c r="D943" s="19" t="str">
        <f>T("SOL2310FBC009071-")</f>
        <v>SOL2310FBC009071-</v>
      </c>
      <c r="E943" s="19" t="str">
        <f>T("510146846")</f>
        <v>510146846</v>
      </c>
      <c r="F943" s="19" t="s">
        <v>17</v>
      </c>
      <c r="G943" s="19" t="s">
        <v>14</v>
      </c>
      <c r="H943" s="19" t="str">
        <f>T("607253898")</f>
        <v>607253898</v>
      </c>
      <c r="I943" s="19" t="s">
        <v>2261</v>
      </c>
      <c r="J943" s="19" t="s">
        <v>2262</v>
      </c>
      <c r="K943" s="19" t="str">
        <f>T("33450")</f>
        <v>33450</v>
      </c>
      <c r="L943" s="19" t="s">
        <v>19</v>
      </c>
      <c r="M943" s="21" t="s">
        <v>0</v>
      </c>
      <c r="N943" s="31">
        <v>45219</v>
      </c>
    </row>
    <row r="944" spans="1:14" ht="16" hidden="1" x14ac:dyDescent="0.2">
      <c r="A944" s="19" t="s">
        <v>2263</v>
      </c>
      <c r="B944" s="20">
        <v>45218</v>
      </c>
      <c r="C944" s="19" t="str">
        <f>T("330243090:0830381461")</f>
        <v>330243090:0830381461</v>
      </c>
      <c r="D944" s="19" t="str">
        <f>T("SAV Bureau Valogn")</f>
        <v>SAV Bureau Valogn</v>
      </c>
      <c r="E944" s="19" t="str">
        <f>T("510146634")</f>
        <v>510146634</v>
      </c>
      <c r="F944" s="19" t="s">
        <v>17</v>
      </c>
      <c r="G944" s="19" t="s">
        <v>14</v>
      </c>
      <c r="H944" s="19" t="str">
        <f>T("607253907")</f>
        <v>607253907</v>
      </c>
      <c r="I944" s="19" t="s">
        <v>48</v>
      </c>
      <c r="J944" s="19" t="s">
        <v>2264</v>
      </c>
      <c r="K944" s="19" t="str">
        <f>T("50700")</f>
        <v>50700</v>
      </c>
      <c r="L944" s="19" t="s">
        <v>19</v>
      </c>
      <c r="M944" s="21" t="s">
        <v>0</v>
      </c>
      <c r="N944" s="31">
        <v>45222</v>
      </c>
    </row>
    <row r="945" spans="1:14" ht="16" hidden="1" x14ac:dyDescent="0.2">
      <c r="A945" s="19" t="s">
        <v>2265</v>
      </c>
      <c r="B945" s="20">
        <v>45218</v>
      </c>
      <c r="C945" s="19" t="str">
        <f>T("330243112:0830381477")</f>
        <v>330243112:0830381477</v>
      </c>
      <c r="D945" s="19" t="str">
        <f>T("C10742152")</f>
        <v>C10742152</v>
      </c>
      <c r="E945" s="19" t="str">
        <f>T("510146790")</f>
        <v>510146790</v>
      </c>
      <c r="F945" s="19" t="s">
        <v>17</v>
      </c>
      <c r="G945" s="19" t="s">
        <v>14</v>
      </c>
      <c r="H945" s="19" t="str">
        <f>T("607253915")</f>
        <v>607253915</v>
      </c>
      <c r="I945" s="19" t="s">
        <v>2266</v>
      </c>
      <c r="J945" s="19" t="s">
        <v>2267</v>
      </c>
      <c r="K945" s="19" t="str">
        <f>T("66240")</f>
        <v>66240</v>
      </c>
      <c r="L945" s="19" t="s">
        <v>19</v>
      </c>
      <c r="M945" s="21" t="s">
        <v>0</v>
      </c>
      <c r="N945" s="31">
        <v>45222</v>
      </c>
    </row>
    <row r="946" spans="1:14" ht="16" x14ac:dyDescent="0.2">
      <c r="A946" s="19" t="s">
        <v>2268</v>
      </c>
      <c r="B946" s="20">
        <v>45218</v>
      </c>
      <c r="C946" s="19" t="str">
        <f>T("330243047:0830381442")</f>
        <v>330243047:0830381442</v>
      </c>
      <c r="D946" s="19" t="str">
        <f>T("892607")</f>
        <v>892607</v>
      </c>
      <c r="E946" s="19" t="str">
        <f>T("510146904")</f>
        <v>510146904</v>
      </c>
      <c r="F946" s="19" t="s">
        <v>17</v>
      </c>
      <c r="G946" s="19" t="s">
        <v>14</v>
      </c>
      <c r="H946" s="19" t="str">
        <f>T("607253924")</f>
        <v>607253924</v>
      </c>
      <c r="I946" s="19" t="s">
        <v>2269</v>
      </c>
      <c r="J946" s="19" t="s">
        <v>2270</v>
      </c>
      <c r="K946" s="19" t="str">
        <f>T("82000")</f>
        <v>82000</v>
      </c>
      <c r="L946" s="19" t="s">
        <v>19</v>
      </c>
      <c r="M946" s="21" t="s">
        <v>1</v>
      </c>
      <c r="N946" s="21"/>
    </row>
    <row r="947" spans="1:14" ht="16" hidden="1" x14ac:dyDescent="0.2">
      <c r="A947" s="19" t="s">
        <v>2271</v>
      </c>
      <c r="B947" s="20">
        <v>45218</v>
      </c>
      <c r="C947" s="19" t="str">
        <f>T("330243115:0830381413")</f>
        <v>330243115:0830381413</v>
      </c>
      <c r="D947" s="19" t="str">
        <f>T("BC N° 32321417")</f>
        <v>BC N° 32321417</v>
      </c>
      <c r="E947" s="19" t="str">
        <f>T("510146787")</f>
        <v>510146787</v>
      </c>
      <c r="F947" s="19" t="s">
        <v>17</v>
      </c>
      <c r="G947" s="19" t="s">
        <v>14</v>
      </c>
      <c r="H947" s="19" t="str">
        <f>T("607253938")</f>
        <v>607253938</v>
      </c>
      <c r="I947" s="19" t="s">
        <v>2272</v>
      </c>
      <c r="J947" s="19" t="s">
        <v>237</v>
      </c>
      <c r="K947" s="19" t="str">
        <f>T("71530")</f>
        <v>71530</v>
      </c>
      <c r="L947" s="19" t="s">
        <v>19</v>
      </c>
      <c r="M947" s="21" t="s">
        <v>0</v>
      </c>
      <c r="N947" s="31">
        <v>45219</v>
      </c>
    </row>
    <row r="948" spans="1:14" ht="16" x14ac:dyDescent="0.2">
      <c r="A948" s="19" t="s">
        <v>2273</v>
      </c>
      <c r="B948" s="20">
        <v>45218</v>
      </c>
      <c r="C948" s="19" t="str">
        <f>T("330243048:0830381445")</f>
        <v>330243048:0830381445</v>
      </c>
      <c r="D948" s="19" t="str">
        <f>T("WC-BULTEAU")</f>
        <v>WC-BULTEAU</v>
      </c>
      <c r="E948" s="19" t="str">
        <f>T("510146903")</f>
        <v>510146903</v>
      </c>
      <c r="F948" s="19" t="s">
        <v>17</v>
      </c>
      <c r="G948" s="19" t="s">
        <v>14</v>
      </c>
      <c r="H948" s="40" t="str">
        <f>T("607253941")</f>
        <v>607253941</v>
      </c>
      <c r="I948" s="19" t="s">
        <v>2274</v>
      </c>
      <c r="J948" s="19" t="s">
        <v>2275</v>
      </c>
      <c r="K948" s="19" t="str">
        <f>T("85710")</f>
        <v>85710</v>
      </c>
      <c r="L948" s="19" t="s">
        <v>19</v>
      </c>
      <c r="M948" s="21" t="s">
        <v>1</v>
      </c>
      <c r="N948" s="31">
        <v>36892</v>
      </c>
    </row>
    <row r="949" spans="1:14" ht="16" x14ac:dyDescent="0.2">
      <c r="A949" s="19" t="s">
        <v>2276</v>
      </c>
      <c r="B949" s="20">
        <v>45218</v>
      </c>
      <c r="C949" s="19" t="str">
        <f>T("330243137:0830381486")</f>
        <v>330243137:0830381486</v>
      </c>
      <c r="D949" s="19" t="str">
        <f>T("EVOLEA")</f>
        <v>EVOLEA</v>
      </c>
      <c r="E949" s="19" t="str">
        <f>T("510146738")</f>
        <v>510146738</v>
      </c>
      <c r="F949" s="19" t="s">
        <v>17</v>
      </c>
      <c r="G949" s="19" t="s">
        <v>14</v>
      </c>
      <c r="H949" s="19" t="str">
        <f>T("607253955")</f>
        <v>607253955</v>
      </c>
      <c r="I949" s="20">
        <v>37165</v>
      </c>
      <c r="J949" s="19" t="s">
        <v>1433</v>
      </c>
      <c r="K949" s="19" t="str">
        <f>T("03100")</f>
        <v>03100</v>
      </c>
      <c r="L949" s="19" t="s">
        <v>19</v>
      </c>
      <c r="M949" s="21" t="s">
        <v>1</v>
      </c>
      <c r="N949" s="31">
        <v>45222</v>
      </c>
    </row>
    <row r="950" spans="1:14" ht="16" x14ac:dyDescent="0.2">
      <c r="A950" s="19" t="s">
        <v>2277</v>
      </c>
      <c r="B950" s="20">
        <v>45218</v>
      </c>
      <c r="C950" s="19" t="str">
        <f>T("330243076:0830381391")</f>
        <v>330243076:0830381391</v>
      </c>
      <c r="D950" s="19" t="str">
        <f>T("S.LAFOND")</f>
        <v>S.LAFOND</v>
      </c>
      <c r="E950" s="19" t="str">
        <f>T("510146390")</f>
        <v>510146390</v>
      </c>
      <c r="F950" s="19" t="s">
        <v>17</v>
      </c>
      <c r="G950" s="19" t="s">
        <v>14</v>
      </c>
      <c r="H950" s="19" t="str">
        <f>T("607253969")</f>
        <v>607253969</v>
      </c>
      <c r="I950" s="19" t="s">
        <v>1866</v>
      </c>
      <c r="J950" s="19" t="s">
        <v>24</v>
      </c>
      <c r="K950" s="19" t="str">
        <f>T("26200")</f>
        <v>26200</v>
      </c>
      <c r="L950" s="19" t="s">
        <v>19</v>
      </c>
      <c r="M950" s="21" t="s">
        <v>1</v>
      </c>
      <c r="N950" s="31">
        <v>45222</v>
      </c>
    </row>
    <row r="951" spans="1:14" ht="16" x14ac:dyDescent="0.2">
      <c r="A951" s="19" t="s">
        <v>2278</v>
      </c>
      <c r="B951" s="20">
        <v>45218</v>
      </c>
      <c r="C951" s="19" t="str">
        <f>T("330243085:0830381457")</f>
        <v>330243085:0830381457</v>
      </c>
      <c r="D951" s="19" t="str">
        <f>T("CD23-125 MENEZO")</f>
        <v>CD23-125 MENEZO</v>
      </c>
      <c r="E951" s="19" t="str">
        <f>T("510146661")</f>
        <v>510146661</v>
      </c>
      <c r="F951" s="19" t="s">
        <v>17</v>
      </c>
      <c r="G951" s="19" t="s">
        <v>14</v>
      </c>
      <c r="H951" s="19" t="str">
        <f>T("607253986")</f>
        <v>607253986</v>
      </c>
      <c r="I951" s="19" t="s">
        <v>2279</v>
      </c>
      <c r="J951" s="19" t="s">
        <v>2280</v>
      </c>
      <c r="K951" s="19" t="str">
        <f>T("33610")</f>
        <v>33610</v>
      </c>
      <c r="L951" s="19" t="s">
        <v>19</v>
      </c>
      <c r="M951" s="21" t="s">
        <v>1</v>
      </c>
      <c r="N951" s="31">
        <v>45219</v>
      </c>
    </row>
    <row r="952" spans="1:14" ht="16" x14ac:dyDescent="0.2">
      <c r="A952" s="19" t="s">
        <v>2281</v>
      </c>
      <c r="B952" s="20">
        <v>45218</v>
      </c>
      <c r="C952" s="19" t="str">
        <f>T("330227566:0830381527")</f>
        <v>330227566:0830381527</v>
      </c>
      <c r="D952" s="19" t="str">
        <f>T("161431")</f>
        <v>161431</v>
      </c>
      <c r="E952" s="19" t="str">
        <f>T("7660223240")</f>
        <v>7660223240</v>
      </c>
      <c r="F952" s="19" t="s">
        <v>16</v>
      </c>
      <c r="G952" s="19" t="s">
        <v>14</v>
      </c>
      <c r="H952" s="19" t="str">
        <f>T("607253990")</f>
        <v>607253990</v>
      </c>
      <c r="I952" s="19" t="s">
        <v>2282</v>
      </c>
      <c r="J952" s="19" t="s">
        <v>2283</v>
      </c>
      <c r="K952" s="19" t="str">
        <f>T("39200")</f>
        <v>39200</v>
      </c>
      <c r="L952" s="19" t="s">
        <v>19</v>
      </c>
      <c r="M952" s="21" t="s">
        <v>1</v>
      </c>
      <c r="N952" s="21"/>
    </row>
    <row r="953" spans="1:14" ht="16" x14ac:dyDescent="0.2">
      <c r="A953" s="19" t="s">
        <v>2284</v>
      </c>
      <c r="B953" s="20">
        <v>45218</v>
      </c>
      <c r="C953" s="19" t="str">
        <f>T("330243092:0830381462")</f>
        <v>330243092:0830381462</v>
      </c>
      <c r="D953" s="19" t="str">
        <f>T("23108264 - lidl d")</f>
        <v>23108264 - lidl d</v>
      </c>
      <c r="E953" s="19" t="str">
        <f>T("510146632")</f>
        <v>510146632</v>
      </c>
      <c r="F953" s="19" t="s">
        <v>16</v>
      </c>
      <c r="G953" s="19" t="s">
        <v>14</v>
      </c>
      <c r="H953" s="19" t="str">
        <f>T("607254006")</f>
        <v>607254006</v>
      </c>
      <c r="I953" s="19" t="s">
        <v>2285</v>
      </c>
      <c r="J953" s="19" t="s">
        <v>2286</v>
      </c>
      <c r="K953" s="19" t="str">
        <f>T("69680")</f>
        <v>69680</v>
      </c>
      <c r="L953" s="19" t="s">
        <v>19</v>
      </c>
      <c r="M953" s="21" t="s">
        <v>1</v>
      </c>
      <c r="N953" s="31">
        <v>45219</v>
      </c>
    </row>
    <row r="954" spans="1:14" ht="16" x14ac:dyDescent="0.2">
      <c r="A954" s="19" t="s">
        <v>2287</v>
      </c>
      <c r="B954" s="20">
        <v>45218</v>
      </c>
      <c r="C954" s="19" t="str">
        <f>T("330243117:0830381479")</f>
        <v>330243117:0830381479</v>
      </c>
      <c r="D954" s="19" t="str">
        <f>T("WC MARQUES")</f>
        <v>WC MARQUES</v>
      </c>
      <c r="E954" s="19" t="str">
        <f>T("510146789")</f>
        <v>510146789</v>
      </c>
      <c r="F954" s="19" t="s">
        <v>17</v>
      </c>
      <c r="G954" s="19" t="s">
        <v>14</v>
      </c>
      <c r="H954" s="19" t="str">
        <f>T("607254010")</f>
        <v>607254010</v>
      </c>
      <c r="I954" s="19" t="s">
        <v>2288</v>
      </c>
      <c r="J954" s="19" t="s">
        <v>2289</v>
      </c>
      <c r="K954" s="19" t="str">
        <f>T("41350")</f>
        <v>41350</v>
      </c>
      <c r="L954" s="19" t="s">
        <v>19</v>
      </c>
      <c r="M954" s="21" t="s">
        <v>1</v>
      </c>
      <c r="N954" s="31">
        <v>45219</v>
      </c>
    </row>
    <row r="955" spans="1:14" ht="16" x14ac:dyDescent="0.2">
      <c r="A955" s="19" t="s">
        <v>2290</v>
      </c>
      <c r="B955" s="20">
        <v>45218</v>
      </c>
      <c r="C955" s="19" t="str">
        <f>T("330243080:0830381455")</f>
        <v>330243080:0830381455</v>
      </c>
      <c r="D955" s="19" t="str">
        <f>T("SAV HAUTBOIS-DEBR")</f>
        <v>SAV HAUTBOIS-DEBR</v>
      </c>
      <c r="E955" s="19" t="str">
        <f>T("510146677")</f>
        <v>510146677</v>
      </c>
      <c r="F955" s="19" t="s">
        <v>17</v>
      </c>
      <c r="G955" s="19" t="s">
        <v>14</v>
      </c>
      <c r="H955" s="19" t="str">
        <f>T("607254023")</f>
        <v>607254023</v>
      </c>
      <c r="I955" s="19" t="s">
        <v>48</v>
      </c>
      <c r="J955" s="19" t="s">
        <v>2291</v>
      </c>
      <c r="K955" s="19" t="str">
        <f>T("50700")</f>
        <v>50700</v>
      </c>
      <c r="L955" s="19" t="s">
        <v>19</v>
      </c>
      <c r="M955" s="21" t="s">
        <v>1</v>
      </c>
      <c r="N955" s="31">
        <v>45222</v>
      </c>
    </row>
    <row r="956" spans="1:14" ht="16" x14ac:dyDescent="0.2">
      <c r="A956" s="19" t="s">
        <v>2292</v>
      </c>
      <c r="B956" s="20">
        <v>45218</v>
      </c>
      <c r="C956" s="19" t="str">
        <f>T("330243122:0830381481")</f>
        <v>330243122:0830381481</v>
      </c>
      <c r="D956" s="19" t="str">
        <f>T("WC246324 SERGE DE")</f>
        <v>WC246324 SERGE DE</v>
      </c>
      <c r="E956" s="19" t="str">
        <f>T("510146775")</f>
        <v>510146775</v>
      </c>
      <c r="F956" s="19" t="s">
        <v>17</v>
      </c>
      <c r="G956" s="19" t="s">
        <v>14</v>
      </c>
      <c r="H956" s="19" t="str">
        <f>T("607254037")</f>
        <v>607254037</v>
      </c>
      <c r="I956" s="19" t="s">
        <v>2293</v>
      </c>
      <c r="J956" s="19" t="s">
        <v>2294</v>
      </c>
      <c r="K956" s="19" t="str">
        <f>T("33320")</f>
        <v>33320</v>
      </c>
      <c r="L956" s="19" t="s">
        <v>19</v>
      </c>
      <c r="M956" s="21" t="s">
        <v>1</v>
      </c>
      <c r="N956" s="31">
        <v>45219</v>
      </c>
    </row>
    <row r="957" spans="1:14" ht="16" x14ac:dyDescent="0.2">
      <c r="A957" s="19" t="s">
        <v>2295</v>
      </c>
      <c r="B957" s="20">
        <v>45218</v>
      </c>
      <c r="C957" s="19" t="str">
        <f>T("330243093:0830381463")</f>
        <v>330243093:0830381463</v>
      </c>
      <c r="D957" s="19" t="str">
        <f>T("23108264-LIDL DR")</f>
        <v>23108264-LIDL DR</v>
      </c>
      <c r="E957" s="19" t="str">
        <f>T("510146631")</f>
        <v>510146631</v>
      </c>
      <c r="F957" s="19" t="s">
        <v>16</v>
      </c>
      <c r="G957" s="19" t="s">
        <v>14</v>
      </c>
      <c r="H957" s="19" t="str">
        <f>T("607254045")</f>
        <v>607254045</v>
      </c>
      <c r="I957" s="19" t="s">
        <v>2285</v>
      </c>
      <c r="J957" s="19" t="s">
        <v>2286</v>
      </c>
      <c r="K957" s="19" t="str">
        <f>T("69680")</f>
        <v>69680</v>
      </c>
      <c r="L957" s="19" t="s">
        <v>19</v>
      </c>
      <c r="M957" s="21" t="s">
        <v>1</v>
      </c>
      <c r="N957" s="31">
        <v>45219</v>
      </c>
    </row>
    <row r="958" spans="1:14" ht="16" x14ac:dyDescent="0.2">
      <c r="A958" s="19" t="s">
        <v>2296</v>
      </c>
      <c r="B958" s="20">
        <v>45218</v>
      </c>
      <c r="C958" s="19" t="str">
        <f>T("330243038:0830381440")</f>
        <v>330243038:0830381440</v>
      </c>
      <c r="D958" s="19" t="str">
        <f>T("CDC128291 D0072 S")</f>
        <v>CDC128291 D0072 S</v>
      </c>
      <c r="E958" s="19" t="str">
        <f>T("510146912")</f>
        <v>510146912</v>
      </c>
      <c r="F958" s="19" t="s">
        <v>16</v>
      </c>
      <c r="G958" s="19" t="s">
        <v>14</v>
      </c>
      <c r="H958" s="19" t="str">
        <f>T("607254054")</f>
        <v>607254054</v>
      </c>
      <c r="I958" s="19" t="s">
        <v>2297</v>
      </c>
      <c r="J958" s="19" t="s">
        <v>2298</v>
      </c>
      <c r="K958" s="19" t="str">
        <f>T("40090")</f>
        <v>40090</v>
      </c>
      <c r="L958" s="19" t="s">
        <v>19</v>
      </c>
      <c r="M958" s="21" t="s">
        <v>1</v>
      </c>
      <c r="N958" s="31">
        <v>45222</v>
      </c>
    </row>
    <row r="959" spans="1:14" ht="16" x14ac:dyDescent="0.2">
      <c r="A959" s="19" t="s">
        <v>2299</v>
      </c>
      <c r="B959" s="20">
        <v>45218</v>
      </c>
      <c r="C959" s="19" t="str">
        <f>T("330243031:0830381438")</f>
        <v>330243031:0830381438</v>
      </c>
      <c r="D959" s="19" t="str">
        <f>T("3054267")</f>
        <v>3054267</v>
      </c>
      <c r="E959" s="19" t="str">
        <f>T("510146885")</f>
        <v>510146885</v>
      </c>
      <c r="F959" s="19" t="s">
        <v>17</v>
      </c>
      <c r="G959" s="19" t="s">
        <v>14</v>
      </c>
      <c r="H959" s="19" t="str">
        <f>T("607254139")</f>
        <v>607254139</v>
      </c>
      <c r="I959" s="19" t="s">
        <v>299</v>
      </c>
      <c r="J959" s="19" t="s">
        <v>2300</v>
      </c>
      <c r="K959" s="19" t="str">
        <f>T("33612")</f>
        <v>33612</v>
      </c>
      <c r="L959" s="19" t="s">
        <v>19</v>
      </c>
      <c r="M959" s="21" t="s">
        <v>1</v>
      </c>
      <c r="N959" s="31">
        <v>45219</v>
      </c>
    </row>
    <row r="960" spans="1:14" ht="16" x14ac:dyDescent="0.2">
      <c r="A960" s="19" t="s">
        <v>2301</v>
      </c>
      <c r="B960" s="20">
        <v>45218</v>
      </c>
      <c r="C960" s="19" t="str">
        <f>T("330243135:0830381425")</f>
        <v>330243135:0830381425</v>
      </c>
      <c r="D960" s="19" t="str">
        <f>T("00100449-SAV RAD5")</f>
        <v>00100449-SAV RAD5</v>
      </c>
      <c r="E960" s="19" t="str">
        <f>T("510146744")</f>
        <v>510146744</v>
      </c>
      <c r="F960" s="19" t="s">
        <v>16</v>
      </c>
      <c r="G960" s="19" t="s">
        <v>14</v>
      </c>
      <c r="H960" s="19" t="str">
        <f>T("607254142")</f>
        <v>607254142</v>
      </c>
      <c r="I960" s="19" t="s">
        <v>283</v>
      </c>
      <c r="J960" s="19" t="s">
        <v>284</v>
      </c>
      <c r="K960" s="19" t="str">
        <f>T("06700")</f>
        <v>06700</v>
      </c>
      <c r="L960" s="19" t="s">
        <v>19</v>
      </c>
      <c r="M960" s="21" t="s">
        <v>1</v>
      </c>
      <c r="N960" s="31">
        <v>45219</v>
      </c>
    </row>
    <row r="961" spans="1:14" ht="16" x14ac:dyDescent="0.2">
      <c r="A961" s="19" t="s">
        <v>2302</v>
      </c>
      <c r="B961" s="20">
        <v>45218</v>
      </c>
      <c r="C961" s="19" t="str">
        <f>T("330243129:0830381484")</f>
        <v>330243129:0830381484</v>
      </c>
      <c r="D961" s="19" t="str">
        <f>T("963403458")</f>
        <v>963403458</v>
      </c>
      <c r="E961" s="19" t="str">
        <f>T("510146762")</f>
        <v>510146762</v>
      </c>
      <c r="F961" s="19" t="s">
        <v>17</v>
      </c>
      <c r="G961" s="19" t="s">
        <v>14</v>
      </c>
      <c r="H961" s="19" t="str">
        <f>T("607254085")</f>
        <v>607254085</v>
      </c>
      <c r="I961" s="19" t="s">
        <v>2303</v>
      </c>
      <c r="J961" s="19" t="s">
        <v>2304</v>
      </c>
      <c r="K961" s="19" t="str">
        <f>T("45500")</f>
        <v>45500</v>
      </c>
      <c r="L961" s="19" t="s">
        <v>19</v>
      </c>
      <c r="M961" s="21" t="s">
        <v>1</v>
      </c>
      <c r="N961" s="31">
        <v>45219</v>
      </c>
    </row>
    <row r="962" spans="1:14" ht="16" x14ac:dyDescent="0.2">
      <c r="A962" s="19" t="s">
        <v>2305</v>
      </c>
      <c r="B962" s="20">
        <v>45218</v>
      </c>
      <c r="C962" s="19" t="str">
        <f>T("330242384:0830380272")</f>
        <v>330242384:0830380272</v>
      </c>
      <c r="D962" s="19" t="str">
        <f>T("ALLO C2F")</f>
        <v>ALLO C2F</v>
      </c>
      <c r="E962" s="19" t="str">
        <f>T("510146629")</f>
        <v>510146629</v>
      </c>
      <c r="F962" s="19" t="s">
        <v>17</v>
      </c>
      <c r="G962" s="19" t="s">
        <v>14</v>
      </c>
      <c r="H962" s="19" t="str">
        <f>T("607254099")</f>
        <v>607254099</v>
      </c>
      <c r="I962" s="19" t="s">
        <v>219</v>
      </c>
      <c r="J962" s="19" t="s">
        <v>2073</v>
      </c>
      <c r="K962" s="19" t="str">
        <f>T("42000")</f>
        <v>42000</v>
      </c>
      <c r="L962" s="19" t="s">
        <v>19</v>
      </c>
      <c r="M962" s="21" t="s">
        <v>1</v>
      </c>
      <c r="N962" s="31">
        <v>45219</v>
      </c>
    </row>
    <row r="963" spans="1:14" ht="16" x14ac:dyDescent="0.2">
      <c r="A963" s="19" t="s">
        <v>2306</v>
      </c>
      <c r="B963" s="20">
        <v>45218</v>
      </c>
      <c r="C963" s="19" t="str">
        <f>T("330243083:0830381394")</f>
        <v>330243083:0830381394</v>
      </c>
      <c r="D963" s="19" t="str">
        <f>T("FA0735468 LB0003")</f>
        <v>FA0735468 LB0003</v>
      </c>
      <c r="E963" s="19" t="str">
        <f>T("510146664")</f>
        <v>510146664</v>
      </c>
      <c r="F963" s="19" t="s">
        <v>17</v>
      </c>
      <c r="G963" s="19" t="s">
        <v>14</v>
      </c>
      <c r="H963" s="19" t="str">
        <f>T("607254108")</f>
        <v>607254108</v>
      </c>
      <c r="I963" s="19" t="s">
        <v>26</v>
      </c>
      <c r="J963" s="19" t="s">
        <v>27</v>
      </c>
      <c r="K963" s="19" t="str">
        <f>T("64000")</f>
        <v>64000</v>
      </c>
      <c r="L963" s="19" t="s">
        <v>19</v>
      </c>
      <c r="M963" s="21" t="s">
        <v>1</v>
      </c>
      <c r="N963" s="31">
        <v>45219</v>
      </c>
    </row>
    <row r="964" spans="1:14" ht="16" x14ac:dyDescent="0.2">
      <c r="A964" s="19" t="s">
        <v>2307</v>
      </c>
      <c r="B964" s="20">
        <v>45218</v>
      </c>
      <c r="C964" s="19" t="str">
        <f>T("330243077:0830381453")</f>
        <v>330243077:0830381453</v>
      </c>
      <c r="D964" s="19" t="str">
        <f>T("895974")</f>
        <v>895974</v>
      </c>
      <c r="E964" s="19" t="str">
        <f>T("510146684")</f>
        <v>510146684</v>
      </c>
      <c r="F964" s="19" t="s">
        <v>17</v>
      </c>
      <c r="G964" s="19" t="s">
        <v>14</v>
      </c>
      <c r="H964" s="19" t="str">
        <f>T("607254111")</f>
        <v>607254111</v>
      </c>
      <c r="I964" s="19" t="s">
        <v>2161</v>
      </c>
      <c r="J964" s="19" t="s">
        <v>2162</v>
      </c>
      <c r="K964" s="19" t="str">
        <f>T("24206")</f>
        <v>24206</v>
      </c>
      <c r="L964" s="19" t="s">
        <v>19</v>
      </c>
      <c r="M964" s="21" t="s">
        <v>1</v>
      </c>
      <c r="N964" s="31">
        <v>36892</v>
      </c>
    </row>
    <row r="965" spans="1:14" ht="16" x14ac:dyDescent="0.2">
      <c r="A965" s="19" t="s">
        <v>2308</v>
      </c>
      <c r="B965" s="20">
        <v>45218</v>
      </c>
      <c r="C965" s="19" t="str">
        <f>T("330243108:0830381537")</f>
        <v>330243108:0830381537</v>
      </c>
      <c r="D965" s="19" t="str">
        <f>T("DARJ ORLEANS")</f>
        <v>DARJ ORLEANS</v>
      </c>
      <c r="E965" s="19" t="str">
        <f>T("510146700")</f>
        <v>510146700</v>
      </c>
      <c r="F965" s="19" t="s">
        <v>17</v>
      </c>
      <c r="G965" s="19" t="s">
        <v>14</v>
      </c>
      <c r="H965" s="19" t="str">
        <f>T("607254125")</f>
        <v>607254125</v>
      </c>
      <c r="I965" s="19" t="s">
        <v>2309</v>
      </c>
      <c r="J965" s="19" t="s">
        <v>2310</v>
      </c>
      <c r="K965" s="19" t="str">
        <f>T("77000")</f>
        <v>77000</v>
      </c>
      <c r="L965" s="19" t="s">
        <v>19</v>
      </c>
      <c r="M965" s="21" t="s">
        <v>1</v>
      </c>
      <c r="N965" s="31">
        <v>3</v>
      </c>
    </row>
    <row r="966" spans="1:14" ht="16" x14ac:dyDescent="0.2">
      <c r="A966" s="19" t="s">
        <v>2311</v>
      </c>
      <c r="B966" s="20">
        <v>45218</v>
      </c>
      <c r="C966" s="19" t="str">
        <f>T("330243004:0830381339")</f>
        <v>330243004:0830381339</v>
      </c>
      <c r="D966" s="19" t="str">
        <f>T("AVLHO-CF23091899")</f>
        <v>AVLHO-CF23091899</v>
      </c>
      <c r="E966" s="19" t="str">
        <f>T("510146824")</f>
        <v>510146824</v>
      </c>
      <c r="F966" s="19" t="s">
        <v>16</v>
      </c>
      <c r="G966" s="19" t="s">
        <v>14</v>
      </c>
      <c r="H966" s="19" t="str">
        <f>T("607254156")</f>
        <v>607254156</v>
      </c>
      <c r="I966" s="19" t="s">
        <v>1557</v>
      </c>
      <c r="J966" s="19" t="s">
        <v>2312</v>
      </c>
      <c r="K966" s="19" t="str">
        <f>T("39100")</f>
        <v>39100</v>
      </c>
      <c r="L966" s="19" t="s">
        <v>19</v>
      </c>
      <c r="M966" s="21" t="s">
        <v>1</v>
      </c>
      <c r="N966" s="31">
        <v>45222</v>
      </c>
    </row>
    <row r="967" spans="1:14" ht="16" x14ac:dyDescent="0.2">
      <c r="A967" s="19" t="s">
        <v>2313</v>
      </c>
      <c r="B967" s="20">
        <v>45218</v>
      </c>
      <c r="C967" s="19" t="str">
        <f>T("330243109:0830381410")</f>
        <v>330243109:0830381410</v>
      </c>
      <c r="D967" s="19" t="str">
        <f>T("WC VIGNAL")</f>
        <v>WC VIGNAL</v>
      </c>
      <c r="E967" s="19" t="str">
        <f>T("510146796")</f>
        <v>510146796</v>
      </c>
      <c r="F967" s="19" t="s">
        <v>17</v>
      </c>
      <c r="G967" s="19" t="s">
        <v>14</v>
      </c>
      <c r="H967" s="19" t="str">
        <f>T("607254160")</f>
        <v>607254160</v>
      </c>
      <c r="I967" s="19" t="s">
        <v>2013</v>
      </c>
      <c r="J967" s="19" t="s">
        <v>2314</v>
      </c>
      <c r="K967" s="19" t="str">
        <f>T("26250")</f>
        <v>26250</v>
      </c>
      <c r="L967" s="19" t="s">
        <v>19</v>
      </c>
      <c r="M967" s="21" t="s">
        <v>1</v>
      </c>
      <c r="N967" s="31">
        <v>45222</v>
      </c>
    </row>
    <row r="968" spans="1:14" ht="16" x14ac:dyDescent="0.2">
      <c r="A968" s="19" t="s">
        <v>2315</v>
      </c>
      <c r="B968" s="20">
        <v>45218</v>
      </c>
      <c r="C968" s="19" t="str">
        <f>T("330243133:0830381423")</f>
        <v>330243133:0830381423</v>
      </c>
      <c r="D968" s="19" t="str">
        <f>T("CDF025807 STOCK F")</f>
        <v>CDF025807 STOCK F</v>
      </c>
      <c r="E968" s="19" t="str">
        <f>T("510146758")</f>
        <v>510146758</v>
      </c>
      <c r="F968" s="19" t="s">
        <v>16</v>
      </c>
      <c r="G968" s="19" t="s">
        <v>14</v>
      </c>
      <c r="H968" s="19" t="str">
        <f>T("607254173")</f>
        <v>607254173</v>
      </c>
      <c r="I968" s="19" t="s">
        <v>2316</v>
      </c>
      <c r="J968" s="19" t="s">
        <v>2317</v>
      </c>
      <c r="K968" s="19" t="str">
        <f>T("40230")</f>
        <v>40230</v>
      </c>
      <c r="L968" s="19" t="s">
        <v>19</v>
      </c>
      <c r="M968" s="21" t="s">
        <v>1</v>
      </c>
      <c r="N968" s="31">
        <v>45222</v>
      </c>
    </row>
    <row r="969" spans="1:14" ht="16" x14ac:dyDescent="0.2">
      <c r="A969" s="19" t="s">
        <v>2318</v>
      </c>
      <c r="B969" s="20">
        <v>45218</v>
      </c>
      <c r="C969" s="19" t="str">
        <f>T("330243023:0830381356")</f>
        <v>330243023:0830381356</v>
      </c>
      <c r="D969" s="19" t="str">
        <f>T("C2310108 HYD 44BC")</f>
        <v>C2310108 HYD 44BC</v>
      </c>
      <c r="E969" s="19" t="str">
        <f>T("510146867")</f>
        <v>510146867</v>
      </c>
      <c r="F969" s="19" t="s">
        <v>16</v>
      </c>
      <c r="G969" s="19" t="s">
        <v>14</v>
      </c>
      <c r="H969" s="19" t="str">
        <f>T("607254187")</f>
        <v>607254187</v>
      </c>
      <c r="I969" s="19" t="s">
        <v>1149</v>
      </c>
      <c r="J969" s="19" t="s">
        <v>2319</v>
      </c>
      <c r="K969" s="19" t="str">
        <f>T("56700")</f>
        <v>56700</v>
      </c>
      <c r="L969" s="19" t="s">
        <v>19</v>
      </c>
      <c r="M969" s="21" t="s">
        <v>1</v>
      </c>
      <c r="N969" s="21"/>
    </row>
    <row r="970" spans="1:14" ht="16" x14ac:dyDescent="0.2">
      <c r="A970" s="19" t="s">
        <v>2320</v>
      </c>
      <c r="B970" s="20">
        <v>45218</v>
      </c>
      <c r="C970" s="19" t="str">
        <f>T("330243054:0830381376")</f>
        <v>330243054:0830381376</v>
      </c>
      <c r="D970" s="19" t="str">
        <f>T("00100493-SAV LEFE")</f>
        <v>00100493-SAV LEFE</v>
      </c>
      <c r="E970" s="19" t="str">
        <f>T("510146897")</f>
        <v>510146897</v>
      </c>
      <c r="F970" s="19" t="s">
        <v>16</v>
      </c>
      <c r="G970" s="19" t="s">
        <v>14</v>
      </c>
      <c r="H970" s="19" t="str">
        <f>T("607254403")</f>
        <v>607254403</v>
      </c>
      <c r="I970" s="19" t="s">
        <v>1568</v>
      </c>
      <c r="J970" s="19" t="s">
        <v>1569</v>
      </c>
      <c r="K970" s="19" t="str">
        <f>T("06110")</f>
        <v>06110</v>
      </c>
      <c r="L970" s="19" t="s">
        <v>19</v>
      </c>
      <c r="M970" s="21" t="s">
        <v>1</v>
      </c>
      <c r="N970" s="31">
        <v>45219</v>
      </c>
    </row>
    <row r="971" spans="1:14" ht="16" x14ac:dyDescent="0.2">
      <c r="A971" s="19" t="s">
        <v>2321</v>
      </c>
      <c r="B971" s="20">
        <v>45218</v>
      </c>
      <c r="C971" s="19" t="str">
        <f>T("330243066:0830381383")</f>
        <v>330243066:0830381383</v>
      </c>
      <c r="D971" s="19" t="str">
        <f>T("161738")</f>
        <v>161738</v>
      </c>
      <c r="E971" s="19" t="str">
        <f>T("510146510")</f>
        <v>510146510</v>
      </c>
      <c r="F971" s="19" t="s">
        <v>16</v>
      </c>
      <c r="G971" s="19" t="s">
        <v>14</v>
      </c>
      <c r="H971" s="19" t="str">
        <f>T("607254195")</f>
        <v>607254195</v>
      </c>
      <c r="I971" s="19" t="s">
        <v>2322</v>
      </c>
      <c r="J971" s="19" t="s">
        <v>2323</v>
      </c>
      <c r="K971" s="19" t="str">
        <f>T("34270")</f>
        <v>34270</v>
      </c>
      <c r="L971" s="19" t="s">
        <v>19</v>
      </c>
      <c r="M971" s="21" t="s">
        <v>1</v>
      </c>
      <c r="N971" s="31">
        <v>45219</v>
      </c>
    </row>
    <row r="972" spans="1:14" ht="16" x14ac:dyDescent="0.2">
      <c r="A972" s="19" t="s">
        <v>2324</v>
      </c>
      <c r="B972" s="20">
        <v>45218</v>
      </c>
      <c r="C972" s="19" t="str">
        <f>T("330243063:0830381451")</f>
        <v>330243063:0830381451</v>
      </c>
      <c r="D972" s="19" t="str">
        <f>T("BC988389")</f>
        <v>BC988389</v>
      </c>
      <c r="E972" s="19" t="str">
        <f>T("510146804")</f>
        <v>510146804</v>
      </c>
      <c r="F972" s="19" t="s">
        <v>16</v>
      </c>
      <c r="G972" s="19" t="s">
        <v>14</v>
      </c>
      <c r="H972" s="19" t="str">
        <f>T("607254200")</f>
        <v>607254200</v>
      </c>
      <c r="I972" s="19" t="s">
        <v>68</v>
      </c>
      <c r="J972" s="19" t="s">
        <v>2325</v>
      </c>
      <c r="K972" s="19" t="str">
        <f>T("34560")</f>
        <v>34560</v>
      </c>
      <c r="L972" s="19" t="s">
        <v>19</v>
      </c>
      <c r="M972" s="21" t="s">
        <v>1</v>
      </c>
      <c r="N972" s="31">
        <v>45219</v>
      </c>
    </row>
    <row r="973" spans="1:14" ht="16" x14ac:dyDescent="0.2">
      <c r="A973" s="19" t="s">
        <v>2326</v>
      </c>
      <c r="B973" s="20">
        <v>45218</v>
      </c>
      <c r="C973" s="19" t="str">
        <f>T("330238781:0830381553")</f>
        <v>330238781:0830381553</v>
      </c>
      <c r="D973" s="19" t="str">
        <f>T("21194JD22010 APHP")</f>
        <v>21194JD22010 APHP</v>
      </c>
      <c r="E973" s="19" t="str">
        <f>T("510146261")</f>
        <v>510146261</v>
      </c>
      <c r="F973" s="19" t="s">
        <v>16</v>
      </c>
      <c r="G973" s="19" t="s">
        <v>14</v>
      </c>
      <c r="H973" s="19" t="str">
        <f>T("607254332")</f>
        <v>607254332</v>
      </c>
      <c r="I973" s="19" t="s">
        <v>2327</v>
      </c>
      <c r="J973" s="19" t="s">
        <v>2328</v>
      </c>
      <c r="K973" s="19" t="str">
        <f>T("94460")</f>
        <v>94460</v>
      </c>
      <c r="L973" s="19" t="s">
        <v>19</v>
      </c>
      <c r="M973" s="21" t="s">
        <v>1</v>
      </c>
      <c r="N973" s="21"/>
    </row>
    <row r="974" spans="1:14" ht="16" x14ac:dyDescent="0.2">
      <c r="A974" s="19" t="s">
        <v>2329</v>
      </c>
      <c r="B974" s="20">
        <v>45218</v>
      </c>
      <c r="C974" s="19" t="str">
        <f>T("330243059:0830381379")</f>
        <v>330243059:0830381379</v>
      </c>
      <c r="D974" s="19" t="str">
        <f>T("CA2310112")</f>
        <v>CA2310112</v>
      </c>
      <c r="E974" s="19" t="str">
        <f>T("510146848")</f>
        <v>510146848</v>
      </c>
      <c r="F974" s="19" t="s">
        <v>16</v>
      </c>
      <c r="G974" s="19" t="s">
        <v>14</v>
      </c>
      <c r="H974" s="19" t="str">
        <f>T("607254227")</f>
        <v>607254227</v>
      </c>
      <c r="I974" s="19" t="s">
        <v>1937</v>
      </c>
      <c r="J974" s="19" t="s">
        <v>1938</v>
      </c>
      <c r="K974" s="19" t="str">
        <f>T("51370")</f>
        <v>51370</v>
      </c>
      <c r="L974" s="19" t="s">
        <v>19</v>
      </c>
      <c r="M974" s="21" t="s">
        <v>1</v>
      </c>
      <c r="N974" s="31">
        <v>45222</v>
      </c>
    </row>
    <row r="975" spans="1:14" ht="16" x14ac:dyDescent="0.2">
      <c r="A975" s="19" t="s">
        <v>2330</v>
      </c>
      <c r="B975" s="20">
        <v>45218</v>
      </c>
      <c r="C975" s="19" t="str">
        <f>T("330237147:0830381528")</f>
        <v>330237147:0830381528</v>
      </c>
      <c r="D975" s="19" t="str">
        <f>T("WC-CAISSE D EPARG")</f>
        <v>WC-CAISSE D EPARG</v>
      </c>
      <c r="E975" s="19" t="str">
        <f>T("510146324")</f>
        <v>510146324</v>
      </c>
      <c r="F975" s="19" t="s">
        <v>16</v>
      </c>
      <c r="G975" s="19" t="s">
        <v>14</v>
      </c>
      <c r="H975" s="19" t="str">
        <f>T("607254235")</f>
        <v>607254235</v>
      </c>
      <c r="I975" s="19" t="s">
        <v>2331</v>
      </c>
      <c r="J975" s="19" t="s">
        <v>2332</v>
      </c>
      <c r="K975" s="19" t="str">
        <f>T("30100")</f>
        <v>30100</v>
      </c>
      <c r="L975" s="19" t="s">
        <v>19</v>
      </c>
      <c r="M975" s="21" t="s">
        <v>1</v>
      </c>
      <c r="N975" s="21"/>
    </row>
    <row r="976" spans="1:14" ht="16" x14ac:dyDescent="0.2">
      <c r="A976" s="19" t="s">
        <v>2333</v>
      </c>
      <c r="B976" s="20">
        <v>45218</v>
      </c>
      <c r="C976" s="19" t="str">
        <f>T("330243139:0830381487")</f>
        <v>330243139:0830381487</v>
      </c>
      <c r="D976" s="19" t="str">
        <f>T("SOL2310FBC009017-")</f>
        <v>SOL2310FBC009017-</v>
      </c>
      <c r="E976" s="19" t="str">
        <f>T("510146722")</f>
        <v>510146722</v>
      </c>
      <c r="F976" s="19" t="s">
        <v>16</v>
      </c>
      <c r="G976" s="19" t="s">
        <v>14</v>
      </c>
      <c r="H976" s="19" t="str">
        <f>T("607254244")</f>
        <v>607254244</v>
      </c>
      <c r="I976" s="19" t="s">
        <v>1138</v>
      </c>
      <c r="J976" s="19" t="s">
        <v>1139</v>
      </c>
      <c r="K976" s="19" t="str">
        <f>T("82000")</f>
        <v>82000</v>
      </c>
      <c r="L976" s="19" t="s">
        <v>19</v>
      </c>
      <c r="M976" s="21" t="s">
        <v>1</v>
      </c>
      <c r="N976" s="31">
        <v>45222</v>
      </c>
    </row>
    <row r="977" spans="1:14" ht="16" x14ac:dyDescent="0.2">
      <c r="A977" s="19" t="s">
        <v>2334</v>
      </c>
      <c r="B977" s="20">
        <v>45218</v>
      </c>
      <c r="C977" s="19" t="str">
        <f>T("330243094:0830381464")</f>
        <v>330243094:0830381464</v>
      </c>
      <c r="D977" s="19" t="str">
        <f>T("23098207-COUERBE")</f>
        <v>23098207-COUERBE</v>
      </c>
      <c r="E977" s="19" t="str">
        <f>T("510146630")</f>
        <v>510146630</v>
      </c>
      <c r="F977" s="19" t="s">
        <v>16</v>
      </c>
      <c r="G977" s="19" t="s">
        <v>14</v>
      </c>
      <c r="H977" s="19" t="str">
        <f>T("607254258")</f>
        <v>607254258</v>
      </c>
      <c r="I977" s="19" t="s">
        <v>1396</v>
      </c>
      <c r="J977" s="19" t="s">
        <v>1397</v>
      </c>
      <c r="K977" s="19" t="str">
        <f>T("69400")</f>
        <v>69400</v>
      </c>
      <c r="L977" s="19" t="s">
        <v>19</v>
      </c>
      <c r="M977" s="21" t="s">
        <v>1</v>
      </c>
      <c r="N977" s="31">
        <v>45219</v>
      </c>
    </row>
    <row r="978" spans="1:14" ht="16" x14ac:dyDescent="0.2">
      <c r="A978" s="19" t="s">
        <v>2335</v>
      </c>
      <c r="B978" s="20">
        <v>45218</v>
      </c>
      <c r="C978" s="19" t="str">
        <f>T("330242989:0830381330")</f>
        <v>330242989:0830381330</v>
      </c>
      <c r="D978" s="19" t="str">
        <f>T("COMBAUD")</f>
        <v>COMBAUD</v>
      </c>
      <c r="E978" s="19" t="str">
        <f>T("510146833")</f>
        <v>510146833</v>
      </c>
      <c r="F978" s="19" t="s">
        <v>17</v>
      </c>
      <c r="G978" s="19" t="s">
        <v>14</v>
      </c>
      <c r="H978" s="19" t="str">
        <f>T("607254275")</f>
        <v>607254275</v>
      </c>
      <c r="I978" s="19" t="s">
        <v>1432</v>
      </c>
      <c r="J978" s="19" t="s">
        <v>1433</v>
      </c>
      <c r="K978" s="19" t="str">
        <f>T("03100")</f>
        <v>03100</v>
      </c>
      <c r="L978" s="19" t="s">
        <v>19</v>
      </c>
      <c r="M978" s="21" t="s">
        <v>1</v>
      </c>
      <c r="N978" s="31">
        <v>45222</v>
      </c>
    </row>
    <row r="979" spans="1:14" ht="16" x14ac:dyDescent="0.2">
      <c r="A979" s="19" t="s">
        <v>2336</v>
      </c>
      <c r="B979" s="20">
        <v>45218</v>
      </c>
      <c r="C979" s="19" t="str">
        <f>T("330243110:0830381476")</f>
        <v>330243110:0830381476</v>
      </c>
      <c r="D979" s="19" t="str">
        <f>T("WC CCL MTL")</f>
        <v>WC CCL MTL</v>
      </c>
      <c r="E979" s="19" t="str">
        <f>T("510146795")</f>
        <v>510146795</v>
      </c>
      <c r="F979" s="19" t="s">
        <v>17</v>
      </c>
      <c r="G979" s="19" t="s">
        <v>14</v>
      </c>
      <c r="H979" s="19" t="str">
        <f>T("607254289")</f>
        <v>607254289</v>
      </c>
      <c r="I979" s="19" t="s">
        <v>22</v>
      </c>
      <c r="J979" s="19" t="s">
        <v>24</v>
      </c>
      <c r="K979" s="19" t="str">
        <f>T("26200")</f>
        <v>26200</v>
      </c>
      <c r="L979" s="19" t="s">
        <v>19</v>
      </c>
      <c r="M979" s="21" t="s">
        <v>1</v>
      </c>
      <c r="N979" s="31">
        <v>45222</v>
      </c>
    </row>
    <row r="980" spans="1:14" ht="16" x14ac:dyDescent="0.2">
      <c r="A980" s="19" t="s">
        <v>2337</v>
      </c>
      <c r="B980" s="20">
        <v>45218</v>
      </c>
      <c r="C980" s="19" t="str">
        <f>T("330242996:0830381334")</f>
        <v>330242996:0830381334</v>
      </c>
      <c r="D980" s="19" t="str">
        <f>T("WC LAGARDERE")</f>
        <v>WC LAGARDERE</v>
      </c>
      <c r="E980" s="19" t="str">
        <f>T("510146863")</f>
        <v>510146863</v>
      </c>
      <c r="F980" s="19" t="s">
        <v>17</v>
      </c>
      <c r="G980" s="19" t="s">
        <v>14</v>
      </c>
      <c r="H980" s="19" t="str">
        <f>T("607254292")</f>
        <v>607254292</v>
      </c>
      <c r="I980" s="19" t="s">
        <v>2338</v>
      </c>
      <c r="J980" s="19" t="s">
        <v>2339</v>
      </c>
      <c r="K980" s="19" t="str">
        <f>T("47400")</f>
        <v>47400</v>
      </c>
      <c r="L980" s="19" t="s">
        <v>19</v>
      </c>
      <c r="M980" s="21" t="s">
        <v>1</v>
      </c>
      <c r="N980" s="31">
        <v>45222</v>
      </c>
    </row>
    <row r="981" spans="1:14" ht="16" x14ac:dyDescent="0.2">
      <c r="A981" s="19" t="s">
        <v>2340</v>
      </c>
      <c r="B981" s="20">
        <v>45218</v>
      </c>
      <c r="C981" s="19" t="str">
        <f>T("330243121:0830381417")</f>
        <v>330243121:0830381417</v>
      </c>
      <c r="D981" s="19" t="str">
        <f>T("WC-ETD STOCK")</f>
        <v>WC-ETD STOCK</v>
      </c>
      <c r="E981" s="19" t="str">
        <f>T("510146778")</f>
        <v>510146778</v>
      </c>
      <c r="F981" s="19" t="s">
        <v>17</v>
      </c>
      <c r="G981" s="19" t="s">
        <v>14</v>
      </c>
      <c r="H981" s="19" t="str">
        <f>T("607254301")</f>
        <v>607254301</v>
      </c>
      <c r="I981" s="19" t="s">
        <v>851</v>
      </c>
      <c r="J981" s="19" t="s">
        <v>859</v>
      </c>
      <c r="K981" s="19" t="str">
        <f>T("54180")</f>
        <v>54180</v>
      </c>
      <c r="L981" s="19" t="s">
        <v>19</v>
      </c>
      <c r="M981" s="21" t="s">
        <v>1</v>
      </c>
      <c r="N981" s="31">
        <v>45222</v>
      </c>
    </row>
    <row r="982" spans="1:14" ht="16" x14ac:dyDescent="0.2">
      <c r="A982" s="19" t="s">
        <v>2341</v>
      </c>
      <c r="B982" s="20">
        <v>45218</v>
      </c>
      <c r="C982" s="19" t="str">
        <f>T("330243051:0830381373")</f>
        <v>330243051:0830381373</v>
      </c>
      <c r="D982" s="19" t="str">
        <f>T("WC-MR RENE")</f>
        <v>WC-MR RENE</v>
      </c>
      <c r="E982" s="19" t="str">
        <f>T("510146900")</f>
        <v>510146900</v>
      </c>
      <c r="F982" s="19" t="s">
        <v>17</v>
      </c>
      <c r="G982" s="19" t="s">
        <v>14</v>
      </c>
      <c r="H982" s="19" t="str">
        <f>T("607254315")</f>
        <v>607254315</v>
      </c>
      <c r="I982" s="19" t="s">
        <v>2342</v>
      </c>
      <c r="J982" s="19" t="s">
        <v>2343</v>
      </c>
      <c r="K982" s="19" t="str">
        <f>T("76160")</f>
        <v>76160</v>
      </c>
      <c r="L982" s="19" t="s">
        <v>19</v>
      </c>
      <c r="M982" s="21" t="s">
        <v>1</v>
      </c>
      <c r="N982" s="31">
        <v>45219</v>
      </c>
    </row>
    <row r="983" spans="1:14" ht="16" x14ac:dyDescent="0.2">
      <c r="A983" s="19" t="s">
        <v>2344</v>
      </c>
      <c r="B983" s="20">
        <v>45218</v>
      </c>
      <c r="C983" s="19" t="str">
        <f>T("330243088:0830381459")</f>
        <v>330243088:0830381459</v>
      </c>
      <c r="D983" s="19" t="str">
        <f>T("23098186 - mairie")</f>
        <v>23098186 - mairie</v>
      </c>
      <c r="E983" s="19" t="str">
        <f>T("510146642")</f>
        <v>510146642</v>
      </c>
      <c r="F983" s="19" t="s">
        <v>17</v>
      </c>
      <c r="G983" s="19" t="s">
        <v>14</v>
      </c>
      <c r="H983" s="19" t="str">
        <f>T("607254329")</f>
        <v>607254329</v>
      </c>
      <c r="I983" s="19" t="s">
        <v>2309</v>
      </c>
      <c r="J983" s="19" t="s">
        <v>2345</v>
      </c>
      <c r="K983" s="19" t="str">
        <f>T("42000")</f>
        <v>42000</v>
      </c>
      <c r="L983" s="19" t="s">
        <v>19</v>
      </c>
      <c r="M983" s="21" t="s">
        <v>1</v>
      </c>
      <c r="N983" s="31">
        <v>45219</v>
      </c>
    </row>
    <row r="984" spans="1:14" ht="16" x14ac:dyDescent="0.2">
      <c r="A984" s="19" t="s">
        <v>2346</v>
      </c>
      <c r="B984" s="20">
        <v>45218</v>
      </c>
      <c r="C984" s="19" t="str">
        <f>T("330243142:0830381489")</f>
        <v>330243142:0830381489</v>
      </c>
      <c r="D984" s="19" t="str">
        <f>T("01/CF23090437")</f>
        <v>01/CF23090437</v>
      </c>
      <c r="E984" s="19" t="str">
        <f>T("510146711")</f>
        <v>510146711</v>
      </c>
      <c r="F984" s="19" t="s">
        <v>16</v>
      </c>
      <c r="G984" s="19" t="s">
        <v>14</v>
      </c>
      <c r="H984" s="19" t="str">
        <f>T("607254346")</f>
        <v>607254346</v>
      </c>
      <c r="I984" s="19" t="s">
        <v>2347</v>
      </c>
      <c r="J984" s="19" t="s">
        <v>2348</v>
      </c>
      <c r="K984" s="19" t="str">
        <f>T("65000")</f>
        <v>65000</v>
      </c>
      <c r="L984" s="19" t="s">
        <v>19</v>
      </c>
      <c r="M984" s="21" t="s">
        <v>1</v>
      </c>
      <c r="N984" s="31">
        <v>45222</v>
      </c>
    </row>
    <row r="985" spans="1:14" ht="16" x14ac:dyDescent="0.2">
      <c r="A985" s="19" t="s">
        <v>2349</v>
      </c>
      <c r="B985" s="20">
        <v>45218</v>
      </c>
      <c r="C985" s="19" t="str">
        <f>T("330243095:0830381398")</f>
        <v>330243095:0830381398</v>
      </c>
      <c r="D985" s="19" t="str">
        <f>T("CDC128047 CB0038")</f>
        <v>CDC128047 CB0038</v>
      </c>
      <c r="E985" s="19" t="str">
        <f>T("510146622")</f>
        <v>510146622</v>
      </c>
      <c r="F985" s="19" t="s">
        <v>17</v>
      </c>
      <c r="G985" s="19" t="s">
        <v>14</v>
      </c>
      <c r="H985" s="19" t="str">
        <f>T("607254350")</f>
        <v>607254350</v>
      </c>
      <c r="I985" s="19" t="s">
        <v>2350</v>
      </c>
      <c r="J985" s="19" t="s">
        <v>2351</v>
      </c>
      <c r="K985" s="19" t="str">
        <f>T("24380")</f>
        <v>24380</v>
      </c>
      <c r="L985" s="19" t="s">
        <v>19</v>
      </c>
      <c r="M985" s="21" t="s">
        <v>1</v>
      </c>
      <c r="N985" s="31">
        <v>45222</v>
      </c>
    </row>
    <row r="986" spans="1:14" ht="16" x14ac:dyDescent="0.2">
      <c r="A986" s="19" t="s">
        <v>2352</v>
      </c>
      <c r="B986" s="20">
        <v>45218</v>
      </c>
      <c r="C986" s="19" t="str">
        <f>T("330242999:0830381335")</f>
        <v>330242999:0830381335</v>
      </c>
      <c r="D986" s="19" t="str">
        <f>T("WC-TICKET 11178")</f>
        <v>WC-TICKET 11178</v>
      </c>
      <c r="E986" s="19" t="str">
        <f>T("510146860")</f>
        <v>510146860</v>
      </c>
      <c r="F986" s="19" t="s">
        <v>17</v>
      </c>
      <c r="G986" s="19" t="s">
        <v>14</v>
      </c>
      <c r="H986" s="19" t="str">
        <f>T("607254363")</f>
        <v>607254363</v>
      </c>
      <c r="I986" s="19" t="s">
        <v>47</v>
      </c>
      <c r="J986" s="19" t="s">
        <v>2353</v>
      </c>
      <c r="K986" s="19" t="str">
        <f>T("84000")</f>
        <v>84000</v>
      </c>
      <c r="L986" s="19" t="s">
        <v>19</v>
      </c>
      <c r="M986" s="21" t="s">
        <v>1</v>
      </c>
      <c r="N986" s="31">
        <v>45219</v>
      </c>
    </row>
    <row r="987" spans="1:14" ht="16" x14ac:dyDescent="0.2">
      <c r="A987" s="19" t="s">
        <v>2354</v>
      </c>
      <c r="B987" s="20">
        <v>45218</v>
      </c>
      <c r="C987" s="19" t="str">
        <f>T("330243072:0830381389")</f>
        <v>330243072:0830381389</v>
      </c>
      <c r="D987" s="19" t="str">
        <f>T("PR230517")</f>
        <v>PR230517</v>
      </c>
      <c r="E987" s="19" t="str">
        <f>T("510146457")</f>
        <v>510146457</v>
      </c>
      <c r="F987" s="19" t="s">
        <v>17</v>
      </c>
      <c r="G987" s="19" t="s">
        <v>14</v>
      </c>
      <c r="H987" s="19" t="str">
        <f>T("607254377")</f>
        <v>607254377</v>
      </c>
      <c r="I987" s="19" t="s">
        <v>1854</v>
      </c>
      <c r="J987" s="19" t="s">
        <v>1855</v>
      </c>
      <c r="K987" s="19" t="str">
        <f>T("69400")</f>
        <v>69400</v>
      </c>
      <c r="L987" s="19" t="s">
        <v>19</v>
      </c>
      <c r="M987" s="21" t="s">
        <v>1</v>
      </c>
      <c r="N987" s="31">
        <v>45219</v>
      </c>
    </row>
    <row r="988" spans="1:14" ht="16" x14ac:dyDescent="0.2">
      <c r="A988" s="19" t="s">
        <v>2355</v>
      </c>
      <c r="B988" s="20">
        <v>45218</v>
      </c>
      <c r="C988" s="19" t="str">
        <f>T("330243100:0830381403")</f>
        <v>330243100:0830381403</v>
      </c>
      <c r="D988" s="19" t="str">
        <f>T("PL053907 M0019 SA")</f>
        <v>PL053907 M0019 SA</v>
      </c>
      <c r="E988" s="19" t="str">
        <f>T("510146232")</f>
        <v>510146232</v>
      </c>
      <c r="F988" s="19" t="s">
        <v>17</v>
      </c>
      <c r="G988" s="19" t="s">
        <v>14</v>
      </c>
      <c r="H988" s="19" t="str">
        <f>T("607254385")</f>
        <v>607254385</v>
      </c>
      <c r="I988" s="19" t="s">
        <v>26</v>
      </c>
      <c r="J988" s="19" t="s">
        <v>27</v>
      </c>
      <c r="K988" s="19" t="str">
        <f>T("64000")</f>
        <v>64000</v>
      </c>
      <c r="L988" s="19" t="s">
        <v>19</v>
      </c>
      <c r="M988" s="21" t="s">
        <v>1</v>
      </c>
      <c r="N988" s="31">
        <v>45219</v>
      </c>
    </row>
    <row r="989" spans="1:14" ht="16" x14ac:dyDescent="0.2">
      <c r="A989" s="19" t="s">
        <v>2356</v>
      </c>
      <c r="B989" s="20">
        <v>45218</v>
      </c>
      <c r="C989" s="19" t="str">
        <f>T("330243113:0830381412")</f>
        <v>330243113:0830381412</v>
      </c>
      <c r="D989" s="19" t="str">
        <f>T("WC DAUPHINE GAZ")</f>
        <v>WC DAUPHINE GAZ</v>
      </c>
      <c r="E989" s="19" t="str">
        <f>T("510146797")</f>
        <v>510146797</v>
      </c>
      <c r="F989" s="19" t="s">
        <v>17</v>
      </c>
      <c r="G989" s="19" t="s">
        <v>14</v>
      </c>
      <c r="H989" s="19" t="str">
        <f>T("607254394")</f>
        <v>607254394</v>
      </c>
      <c r="I989" s="19" t="s">
        <v>2357</v>
      </c>
      <c r="J989" s="19" t="s">
        <v>2358</v>
      </c>
      <c r="K989" s="19" t="str">
        <f>T("38430")</f>
        <v>38430</v>
      </c>
      <c r="L989" s="19" t="s">
        <v>19</v>
      </c>
      <c r="M989" s="21" t="s">
        <v>1</v>
      </c>
      <c r="N989" s="31">
        <v>45219</v>
      </c>
    </row>
    <row r="990" spans="1:14" ht="16" x14ac:dyDescent="0.2">
      <c r="A990" s="19" t="s">
        <v>2359</v>
      </c>
      <c r="B990" s="20">
        <v>45218</v>
      </c>
      <c r="C990" s="19" t="str">
        <f>T("330243078:0830381392")</f>
        <v>330243078:0830381392</v>
      </c>
      <c r="D990" s="19" t="str">
        <f>T("892480")</f>
        <v>892480</v>
      </c>
      <c r="E990" s="19" t="str">
        <f>T("510146682")</f>
        <v>510146682</v>
      </c>
      <c r="F990" s="19" t="s">
        <v>17</v>
      </c>
      <c r="G990" s="19" t="s">
        <v>14</v>
      </c>
      <c r="H990" s="19" t="str">
        <f>T("607254417")</f>
        <v>607254417</v>
      </c>
      <c r="I990" s="19" t="s">
        <v>2360</v>
      </c>
      <c r="J990" s="19" t="s">
        <v>2361</v>
      </c>
      <c r="K990" s="19" t="str">
        <f>T("24206")</f>
        <v>24206</v>
      </c>
      <c r="L990" s="19" t="s">
        <v>19</v>
      </c>
      <c r="M990" s="21" t="s">
        <v>1</v>
      </c>
      <c r="N990" s="21"/>
    </row>
    <row r="991" spans="1:14" ht="16" x14ac:dyDescent="0.2">
      <c r="A991" s="19" t="s">
        <v>2362</v>
      </c>
      <c r="B991" s="20">
        <v>45218</v>
      </c>
      <c r="C991" s="19" t="str">
        <f>T("330243123:0830381482")</f>
        <v>330243123:0830381482</v>
      </c>
      <c r="D991" s="19" t="str">
        <f>T("161770")</f>
        <v>161770</v>
      </c>
      <c r="E991" s="19" t="str">
        <f>T("510146773")</f>
        <v>510146773</v>
      </c>
      <c r="F991" s="19" t="s">
        <v>16</v>
      </c>
      <c r="G991" s="19" t="s">
        <v>14</v>
      </c>
      <c r="H991" s="19" t="str">
        <f>T("607254425")</f>
        <v>607254425</v>
      </c>
      <c r="I991" s="19" t="s">
        <v>670</v>
      </c>
      <c r="J991" s="19" t="s">
        <v>689</v>
      </c>
      <c r="K991" s="19" t="str">
        <f>T("20600")</f>
        <v>20600</v>
      </c>
      <c r="L991" s="19" t="s">
        <v>19</v>
      </c>
      <c r="M991" s="21" t="s">
        <v>1</v>
      </c>
      <c r="N991" s="21"/>
    </row>
    <row r="992" spans="1:14" ht="16" hidden="1" x14ac:dyDescent="0.2">
      <c r="A992" s="19" t="s">
        <v>2363</v>
      </c>
      <c r="B992" s="20">
        <v>45218</v>
      </c>
      <c r="C992" s="19" t="str">
        <f>T("330242314:0830379834")</f>
        <v>330242314:0830379834</v>
      </c>
      <c r="D992" s="19" t="str">
        <f>T("ABB GIUSTO")</f>
        <v>ABB GIUSTO</v>
      </c>
      <c r="E992" s="19" t="str">
        <f>T("560021903")</f>
        <v>560021903</v>
      </c>
      <c r="F992" s="19" t="s">
        <v>17</v>
      </c>
      <c r="G992" s="19" t="s">
        <v>15</v>
      </c>
      <c r="H992" s="19" t="str">
        <f>T("1Z1V47910443656755")</f>
        <v>1Z1V47910443656755</v>
      </c>
      <c r="I992" s="19" t="s">
        <v>1613</v>
      </c>
      <c r="J992" s="19" t="s">
        <v>1614</v>
      </c>
      <c r="K992" s="19" t="str">
        <f>T("52022")</f>
        <v>52022</v>
      </c>
      <c r="L992" s="19" t="s">
        <v>18</v>
      </c>
      <c r="M992" s="21" t="s">
        <v>1</v>
      </c>
      <c r="N992" s="21"/>
    </row>
    <row r="993" spans="1:14" ht="16" hidden="1" x14ac:dyDescent="0.2">
      <c r="A993" s="19" t="s">
        <v>2363</v>
      </c>
      <c r="B993" s="20">
        <v>45218</v>
      </c>
      <c r="C993" s="19" t="str">
        <f>T("330242314:0830379834")</f>
        <v>330242314:0830379834</v>
      </c>
      <c r="D993" s="19" t="str">
        <f>T("ABB GIUSTO")</f>
        <v>ABB GIUSTO</v>
      </c>
      <c r="E993" s="19" t="str">
        <f>T("560021903")</f>
        <v>560021903</v>
      </c>
      <c r="F993" s="19" t="s">
        <v>17</v>
      </c>
      <c r="G993" s="19" t="s">
        <v>15</v>
      </c>
      <c r="H993" s="19" t="str">
        <f>T("1Z1V47910443656755")</f>
        <v>1Z1V47910443656755</v>
      </c>
      <c r="I993" s="19" t="s">
        <v>1613</v>
      </c>
      <c r="J993" s="19" t="s">
        <v>1614</v>
      </c>
      <c r="K993" s="19" t="str">
        <f>T("52022")</f>
        <v>52022</v>
      </c>
      <c r="L993" s="19" t="s">
        <v>2406</v>
      </c>
      <c r="M993" s="21" t="s">
        <v>1</v>
      </c>
      <c r="N993" s="21"/>
    </row>
    <row r="994" spans="1:14" hidden="1" x14ac:dyDescent="0.2">
      <c r="G994" s="14" t="s">
        <v>2410</v>
      </c>
    </row>
  </sheetData>
  <autoFilter ref="A1:Q994" xr:uid="{51199F06-515A-44AE-B82B-771950FBD617}">
    <filterColumn colId="6">
      <filters>
        <filter val="TNT"/>
      </filters>
    </filterColumn>
    <filterColumn colId="12">
      <filters>
        <filter val="EXCEPTION"/>
        <filter val="IN TRANSIT"/>
      </filters>
    </filterColumn>
  </autoFilter>
  <sortState xmlns:xlrd2="http://schemas.microsoft.com/office/spreadsheetml/2017/richdata2" ref="A3:Q159">
    <sortCondition ref="B3:B159"/>
  </sortState>
  <conditionalFormatting sqref="A2">
    <cfRule type="duplicateValues" dxfId="49" priority="51"/>
    <cfRule type="duplicateValues" dxfId="48" priority="50"/>
    <cfRule type="duplicateValues" dxfId="47" priority="49"/>
    <cfRule type="duplicateValues" dxfId="46" priority="56"/>
  </conditionalFormatting>
  <conditionalFormatting sqref="A3:A5">
    <cfRule type="duplicateValues" dxfId="45" priority="11799"/>
    <cfRule type="duplicateValues" dxfId="44" priority="11796"/>
    <cfRule type="duplicateValues" dxfId="43" priority="11797"/>
    <cfRule type="duplicateValues" dxfId="42" priority="11798"/>
  </conditionalFormatting>
  <conditionalFormatting sqref="A6:A83">
    <cfRule type="duplicateValues" dxfId="41" priority="99"/>
    <cfRule type="duplicateValues" dxfId="40" priority="106"/>
    <cfRule type="duplicateValues" dxfId="39" priority="100"/>
    <cfRule type="duplicateValues" dxfId="38" priority="101"/>
    <cfRule type="duplicateValues" dxfId="37" priority="107"/>
  </conditionalFormatting>
  <conditionalFormatting sqref="A84:A135">
    <cfRule type="duplicateValues" dxfId="36" priority="87"/>
    <cfRule type="duplicateValues" dxfId="35" priority="88"/>
    <cfRule type="duplicateValues" dxfId="34" priority="89"/>
    <cfRule type="duplicateValues" dxfId="33" priority="94"/>
    <cfRule type="duplicateValues" dxfId="32" priority="95"/>
  </conditionalFormatting>
  <conditionalFormatting sqref="A136:A137">
    <cfRule type="duplicateValues" dxfId="31" priority="71"/>
    <cfRule type="duplicateValues" dxfId="30" priority="76"/>
    <cfRule type="duplicateValues" dxfId="29" priority="83"/>
    <cfRule type="duplicateValues" dxfId="28" priority="82"/>
    <cfRule type="duplicateValues" dxfId="27" priority="77"/>
    <cfRule type="duplicateValues" dxfId="26" priority="75"/>
  </conditionalFormatting>
  <conditionalFormatting sqref="A138:A159">
    <cfRule type="duplicateValues" dxfId="25" priority="70"/>
    <cfRule type="duplicateValues" dxfId="24" priority="62"/>
    <cfRule type="duplicateValues" dxfId="23" priority="69"/>
    <cfRule type="duplicateValues" dxfId="22" priority="58"/>
    <cfRule type="duplicateValues" dxfId="21" priority="64"/>
    <cfRule type="duplicateValues" dxfId="20" priority="63"/>
  </conditionalFormatting>
  <conditionalFormatting sqref="A160:A992 A1 A994:A1048576">
    <cfRule type="duplicateValues" dxfId="19" priority="9924"/>
  </conditionalFormatting>
  <conditionalFormatting sqref="A160:A992 A994:A1048576">
    <cfRule type="duplicateValues" dxfId="18" priority="11788"/>
    <cfRule type="duplicateValues" dxfId="17" priority="11778"/>
    <cfRule type="duplicateValues" dxfId="16" priority="11777"/>
    <cfRule type="duplicateValues" dxfId="15" priority="11790"/>
  </conditionalFormatting>
  <conditionalFormatting sqref="A993">
    <cfRule type="duplicateValues" dxfId="14" priority="11"/>
    <cfRule type="duplicateValues" dxfId="13" priority="6"/>
    <cfRule type="duplicateValues" dxfId="12" priority="4"/>
    <cfRule type="duplicateValues" dxfId="11" priority="5"/>
    <cfRule type="duplicateValues" dxfId="10" priority="12"/>
  </conditionalFormatting>
  <conditionalFormatting sqref="M1:M1048576">
    <cfRule type="containsText" dxfId="9" priority="35" operator="containsText" text="DELIVERED">
      <formula>NOT(ISERROR(SEARCH("DELIVERED",M1)))</formula>
    </cfRule>
    <cfRule type="containsText" dxfId="8" priority="34" operator="containsText" text="IN TRANSIT">
      <formula>NOT(ISERROR(SEARCH("IN TRANSIT",M1)))</formula>
    </cfRule>
    <cfRule type="containsText" dxfId="7" priority="33" operator="containsText" text="EXCEPTION">
      <formula>NOT(ISERROR(SEARCH("EXCEPTION",M1)))</formula>
    </cfRule>
  </conditionalFormatting>
  <conditionalFormatting sqref="M993">
    <cfRule type="containsText" dxfId="6" priority="1" operator="containsText" text="EXCEPTION">
      <formula>NOT(ISERROR(SEARCH("EXCEPTION",M993)))</formula>
    </cfRule>
    <cfRule type="containsText" dxfId="5" priority="3" operator="containsText" text="DELIVERED">
      <formula>NOT(ISERROR(SEARCH("DELIVERED",M993)))</formula>
    </cfRule>
    <cfRule type="containsText" dxfId="4" priority="2" operator="containsText" text="IN TRANSIT">
      <formula>NOT(ISERROR(SEARCH("IN TRANSIT",M993)))</formula>
    </cfRule>
  </conditionalFormatting>
  <conditionalFormatting sqref="N2:N1048576">
    <cfRule type="cellIs" dxfId="3" priority="10" operator="equal">
      <formula>"DELIVERED"</formula>
    </cfRule>
    <cfRule type="containsText" dxfId="2" priority="7" operator="containsText" text="EXCEPTION">
      <formula>NOT(ISERROR(SEARCH("EXCEPTION",N2)))</formula>
    </cfRule>
    <cfRule type="containsText" dxfId="1" priority="8" operator="containsText" text="in transit">
      <formula>NOT(ISERROR(SEARCH("in transit",N2)))</formula>
    </cfRule>
    <cfRule type="containsText" dxfId="0" priority="9" operator="containsText" text="delivered">
      <formula>NOT(ISERROR(SEARCH("delivered",N2)))</formula>
    </cfRule>
  </conditionalFormatting>
  <dataValidations count="1">
    <dataValidation type="list" allowBlank="1" showInputMessage="1" showErrorMessage="1" sqref="M1:M1048576" xr:uid="{849ED32F-53E3-4037-B9B1-5EF3BD790864}">
      <formula1>"DELIVERED,IN TRANSIT,EXCEPTION"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44ED-1D18-4048-B97B-4F5485C196F6}">
  <sheetPr codeName="Hoja2"/>
  <dimension ref="C3:Z27"/>
  <sheetViews>
    <sheetView showGridLines="0" zoomScale="70" zoomScaleNormal="70" workbookViewId="0">
      <selection activeCell="AA12" sqref="AA12"/>
    </sheetView>
  </sheetViews>
  <sheetFormatPr baseColWidth="10" defaultColWidth="9.1640625" defaultRowHeight="15" x14ac:dyDescent="0.2"/>
  <cols>
    <col min="1" max="1" width="3.5" bestFit="1" customWidth="1"/>
    <col min="2" max="2" width="3.1640625" bestFit="1" customWidth="1"/>
    <col min="3" max="3" width="28.33203125" customWidth="1"/>
    <col min="4" max="4" width="33" bestFit="1" customWidth="1"/>
    <col min="5" max="5" width="11.6640625" bestFit="1" customWidth="1"/>
    <col min="6" max="6" width="9.5" bestFit="1" customWidth="1"/>
    <col min="7" max="8" width="10.33203125" bestFit="1" customWidth="1"/>
    <col min="9" max="9" width="10.33203125" hidden="1" customWidth="1"/>
    <col min="10" max="10" width="14.5" hidden="1" customWidth="1"/>
    <col min="11" max="11" width="9.6640625" hidden="1" customWidth="1"/>
    <col min="12" max="12" width="14" hidden="1" customWidth="1"/>
    <col min="13" max="13" width="14.33203125" hidden="1" customWidth="1"/>
    <col min="14" max="14" width="10.5" hidden="1" customWidth="1"/>
    <col min="15" max="15" width="13.5" hidden="1" customWidth="1"/>
    <col min="16" max="17" width="10.33203125" hidden="1" customWidth="1"/>
    <col min="18" max="18" width="10.33203125" customWidth="1"/>
    <col min="19" max="19" width="8.1640625" customWidth="1"/>
    <col min="20" max="20" width="17.6640625" bestFit="1" customWidth="1"/>
    <col min="21" max="21" width="25" bestFit="1" customWidth="1"/>
    <col min="22" max="22" width="11.83203125" bestFit="1" customWidth="1"/>
    <col min="23" max="23" width="12" bestFit="1" customWidth="1"/>
    <col min="24" max="25" width="13.83203125" bestFit="1" customWidth="1"/>
    <col min="26" max="29" width="8.6640625" bestFit="1" customWidth="1"/>
    <col min="30" max="32" width="9.6640625" bestFit="1" customWidth="1"/>
    <col min="33" max="35" width="14.83203125" bestFit="1" customWidth="1"/>
    <col min="36" max="36" width="9.6640625" bestFit="1" customWidth="1"/>
    <col min="37" max="37" width="14.83203125" bestFit="1" customWidth="1"/>
    <col min="38" max="43" width="9.6640625" bestFit="1" customWidth="1"/>
    <col min="44" max="44" width="7.33203125" bestFit="1" customWidth="1"/>
    <col min="45" max="45" width="11.33203125" bestFit="1" customWidth="1"/>
    <col min="46" max="2994" width="10.5" bestFit="1" customWidth="1"/>
    <col min="2995" max="2995" width="11.33203125" bestFit="1" customWidth="1"/>
  </cols>
  <sheetData>
    <row r="3" spans="3:26" ht="16" x14ac:dyDescent="0.2">
      <c r="C3" s="11" t="s">
        <v>46</v>
      </c>
      <c r="D3" s="11" t="s">
        <v>50</v>
      </c>
      <c r="E3" s="12"/>
      <c r="F3" s="12"/>
      <c r="G3" s="12"/>
      <c r="S3" s="13"/>
    </row>
    <row r="4" spans="3:26" ht="32" x14ac:dyDescent="0.2">
      <c r="C4" s="9" t="s">
        <v>51</v>
      </c>
      <c r="D4" s="10" t="s">
        <v>0</v>
      </c>
      <c r="E4" s="10" t="s">
        <v>1</v>
      </c>
      <c r="F4" s="10" t="s">
        <v>2407</v>
      </c>
      <c r="G4" s="10" t="s">
        <v>52</v>
      </c>
      <c r="S4" s="10"/>
      <c r="T4" s="33"/>
      <c r="U4" s="34" t="s">
        <v>50</v>
      </c>
      <c r="V4" s="33"/>
      <c r="W4" s="33"/>
      <c r="X4" s="32"/>
      <c r="Z4" s="8"/>
    </row>
    <row r="5" spans="3:26" ht="16" x14ac:dyDescent="0.2">
      <c r="C5" s="5" t="s">
        <v>38</v>
      </c>
      <c r="D5" s="6">
        <v>2</v>
      </c>
      <c r="E5" s="6"/>
      <c r="F5" s="6"/>
      <c r="G5" s="6">
        <v>2</v>
      </c>
      <c r="S5" s="6"/>
      <c r="T5" s="37"/>
      <c r="U5" s="37" t="s">
        <v>0</v>
      </c>
      <c r="V5" s="37" t="s">
        <v>2407</v>
      </c>
      <c r="W5" s="37" t="s">
        <v>1</v>
      </c>
      <c r="X5" s="35" t="s">
        <v>52</v>
      </c>
    </row>
    <row r="6" spans="3:26" ht="16" x14ac:dyDescent="0.2">
      <c r="C6" s="5" t="s">
        <v>35</v>
      </c>
      <c r="D6" s="6">
        <v>26</v>
      </c>
      <c r="E6" s="6"/>
      <c r="F6" s="6"/>
      <c r="G6" s="6">
        <v>26</v>
      </c>
      <c r="T6" s="36" t="s">
        <v>1056</v>
      </c>
      <c r="U6" s="38">
        <v>907</v>
      </c>
      <c r="V6" s="38">
        <v>9</v>
      </c>
      <c r="W6" s="38">
        <v>76</v>
      </c>
      <c r="X6" s="39">
        <v>992</v>
      </c>
    </row>
    <row r="7" spans="3:26" x14ac:dyDescent="0.2">
      <c r="C7" s="5" t="s">
        <v>32</v>
      </c>
      <c r="D7" s="6">
        <v>78</v>
      </c>
      <c r="E7" s="6"/>
      <c r="F7" s="6">
        <v>2</v>
      </c>
      <c r="G7" s="6">
        <v>80</v>
      </c>
    </row>
    <row r="8" spans="3:26" x14ac:dyDescent="0.2">
      <c r="C8" s="5" t="s">
        <v>19</v>
      </c>
      <c r="D8" s="6">
        <v>614</v>
      </c>
      <c r="E8" s="6">
        <v>62</v>
      </c>
      <c r="F8" s="6">
        <v>7</v>
      </c>
      <c r="G8" s="6">
        <v>683</v>
      </c>
    </row>
    <row r="9" spans="3:26" x14ac:dyDescent="0.2">
      <c r="C9" s="5" t="s">
        <v>40</v>
      </c>
      <c r="D9" s="6">
        <v>1</v>
      </c>
      <c r="E9" s="6"/>
      <c r="F9" s="6"/>
      <c r="G9" s="6">
        <v>1</v>
      </c>
    </row>
    <row r="10" spans="3:26" x14ac:dyDescent="0.2">
      <c r="C10" s="5" t="s">
        <v>36</v>
      </c>
      <c r="D10" s="6">
        <v>1</v>
      </c>
      <c r="E10" s="6">
        <v>1</v>
      </c>
      <c r="F10" s="6"/>
      <c r="G10" s="6">
        <v>2</v>
      </c>
    </row>
    <row r="11" spans="3:26" x14ac:dyDescent="0.2">
      <c r="C11" s="5" t="s">
        <v>43</v>
      </c>
      <c r="D11" s="6">
        <v>9</v>
      </c>
      <c r="E11" s="6">
        <v>1</v>
      </c>
      <c r="F11" s="6"/>
      <c r="G11" s="6">
        <v>10</v>
      </c>
    </row>
    <row r="12" spans="3:26" x14ac:dyDescent="0.2">
      <c r="C12" s="5" t="s">
        <v>25</v>
      </c>
      <c r="D12" s="6">
        <v>1</v>
      </c>
      <c r="E12" s="6"/>
      <c r="F12" s="6"/>
      <c r="G12" s="6">
        <v>1</v>
      </c>
    </row>
    <row r="13" spans="3:26" x14ac:dyDescent="0.2">
      <c r="C13" s="5" t="s">
        <v>18</v>
      </c>
      <c r="D13" s="6">
        <v>118</v>
      </c>
      <c r="E13" s="6">
        <v>8</v>
      </c>
      <c r="F13" s="6"/>
      <c r="G13" s="6">
        <v>126</v>
      </c>
    </row>
    <row r="14" spans="3:26" x14ac:dyDescent="0.2">
      <c r="C14" s="5" t="s">
        <v>31</v>
      </c>
      <c r="D14" s="6">
        <v>5</v>
      </c>
      <c r="E14" s="6"/>
      <c r="F14" s="6"/>
      <c r="G14" s="6">
        <v>5</v>
      </c>
    </row>
    <row r="15" spans="3:26" x14ac:dyDescent="0.2">
      <c r="C15" s="5" t="s">
        <v>20</v>
      </c>
      <c r="D15" s="6">
        <v>15</v>
      </c>
      <c r="E15" s="6"/>
      <c r="F15" s="6"/>
      <c r="G15" s="6">
        <v>15</v>
      </c>
    </row>
    <row r="16" spans="3:26" x14ac:dyDescent="0.2">
      <c r="C16" s="5" t="s">
        <v>424</v>
      </c>
      <c r="D16" s="6">
        <v>1</v>
      </c>
      <c r="E16" s="6"/>
      <c r="F16" s="6"/>
      <c r="G16" s="6">
        <v>1</v>
      </c>
    </row>
    <row r="17" spans="3:7" x14ac:dyDescent="0.2">
      <c r="C17" s="5" t="s">
        <v>581</v>
      </c>
      <c r="D17" s="6">
        <v>5</v>
      </c>
      <c r="E17" s="6"/>
      <c r="F17" s="6"/>
      <c r="G17" s="6">
        <v>5</v>
      </c>
    </row>
    <row r="18" spans="3:7" x14ac:dyDescent="0.2">
      <c r="C18" s="5" t="s">
        <v>609</v>
      </c>
      <c r="D18" s="6">
        <v>1</v>
      </c>
      <c r="E18" s="6"/>
      <c r="F18" s="6"/>
      <c r="G18" s="6">
        <v>1</v>
      </c>
    </row>
    <row r="19" spans="3:7" x14ac:dyDescent="0.2">
      <c r="C19" s="5" t="s">
        <v>625</v>
      </c>
      <c r="D19" s="6">
        <v>5</v>
      </c>
      <c r="E19" s="6">
        <v>1</v>
      </c>
      <c r="F19" s="6"/>
      <c r="G19" s="6">
        <v>6</v>
      </c>
    </row>
    <row r="20" spans="3:7" x14ac:dyDescent="0.2">
      <c r="C20" s="5" t="s">
        <v>634</v>
      </c>
      <c r="D20" s="6">
        <v>6</v>
      </c>
      <c r="E20" s="6"/>
      <c r="F20" s="6"/>
      <c r="G20" s="6">
        <v>6</v>
      </c>
    </row>
    <row r="21" spans="3:7" x14ac:dyDescent="0.2">
      <c r="C21" s="5" t="s">
        <v>687</v>
      </c>
      <c r="D21" s="6">
        <v>5</v>
      </c>
      <c r="E21" s="6"/>
      <c r="F21" s="6"/>
      <c r="G21" s="6">
        <v>5</v>
      </c>
    </row>
    <row r="22" spans="3:7" x14ac:dyDescent="0.2">
      <c r="C22" s="5" t="s">
        <v>708</v>
      </c>
      <c r="D22" s="6">
        <v>3</v>
      </c>
      <c r="E22" s="6"/>
      <c r="F22" s="6"/>
      <c r="G22" s="6">
        <v>3</v>
      </c>
    </row>
    <row r="23" spans="3:7" x14ac:dyDescent="0.2">
      <c r="C23" s="5" t="s">
        <v>1215</v>
      </c>
      <c r="D23" s="6">
        <v>8</v>
      </c>
      <c r="E23" s="6"/>
      <c r="F23" s="6"/>
      <c r="G23" s="6">
        <v>8</v>
      </c>
    </row>
    <row r="24" spans="3:7" x14ac:dyDescent="0.2">
      <c r="C24" s="5" t="s">
        <v>1481</v>
      </c>
      <c r="D24" s="6">
        <v>3</v>
      </c>
      <c r="E24" s="6"/>
      <c r="F24" s="6"/>
      <c r="G24" s="6">
        <v>3</v>
      </c>
    </row>
    <row r="25" spans="3:7" x14ac:dyDescent="0.2">
      <c r="C25" s="5" t="s">
        <v>1730</v>
      </c>
      <c r="D25" s="6"/>
      <c r="E25" s="6">
        <v>2</v>
      </c>
      <c r="F25" s="6"/>
      <c r="G25" s="6">
        <v>2</v>
      </c>
    </row>
    <row r="26" spans="3:7" x14ac:dyDescent="0.2">
      <c r="C26" s="5" t="s">
        <v>2406</v>
      </c>
      <c r="D26" s="6"/>
      <c r="E26" s="6">
        <v>1</v>
      </c>
      <c r="F26" s="6"/>
      <c r="G26" s="6">
        <v>1</v>
      </c>
    </row>
    <row r="27" spans="3:7" x14ac:dyDescent="0.2">
      <c r="C27" s="5" t="s">
        <v>52</v>
      </c>
      <c r="D27" s="6">
        <v>907</v>
      </c>
      <c r="E27" s="6">
        <v>76</v>
      </c>
      <c r="F27" s="6">
        <v>9</v>
      </c>
      <c r="G27" s="6">
        <v>992</v>
      </c>
    </row>
  </sheetData>
  <pageMargins left="0.7" right="0.7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Button 1">
              <controlPr defaultSize="0" print="0" autoFill="0" autoPict="0" macro="[0]!Hoja2.ACTUALIZAR">
                <anchor moveWithCells="1" sizeWithCells="1">
                  <from>
                    <xdr:col>25</xdr:col>
                    <xdr:colOff>127000</xdr:colOff>
                    <xdr:row>1</xdr:row>
                    <xdr:rowOff>101600</xdr:rowOff>
                  </from>
                  <to>
                    <xdr:col>28</xdr:col>
                    <xdr:colOff>533400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Button 2">
              <controlPr defaultSize="0" print="0" autoFill="0" autoPict="0" macro="[0]!Hoja2.EnviarCorreoConCapturaEnCuerpo">
                <anchor moveWithCells="1" sizeWithCells="1">
                  <from>
                    <xdr:col>25</xdr:col>
                    <xdr:colOff>152400</xdr:colOff>
                    <xdr:row>5</xdr:row>
                    <xdr:rowOff>101600</xdr:rowOff>
                  </from>
                  <to>
                    <xdr:col>28</xdr:col>
                    <xdr:colOff>546100</xdr:colOff>
                    <xdr:row>8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B799-8FFA-4AE6-A399-50944018D499}">
  <sheetPr codeName="Hoja3"/>
  <dimension ref="A1:A41"/>
  <sheetViews>
    <sheetView workbookViewId="0">
      <selection activeCell="B1" sqref="B1"/>
    </sheetView>
  </sheetViews>
  <sheetFormatPr baseColWidth="10" defaultRowHeight="15" x14ac:dyDescent="0.2"/>
  <sheetData>
    <row r="1" spans="1:1" x14ac:dyDescent="0.2">
      <c r="A1" t="s">
        <v>2365</v>
      </c>
    </row>
    <row r="2" spans="1:1" x14ac:dyDescent="0.2">
      <c r="A2" t="s">
        <v>2366</v>
      </c>
    </row>
    <row r="3" spans="1:1" x14ac:dyDescent="0.2">
      <c r="A3" t="s">
        <v>2367</v>
      </c>
    </row>
    <row r="4" spans="1:1" x14ac:dyDescent="0.2">
      <c r="A4" t="s">
        <v>2368</v>
      </c>
    </row>
    <row r="5" spans="1:1" x14ac:dyDescent="0.2">
      <c r="A5" t="s">
        <v>2369</v>
      </c>
    </row>
    <row r="6" spans="1:1" x14ac:dyDescent="0.2">
      <c r="A6" t="s">
        <v>2370</v>
      </c>
    </row>
    <row r="7" spans="1:1" x14ac:dyDescent="0.2">
      <c r="A7" t="s">
        <v>2371</v>
      </c>
    </row>
    <row r="8" spans="1:1" x14ac:dyDescent="0.2">
      <c r="A8" t="s">
        <v>2372</v>
      </c>
    </row>
    <row r="9" spans="1:1" x14ac:dyDescent="0.2">
      <c r="A9" t="s">
        <v>2373</v>
      </c>
    </row>
    <row r="10" spans="1:1" x14ac:dyDescent="0.2">
      <c r="A10" t="s">
        <v>2374</v>
      </c>
    </row>
    <row r="11" spans="1:1" x14ac:dyDescent="0.2">
      <c r="A11" t="s">
        <v>2375</v>
      </c>
    </row>
    <row r="12" spans="1:1" x14ac:dyDescent="0.2">
      <c r="A12" t="s">
        <v>2376</v>
      </c>
    </row>
    <row r="13" spans="1:1" x14ac:dyDescent="0.2">
      <c r="A13" t="s">
        <v>2377</v>
      </c>
    </row>
    <row r="14" spans="1:1" x14ac:dyDescent="0.2">
      <c r="A14" t="s">
        <v>2378</v>
      </c>
    </row>
    <row r="15" spans="1:1" x14ac:dyDescent="0.2">
      <c r="A15" t="s">
        <v>2379</v>
      </c>
    </row>
    <row r="16" spans="1:1" x14ac:dyDescent="0.2">
      <c r="A16" t="s">
        <v>2380</v>
      </c>
    </row>
    <row r="17" spans="1:1" x14ac:dyDescent="0.2">
      <c r="A17" t="s">
        <v>2381</v>
      </c>
    </row>
    <row r="18" spans="1:1" x14ac:dyDescent="0.2">
      <c r="A18" t="s">
        <v>2382</v>
      </c>
    </row>
    <row r="19" spans="1:1" x14ac:dyDescent="0.2">
      <c r="A19" t="s">
        <v>2383</v>
      </c>
    </row>
    <row r="20" spans="1:1" x14ac:dyDescent="0.2">
      <c r="A20" t="s">
        <v>2384</v>
      </c>
    </row>
    <row r="21" spans="1:1" x14ac:dyDescent="0.2">
      <c r="A21" t="s">
        <v>2385</v>
      </c>
    </row>
    <row r="22" spans="1:1" x14ac:dyDescent="0.2">
      <c r="A22" t="s">
        <v>2386</v>
      </c>
    </row>
    <row r="23" spans="1:1" x14ac:dyDescent="0.2">
      <c r="A23" t="s">
        <v>2387</v>
      </c>
    </row>
    <row r="24" spans="1:1" x14ac:dyDescent="0.2">
      <c r="A24" t="s">
        <v>2388</v>
      </c>
    </row>
    <row r="25" spans="1:1" x14ac:dyDescent="0.2">
      <c r="A25" t="s">
        <v>2389</v>
      </c>
    </row>
    <row r="26" spans="1:1" x14ac:dyDescent="0.2">
      <c r="A26" t="s">
        <v>2390</v>
      </c>
    </row>
    <row r="27" spans="1:1" x14ac:dyDescent="0.2">
      <c r="A27" t="s">
        <v>2391</v>
      </c>
    </row>
    <row r="28" spans="1:1" x14ac:dyDescent="0.2">
      <c r="A28" t="s">
        <v>2392</v>
      </c>
    </row>
    <row r="29" spans="1:1" x14ac:dyDescent="0.2">
      <c r="A29" t="s">
        <v>2393</v>
      </c>
    </row>
    <row r="30" spans="1:1" x14ac:dyDescent="0.2">
      <c r="A30" t="s">
        <v>2394</v>
      </c>
    </row>
    <row r="31" spans="1:1" x14ac:dyDescent="0.2">
      <c r="A31" t="s">
        <v>2395</v>
      </c>
    </row>
    <row r="32" spans="1:1" x14ac:dyDescent="0.2">
      <c r="A32" t="s">
        <v>2396</v>
      </c>
    </row>
    <row r="33" spans="1:1" x14ac:dyDescent="0.2">
      <c r="A33" t="s">
        <v>2397</v>
      </c>
    </row>
    <row r="34" spans="1:1" x14ac:dyDescent="0.2">
      <c r="A34" t="s">
        <v>2398</v>
      </c>
    </row>
    <row r="35" spans="1:1" x14ac:dyDescent="0.2">
      <c r="A35" t="s">
        <v>2399</v>
      </c>
    </row>
    <row r="36" spans="1:1" x14ac:dyDescent="0.2">
      <c r="A36" t="s">
        <v>2400</v>
      </c>
    </row>
    <row r="37" spans="1:1" x14ac:dyDescent="0.2">
      <c r="A37" t="s">
        <v>2401</v>
      </c>
    </row>
    <row r="38" spans="1:1" x14ac:dyDescent="0.2">
      <c r="A38" t="s">
        <v>2402</v>
      </c>
    </row>
    <row r="39" spans="1:1" x14ac:dyDescent="0.2">
      <c r="A39" t="s">
        <v>2403</v>
      </c>
    </row>
    <row r="40" spans="1:1" x14ac:dyDescent="0.2">
      <c r="A40" t="s">
        <v>2404</v>
      </c>
    </row>
    <row r="41" spans="1:1" x14ac:dyDescent="0.2">
      <c r="A41" t="s">
        <v>2405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 data</vt:lpstr>
      <vt:lpstr>Dinamic Grafic</vt:lpstr>
      <vt:lpstr>CONTACTOS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Jove, Fransisco</dc:creator>
  <cp:lastModifiedBy>Albert Lleida Estival</cp:lastModifiedBy>
  <cp:lastPrinted>2023-11-15T10:12:24Z</cp:lastPrinted>
  <dcterms:created xsi:type="dcterms:W3CDTF">2023-01-27T12:43:15Z</dcterms:created>
  <dcterms:modified xsi:type="dcterms:W3CDTF">2023-11-26T19:16:53Z</dcterms:modified>
</cp:coreProperties>
</file>