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WM List with Conversions" sheetId="1" r:id="rId1"/>
    <sheet name="Tidal Datums" sheetId="2" r:id="rId2"/>
    <sheet name="Master List" sheetId="3" r:id="rId3"/>
    <sheet name="QC VDatum" sheetId="4" r:id="rId4"/>
  </sheets>
  <calcPr calcId="124519" fullCalcOnLoad="1"/>
</workbook>
</file>

<file path=xl/sharedStrings.xml><?xml version="1.0" encoding="utf-8"?>
<sst xmlns="http://schemas.openxmlformats.org/spreadsheetml/2006/main" count="21671" uniqueCount="2287">
  <si>
    <t>NWSLI</t>
  </si>
  <si>
    <t>WFO</t>
  </si>
  <si>
    <t>RFC</t>
  </si>
  <si>
    <t>NWS REGION</t>
  </si>
  <si>
    <t>COUNTYNAME</t>
  </si>
  <si>
    <t>STATE</t>
  </si>
  <si>
    <t>TIME ZONE</t>
  </si>
  <si>
    <t>Longitude</t>
  </si>
  <si>
    <t>Latitude</t>
  </si>
  <si>
    <t>Station ID</t>
  </si>
  <si>
    <t>Site Type</t>
  </si>
  <si>
    <t>Data Source</t>
  </si>
  <si>
    <t>Node</t>
  </si>
  <si>
    <t>Correction</t>
  </si>
  <si>
    <t>Domain</t>
  </si>
  <si>
    <t>VDatum Regions</t>
  </si>
  <si>
    <t>NAVD88 to MLLW</t>
  </si>
  <si>
    <t>NAVD88 to MHHW</t>
  </si>
  <si>
    <t>VDatum - MLLW</t>
  </si>
  <si>
    <t>VDatum - MHHW</t>
  </si>
  <si>
    <t>VDATUM Latitude</t>
  </si>
  <si>
    <t>VDATUM Longitude</t>
  </si>
  <si>
    <t>VDATUM Height</t>
  </si>
  <si>
    <t>VDATUM to MLLW</t>
  </si>
  <si>
    <t>VDATUM to MHHW</t>
  </si>
  <si>
    <t>Comments</t>
  </si>
  <si>
    <t>OCIM2</t>
  </si>
  <si>
    <t>CAMM2</t>
  </si>
  <si>
    <t>CPTM2</t>
  </si>
  <si>
    <t>CHIV2</t>
  </si>
  <si>
    <t>WAHV2</t>
  </si>
  <si>
    <t>CCHV2</t>
  </si>
  <si>
    <t>KPTV2</t>
  </si>
  <si>
    <t>RPLV2</t>
  </si>
  <si>
    <t>NSWV2</t>
  </si>
  <si>
    <t>TANV2</t>
  </si>
  <si>
    <t>SAXV2</t>
  </si>
  <si>
    <t>CPMV2</t>
  </si>
  <si>
    <t>LWTV2</t>
  </si>
  <si>
    <t>WNDV2</t>
  </si>
  <si>
    <t>MJBV2</t>
  </si>
  <si>
    <t>YKTV2</t>
  </si>
  <si>
    <t>JSFV2</t>
  </si>
  <si>
    <t>FTMV2</t>
  </si>
  <si>
    <t>ELZV2</t>
  </si>
  <si>
    <t>NMDV2</t>
  </si>
  <si>
    <t>SWPV2</t>
  </si>
  <si>
    <t>CBBV2</t>
  </si>
  <si>
    <t>CHBV2</t>
  </si>
  <si>
    <t>MNPV2</t>
  </si>
  <si>
    <t>BDHV2</t>
  </si>
  <si>
    <t>EMWN7</t>
  </si>
  <si>
    <t>EWPN7</t>
  </si>
  <si>
    <t>MINN7</t>
  </si>
  <si>
    <t>WRVV2</t>
  </si>
  <si>
    <t>BKNV2</t>
  </si>
  <si>
    <t>NMCV2</t>
  </si>
  <si>
    <t>RICV2</t>
  </si>
  <si>
    <t>EZMV2</t>
  </si>
  <si>
    <t>HMNV2</t>
  </si>
  <si>
    <t>LHNV2</t>
  </si>
  <si>
    <t>BGCV2</t>
  </si>
  <si>
    <t>NLRV2</t>
  </si>
  <si>
    <t>OBCN7</t>
  </si>
  <si>
    <t>WESN7</t>
  </si>
  <si>
    <t>ALBN6</t>
  </si>
  <si>
    <t>PKMN6</t>
  </si>
  <si>
    <t>HVRM3</t>
  </si>
  <si>
    <t>GLCM3</t>
  </si>
  <si>
    <t>AMEM3</t>
  </si>
  <si>
    <t>BHBM3</t>
  </si>
  <si>
    <t>SCTM3</t>
  </si>
  <si>
    <t>PVHM3</t>
  </si>
  <si>
    <t>SESM3</t>
  </si>
  <si>
    <t>WNGM3</t>
  </si>
  <si>
    <t>FRVM3</t>
  </si>
  <si>
    <t>CHTM3</t>
  </si>
  <si>
    <t>NBDM3</t>
  </si>
  <si>
    <t>POPM3</t>
  </si>
  <si>
    <t>BZBM3</t>
  </si>
  <si>
    <t>NWPR1</t>
  </si>
  <si>
    <t>CPTR1</t>
  </si>
  <si>
    <t>FOXR1</t>
  </si>
  <si>
    <t>QPTR1</t>
  </si>
  <si>
    <t>WHLR1</t>
  </si>
  <si>
    <t>NPTM3</t>
  </si>
  <si>
    <t>WSTR1</t>
  </si>
  <si>
    <t>PSBM1</t>
  </si>
  <si>
    <t>PETM1</t>
  </si>
  <si>
    <t>CFWM1</t>
  </si>
  <si>
    <t>ROQM1</t>
  </si>
  <si>
    <t>MIGM1</t>
  </si>
  <si>
    <t>ATGM1</t>
  </si>
  <si>
    <t>DCWM1</t>
  </si>
  <si>
    <t>MCSM1</t>
  </si>
  <si>
    <t>BPRM1</t>
  </si>
  <si>
    <t>CHTS1</t>
  </si>
  <si>
    <t>KIAS1</t>
  </si>
  <si>
    <t>ACFS1</t>
  </si>
  <si>
    <t>BFCS1</t>
  </si>
  <si>
    <t>FPKG1</t>
  </si>
  <si>
    <t>MERG1</t>
  </si>
  <si>
    <t>SAQG1</t>
  </si>
  <si>
    <t>SSNS1</t>
  </si>
  <si>
    <t>CPFS1</t>
  </si>
  <si>
    <t>WRIS1</t>
  </si>
  <si>
    <t>CPCS1</t>
  </si>
  <si>
    <t>ASPS1</t>
  </si>
  <si>
    <t>SVDG1</t>
  </si>
  <si>
    <t>EVRG1</t>
  </si>
  <si>
    <t>MMAM1</t>
  </si>
  <si>
    <t>FRAM1</t>
  </si>
  <si>
    <t>STKM1</t>
  </si>
  <si>
    <t>PULM1</t>
  </si>
  <si>
    <t>RKLM1</t>
  </si>
  <si>
    <t>THOM1</t>
  </si>
  <si>
    <t>DAMM1</t>
  </si>
  <si>
    <t>WAPM1</t>
  </si>
  <si>
    <t>BTBM1</t>
  </si>
  <si>
    <t>WISM1</t>
  </si>
  <si>
    <t>GIRM1</t>
  </si>
  <si>
    <t>HUNM1</t>
  </si>
  <si>
    <t>BAHM1</t>
  </si>
  <si>
    <t>PTHM1</t>
  </si>
  <si>
    <t>CASM1</t>
  </si>
  <si>
    <t>PPTM1</t>
  </si>
  <si>
    <t>CPEM1</t>
  </si>
  <si>
    <t>BIDM1</t>
  </si>
  <si>
    <t>KBTM1</t>
  </si>
  <si>
    <t>WELM1</t>
  </si>
  <si>
    <t>CDDM1</t>
  </si>
  <si>
    <t>SEVM1</t>
  </si>
  <si>
    <t>FTPN3</t>
  </si>
  <si>
    <t>HPMN3</t>
  </si>
  <si>
    <t>ARRM1</t>
  </si>
  <si>
    <t>CAMM1</t>
  </si>
  <si>
    <t>LCVM1</t>
  </si>
  <si>
    <t>HALM1</t>
  </si>
  <si>
    <t>WLON7</t>
  </si>
  <si>
    <t>JMPN7</t>
  </si>
  <si>
    <t>STHN7</t>
  </si>
  <si>
    <t>SNSN7</t>
  </si>
  <si>
    <t>NITS1</t>
  </si>
  <si>
    <t>WYSS1</t>
  </si>
  <si>
    <t>NSNS1</t>
  </si>
  <si>
    <t>HOLN7</t>
  </si>
  <si>
    <t>WYBS1</t>
  </si>
  <si>
    <t>SOCS1</t>
  </si>
  <si>
    <t>NIXS1</t>
  </si>
  <si>
    <t>BUCS1</t>
  </si>
  <si>
    <t>WPIS1</t>
  </si>
  <si>
    <t>HAGS1</t>
  </si>
  <si>
    <t>PDGS1</t>
  </si>
  <si>
    <t>CRSM2</t>
  </si>
  <si>
    <t>BISM2</t>
  </si>
  <si>
    <t>CHCM2</t>
  </si>
  <si>
    <t>HDGM2</t>
  </si>
  <si>
    <t>BLTM2</t>
  </si>
  <si>
    <t>APAM2</t>
  </si>
  <si>
    <t>CHBM2</t>
  </si>
  <si>
    <t>COVM2</t>
  </si>
  <si>
    <t>SLIM2</t>
  </si>
  <si>
    <t>PLKM2</t>
  </si>
  <si>
    <t>PPTM2</t>
  </si>
  <si>
    <t>BDPM2</t>
  </si>
  <si>
    <t>IHDM2</t>
  </si>
  <si>
    <t>MVRV2</t>
  </si>
  <si>
    <t>BLDM2</t>
  </si>
  <si>
    <t>BPPD2</t>
  </si>
  <si>
    <t>ANAD2</t>
  </si>
  <si>
    <t>WASD2</t>
  </si>
  <si>
    <t>AXTV2</t>
  </si>
  <si>
    <t>QTGV2</t>
  </si>
  <si>
    <t>AQCV2</t>
  </si>
  <si>
    <t>NCDV2</t>
  </si>
  <si>
    <t>BQTM2</t>
  </si>
  <si>
    <t>LSPV2</t>
  </si>
  <si>
    <t>LTQM2</t>
  </si>
  <si>
    <t>SGSM2</t>
  </si>
  <si>
    <t>GTND2</t>
  </si>
  <si>
    <t>DUKN7</t>
  </si>
  <si>
    <t>RMLN7</t>
  </si>
  <si>
    <t>WCHN7</t>
  </si>
  <si>
    <t>ORIN7</t>
  </si>
  <si>
    <t>ROFN7</t>
  </si>
  <si>
    <t>AVON7</t>
  </si>
  <si>
    <t>HCGN7</t>
  </si>
  <si>
    <t>OCAN7</t>
  </si>
  <si>
    <t>CTIN7</t>
  </si>
  <si>
    <t>BFTN7</t>
  </si>
  <si>
    <t>NTSN7</t>
  </si>
  <si>
    <t>ALLN7</t>
  </si>
  <si>
    <t>BERN7</t>
  </si>
  <si>
    <t>BLHN7</t>
  </si>
  <si>
    <t>BOGN7</t>
  </si>
  <si>
    <t>COLN7</t>
  </si>
  <si>
    <t>EGLN7</t>
  </si>
  <si>
    <t>EMDN7</t>
  </si>
  <si>
    <t>FESN7</t>
  </si>
  <si>
    <t>GRMN7</t>
  </si>
  <si>
    <t>HLKN7</t>
  </si>
  <si>
    <t>JCKN7</t>
  </si>
  <si>
    <t>KITN7</t>
  </si>
  <si>
    <t>ORLN7</t>
  </si>
  <si>
    <t>SWAN7</t>
  </si>
  <si>
    <t>PAMN7</t>
  </si>
  <si>
    <t>NLNC3</t>
  </si>
  <si>
    <t>SABC3</t>
  </si>
  <si>
    <t>ESXC3</t>
  </si>
  <si>
    <t>CLIC3</t>
  </si>
  <si>
    <t>NWHC3</t>
  </si>
  <si>
    <t>BRHC3</t>
  </si>
  <si>
    <t>STDC3</t>
  </si>
  <si>
    <t>MTKN6</t>
  </si>
  <si>
    <t>ORIN6</t>
  </si>
  <si>
    <t>SHIN6</t>
  </si>
  <si>
    <t>UCKN6</t>
  </si>
  <si>
    <t>SJAN6</t>
  </si>
  <si>
    <t>MOBN6</t>
  </si>
  <si>
    <t>FIRN6</t>
  </si>
  <si>
    <t>FLXN6</t>
  </si>
  <si>
    <t>REYN6</t>
  </si>
  <si>
    <t>FRPN6</t>
  </si>
  <si>
    <t>WESN6</t>
  </si>
  <si>
    <t>RKWN6</t>
  </si>
  <si>
    <t>IWDN6</t>
  </si>
  <si>
    <t>KPTN6</t>
  </si>
  <si>
    <t>RWYN6</t>
  </si>
  <si>
    <t>RYBN6</t>
  </si>
  <si>
    <t>BATN6</t>
  </si>
  <si>
    <t>PMTN6</t>
  </si>
  <si>
    <t>BGNN6</t>
  </si>
  <si>
    <t>HACN4</t>
  </si>
  <si>
    <t>NWKN4</t>
  </si>
  <si>
    <t>SDHN4</t>
  </si>
  <si>
    <t>LNDN6</t>
  </si>
  <si>
    <t>MAIN6</t>
  </si>
  <si>
    <t>PRIN6</t>
  </si>
  <si>
    <t>LYMC3</t>
  </si>
  <si>
    <t>SADN6</t>
  </si>
  <si>
    <t>SAYN6</t>
  </si>
  <si>
    <t>HOGN6</t>
  </si>
  <si>
    <t>KILN6</t>
  </si>
  <si>
    <t>PABN4</t>
  </si>
  <si>
    <t>SABN4</t>
  </si>
  <si>
    <t>KSBN4</t>
  </si>
  <si>
    <t>SBIN4</t>
  </si>
  <si>
    <t>BLMN4</t>
  </si>
  <si>
    <t>MTLN4</t>
  </si>
  <si>
    <t>BASN4</t>
  </si>
  <si>
    <t>WATN4</t>
  </si>
  <si>
    <t>BGLN4</t>
  </si>
  <si>
    <t>SBTN4</t>
  </si>
  <si>
    <t>TKTN4</t>
  </si>
  <si>
    <t>ASCN4</t>
  </si>
  <si>
    <t>ATLN4</t>
  </si>
  <si>
    <t>ACYN4</t>
  </si>
  <si>
    <t>MGTN4</t>
  </si>
  <si>
    <t>ONCN4</t>
  </si>
  <si>
    <t>SICN4</t>
  </si>
  <si>
    <t>AVLN4</t>
  </si>
  <si>
    <t>SHBN4</t>
  </si>
  <si>
    <t>CAPN4</t>
  </si>
  <si>
    <t>BVVN4</t>
  </si>
  <si>
    <t>SJSN4</t>
  </si>
  <si>
    <t>GRWN4</t>
  </si>
  <si>
    <t>TPBN4</t>
  </si>
  <si>
    <t>BDRN4</t>
  </si>
  <si>
    <t>MRCP1</t>
  </si>
  <si>
    <t>PHBP1</t>
  </si>
  <si>
    <t>BDSP1</t>
  </si>
  <si>
    <t>NBLP1</t>
  </si>
  <si>
    <t>WIMD1</t>
  </si>
  <si>
    <t>DELD1</t>
  </si>
  <si>
    <t>RDYD1</t>
  </si>
  <si>
    <t>BOWD1</t>
  </si>
  <si>
    <t>BRND1</t>
  </si>
  <si>
    <t>LWSD1</t>
  </si>
  <si>
    <t>INRD1</t>
  </si>
  <si>
    <t>TCBM2</t>
  </si>
  <si>
    <t>MSNN4</t>
  </si>
  <si>
    <t>ALCN4</t>
  </si>
  <si>
    <t>BSRN4</t>
  </si>
  <si>
    <t>ABSN4</t>
  </si>
  <si>
    <t>PHDP1</t>
  </si>
  <si>
    <t>ALWH1</t>
  </si>
  <si>
    <t>ANAH1</t>
  </si>
  <si>
    <t>MOMH1</t>
  </si>
  <si>
    <t>PAUH1</t>
  </si>
  <si>
    <t>WRMH1</t>
  </si>
  <si>
    <t>RLIT2</t>
  </si>
  <si>
    <t>PCGT2</t>
  </si>
  <si>
    <t>BZST2</t>
  </si>
  <si>
    <t>BRZT2</t>
  </si>
  <si>
    <t>PTIT2</t>
  </si>
  <si>
    <t>AYCT2</t>
  </si>
  <si>
    <t>PMGT2</t>
  </si>
  <si>
    <t>RGGT2</t>
  </si>
  <si>
    <t>SBYT2</t>
  </si>
  <si>
    <t>SDRT2</t>
  </si>
  <si>
    <t>AWRT2</t>
  </si>
  <si>
    <t>CPNT2</t>
  </si>
  <si>
    <t>RCPT2</t>
  </si>
  <si>
    <t>RTAT2</t>
  </si>
  <si>
    <t>ANPT2</t>
  </si>
  <si>
    <t>NUET2</t>
  </si>
  <si>
    <t>SR1</t>
  </si>
  <si>
    <t>NGLT2</t>
  </si>
  <si>
    <t>TAQT2</t>
  </si>
  <si>
    <t>PACT2</t>
  </si>
  <si>
    <t>BFBT2</t>
  </si>
  <si>
    <t>LGCT2</t>
  </si>
  <si>
    <t>RIOT2</t>
  </si>
  <si>
    <t>LHBT2</t>
  </si>
  <si>
    <t>LVJT2</t>
  </si>
  <si>
    <t>CPTT2</t>
  </si>
  <si>
    <t>GOOT2</t>
  </si>
  <si>
    <t>GJCT2</t>
  </si>
  <si>
    <t>SCPT2</t>
  </si>
  <si>
    <t>HBVT2</t>
  </si>
  <si>
    <t>DICT2</t>
  </si>
  <si>
    <t>MGPT2</t>
  </si>
  <si>
    <t>LYBT2</t>
  </si>
  <si>
    <t>NCHT2</t>
  </si>
  <si>
    <t>RLOT2</t>
  </si>
  <si>
    <t>EPTT2</t>
  </si>
  <si>
    <t>GNJT2</t>
  </si>
  <si>
    <t>GTOT2</t>
  </si>
  <si>
    <t>GRRT2</t>
  </si>
  <si>
    <t>GPST2</t>
  </si>
  <si>
    <t>LUIT2</t>
  </si>
  <si>
    <t>FCGT2</t>
  </si>
  <si>
    <t>SGNT2</t>
  </si>
  <si>
    <t>EMAT2</t>
  </si>
  <si>
    <t>VCAT2</t>
  </si>
  <si>
    <t>PCNT2</t>
  </si>
  <si>
    <t>MBET2</t>
  </si>
  <si>
    <t>CHTT2</t>
  </si>
  <si>
    <t>DYTT2</t>
  </si>
  <si>
    <t>FHBT2</t>
  </si>
  <si>
    <t>GIST2</t>
  </si>
  <si>
    <t>HLNT2</t>
  </si>
  <si>
    <t>SHPT2</t>
  </si>
  <si>
    <t>JDWT2</t>
  </si>
  <si>
    <t>SHLT2</t>
  </si>
  <si>
    <t>HSIT2</t>
  </si>
  <si>
    <t>CLCT2</t>
  </si>
  <si>
    <t>OBRT2</t>
  </si>
  <si>
    <t>BRJF1</t>
  </si>
  <si>
    <t>MYPF1</t>
  </si>
  <si>
    <t>DMSF1</t>
  </si>
  <si>
    <t>MSBF1</t>
  </si>
  <si>
    <t>BKBF1</t>
  </si>
  <si>
    <t>BRNG1</t>
  </si>
  <si>
    <t>RCYF1</t>
  </si>
  <si>
    <t>SRWG1</t>
  </si>
  <si>
    <t>CSAG1</t>
  </si>
  <si>
    <t>KLNG1</t>
  </si>
  <si>
    <t>NATF1</t>
  </si>
  <si>
    <t>PALF1</t>
  </si>
  <si>
    <t>DNSF1</t>
  </si>
  <si>
    <t>SPUF1</t>
  </si>
  <si>
    <t>SRPF1</t>
  </si>
  <si>
    <t>GCEF1</t>
  </si>
  <si>
    <t>JULF1</t>
  </si>
  <si>
    <t>DUCF1</t>
  </si>
  <si>
    <t>JAKF1</t>
  </si>
  <si>
    <t>SJLF1</t>
  </si>
  <si>
    <t>PCUF1</t>
  </si>
  <si>
    <t>TRJF1</t>
  </si>
  <si>
    <t>DCDF1</t>
  </si>
  <si>
    <t>CCJF1</t>
  </si>
  <si>
    <t>PELF1</t>
  </si>
  <si>
    <t>BCUF1</t>
  </si>
  <si>
    <t>DPBF1</t>
  </si>
  <si>
    <t>VCAF1</t>
  </si>
  <si>
    <t>KYWF1</t>
  </si>
  <si>
    <t>TESL1</t>
  </si>
  <si>
    <t>AMRL1</t>
  </si>
  <si>
    <t>EINL1</t>
  </si>
  <si>
    <t>VCPL1</t>
  </si>
  <si>
    <t>FRWL1</t>
  </si>
  <si>
    <t>LCLL1</t>
  </si>
  <si>
    <t>BKTL1</t>
  </si>
  <si>
    <t>CAPL1</t>
  </si>
  <si>
    <t>PORT2</t>
  </si>
  <si>
    <t>RBBT2</t>
  </si>
  <si>
    <t>SBPT2</t>
  </si>
  <si>
    <t>TXPT2</t>
  </si>
  <si>
    <t>CIBL1</t>
  </si>
  <si>
    <t>CWOL1</t>
  </si>
  <si>
    <t>KRZL1</t>
  </si>
  <si>
    <t>LCHL1</t>
  </si>
  <si>
    <t>LCRL1</t>
  </si>
  <si>
    <t>LCSL1</t>
  </si>
  <si>
    <t>LEPL1</t>
  </si>
  <si>
    <t>LKHL1</t>
  </si>
  <si>
    <t>VRIL1</t>
  </si>
  <si>
    <t>IWAL1</t>
  </si>
  <si>
    <t>SMML1</t>
  </si>
  <si>
    <t>MLVL1</t>
  </si>
  <si>
    <t>BLRL1</t>
  </si>
  <si>
    <t>GNDL1</t>
  </si>
  <si>
    <t>WLCL1</t>
  </si>
  <si>
    <t>MCGL1</t>
  </si>
  <si>
    <t>MRGL1</t>
  </si>
  <si>
    <t>MRML1</t>
  </si>
  <si>
    <t>NCLL1</t>
  </si>
  <si>
    <t>GBRM6</t>
  </si>
  <si>
    <t>ULAM6</t>
  </si>
  <si>
    <t>PNLM6</t>
  </si>
  <si>
    <t>WYCM6</t>
  </si>
  <si>
    <t>EPPL1</t>
  </si>
  <si>
    <t>PILL1</t>
  </si>
  <si>
    <t>PSTL1</t>
  </si>
  <si>
    <t>EMPL1</t>
  </si>
  <si>
    <t>SHBL1</t>
  </si>
  <si>
    <t>WPHL1</t>
  </si>
  <si>
    <t>GISL1</t>
  </si>
  <si>
    <t>MRAL1</t>
  </si>
  <si>
    <t>NWCL1</t>
  </si>
  <si>
    <t>NORL1</t>
  </si>
  <si>
    <t>MSVL1</t>
  </si>
  <si>
    <t>PTFL1</t>
  </si>
  <si>
    <t>LABL1</t>
  </si>
  <si>
    <t>PCML1</t>
  </si>
  <si>
    <t>PCRL1</t>
  </si>
  <si>
    <t>BCSL1</t>
  </si>
  <si>
    <t>BDAL1</t>
  </si>
  <si>
    <t>BPPL1</t>
  </si>
  <si>
    <t>BSRL1</t>
  </si>
  <si>
    <t>DONL1</t>
  </si>
  <si>
    <t>FBML1</t>
  </si>
  <si>
    <t>FSPl1</t>
  </si>
  <si>
    <t>HMAL1</t>
  </si>
  <si>
    <t>HPGL1</t>
  </si>
  <si>
    <t>LRLL1</t>
  </si>
  <si>
    <t>MBCL1</t>
  </si>
  <si>
    <t>NLVL1</t>
  </si>
  <si>
    <t>RRLL1</t>
  </si>
  <si>
    <t>RRVL1</t>
  </si>
  <si>
    <t>STFL1</t>
  </si>
  <si>
    <t>SWCL1</t>
  </si>
  <si>
    <t>TWDL1</t>
  </si>
  <si>
    <t>WPSL1</t>
  </si>
  <si>
    <t>DIBM6</t>
  </si>
  <si>
    <t>KLNM6</t>
  </si>
  <si>
    <t>NAPM6</t>
  </si>
  <si>
    <t>VNCL1</t>
  </si>
  <si>
    <t>PNTL1</t>
  </si>
  <si>
    <t>KILL1</t>
  </si>
  <si>
    <t>MAUL1</t>
  </si>
  <si>
    <t>DACL1</t>
  </si>
  <si>
    <t>BTRL1</t>
  </si>
  <si>
    <t>GRPL1</t>
  </si>
  <si>
    <t>EPCM6</t>
  </si>
  <si>
    <t>LKWF1</t>
  </si>
  <si>
    <t>VAKF1</t>
  </si>
  <si>
    <t>NPSF1</t>
  </si>
  <si>
    <t>PRGF1</t>
  </si>
  <si>
    <t>TRDF1</t>
  </si>
  <si>
    <t>ASTF1</t>
  </si>
  <si>
    <t>IRWF1</t>
  </si>
  <si>
    <t>SLRF1</t>
  </si>
  <si>
    <t>SPTF1</t>
  </si>
  <si>
    <t>LXRF1</t>
  </si>
  <si>
    <t>PCLF1</t>
  </si>
  <si>
    <t>WBYA1</t>
  </si>
  <si>
    <t>DILA1</t>
  </si>
  <si>
    <t>BYSA1</t>
  </si>
  <si>
    <t>EFRA1</t>
  </si>
  <si>
    <t>MCGA1</t>
  </si>
  <si>
    <t>OBLA1</t>
  </si>
  <si>
    <t>CIKA1</t>
  </si>
  <si>
    <t>WFRA1</t>
  </si>
  <si>
    <t>GSHA1</t>
  </si>
  <si>
    <t>ABOP4</t>
  </si>
  <si>
    <t>CTNP4</t>
  </si>
  <si>
    <t>DORP4</t>
  </si>
  <si>
    <t>HUMP4</t>
  </si>
  <si>
    <t>LOIP4</t>
  </si>
  <si>
    <t>LUQP4</t>
  </si>
  <si>
    <t>MTIP4</t>
  </si>
  <si>
    <t>NBOP4</t>
  </si>
  <si>
    <t>RIOP4</t>
  </si>
  <si>
    <t>RPIP4</t>
  </si>
  <si>
    <t>APCF1</t>
  </si>
  <si>
    <t>PACF1</t>
  </si>
  <si>
    <t>CTMF1</t>
  </si>
  <si>
    <t>SHPF1</t>
  </si>
  <si>
    <t>SUWF1</t>
  </si>
  <si>
    <t>STIF1</t>
  </si>
  <si>
    <t>FRHF1</t>
  </si>
  <si>
    <t>EFSF1</t>
  </si>
  <si>
    <t>NUTF1</t>
  </si>
  <si>
    <t>SBIF1</t>
  </si>
  <si>
    <t>JRAF1</t>
  </si>
  <si>
    <t>FMRF1</t>
  </si>
  <si>
    <t>PMAF1</t>
  </si>
  <si>
    <t>SAPF1</t>
  </si>
  <si>
    <t>OPTF1</t>
  </si>
  <si>
    <t>MCYF1</t>
  </si>
  <si>
    <t>CWBF1</t>
  </si>
  <si>
    <t>CKYF1</t>
  </si>
  <si>
    <t>EBEF1</t>
  </si>
  <si>
    <t>HPLF1</t>
  </si>
  <si>
    <t>MRNF1</t>
  </si>
  <si>
    <t>SKTF1</t>
  </si>
  <si>
    <t>CNMF1</t>
  </si>
  <si>
    <t>GBSF1</t>
  </si>
  <si>
    <t>PNPF1</t>
  </si>
  <si>
    <t>CHWF1</t>
  </si>
  <si>
    <t>CZKF1</t>
  </si>
  <si>
    <t>CHMF1</t>
  </si>
  <si>
    <t>DGIF1</t>
  </si>
  <si>
    <t>SGCF1</t>
  </si>
  <si>
    <t>CKBF1</t>
  </si>
  <si>
    <t>BGYF1</t>
  </si>
  <si>
    <t>CYTF1</t>
  </si>
  <si>
    <t>WCIF1</t>
  </si>
  <si>
    <t>GULF1</t>
  </si>
  <si>
    <t>SISF1</t>
  </si>
  <si>
    <t>NYHC1</t>
  </si>
  <si>
    <t>SXHC1</t>
  </si>
  <si>
    <t>EKRC1</t>
  </si>
  <si>
    <t>HBYC1</t>
  </si>
  <si>
    <t>AWAC1</t>
  </si>
  <si>
    <t>TNHC1</t>
  </si>
  <si>
    <t>CECC1</t>
  </si>
  <si>
    <t>PPZC1</t>
  </si>
  <si>
    <t>PAGC1</t>
  </si>
  <si>
    <t>AGQC1</t>
  </si>
  <si>
    <t>OHBC1</t>
  </si>
  <si>
    <t>LPJC1</t>
  </si>
  <si>
    <t>LPQC1</t>
  </si>
  <si>
    <t>ICAC1</t>
  </si>
  <si>
    <t>VTXC1</t>
  </si>
  <si>
    <t>NTBC1</t>
  </si>
  <si>
    <t>GVXC1</t>
  </si>
  <si>
    <t>PSLC1</t>
  </si>
  <si>
    <t>PORO3</t>
  </si>
  <si>
    <t>CHAO3</t>
  </si>
  <si>
    <t>ZMCC1</t>
  </si>
  <si>
    <t>MTYC1</t>
  </si>
  <si>
    <t>ZCZC1</t>
  </si>
  <si>
    <t>ZPHC1</t>
  </si>
  <si>
    <t>FTPC1</t>
  </si>
  <si>
    <t>ZSFC1</t>
  </si>
  <si>
    <t>ZDBC1</t>
  </si>
  <si>
    <t>RTYC1</t>
  </si>
  <si>
    <t>RYAC1</t>
  </si>
  <si>
    <t>AAMC1</t>
  </si>
  <si>
    <t>ZOIC1</t>
  </si>
  <si>
    <t>ZOMC1</t>
  </si>
  <si>
    <t>ZOBC1</t>
  </si>
  <si>
    <t>ZPRC1</t>
  </si>
  <si>
    <t>RCMC1</t>
  </si>
  <si>
    <t>ZBLC1</t>
  </si>
  <si>
    <t>PRYC1</t>
  </si>
  <si>
    <t>ZPOC1</t>
  </si>
  <si>
    <t>MZXC1</t>
  </si>
  <si>
    <t>ZDPC1</t>
  </si>
  <si>
    <t>PCOC1</t>
  </si>
  <si>
    <t>ZMIC1</t>
  </si>
  <si>
    <t>ZSEC1</t>
  </si>
  <si>
    <t>BDZC1</t>
  </si>
  <si>
    <t>ZGCC1</t>
  </si>
  <si>
    <t>ANVC1</t>
  </si>
  <si>
    <t>CHDO3</t>
  </si>
  <si>
    <t>SBEO3</t>
  </si>
  <si>
    <t>DPBO3</t>
  </si>
  <si>
    <t>WDPO3</t>
  </si>
  <si>
    <t>TLBO3</t>
  </si>
  <si>
    <t>HAMO3</t>
  </si>
  <si>
    <t>ASTO3</t>
  </si>
  <si>
    <t>WAUO3</t>
  </si>
  <si>
    <t>SHNO3</t>
  </si>
  <si>
    <t>VAPW1</t>
  </si>
  <si>
    <t>LOPW1</t>
  </si>
  <si>
    <t>SKAW1</t>
  </si>
  <si>
    <t>JAIW1</t>
  </si>
  <si>
    <t>CPTW1</t>
  </si>
  <si>
    <t>TOKW1</t>
  </si>
  <si>
    <t>WPTW1</t>
  </si>
  <si>
    <t>ABRW1</t>
  </si>
  <si>
    <t>THLW1</t>
  </si>
  <si>
    <t>LAPW1</t>
  </si>
  <si>
    <t>NEAW1</t>
  </si>
  <si>
    <t>PTAW1</t>
  </si>
  <si>
    <t>PTWW1</t>
  </si>
  <si>
    <t>BMTW1</t>
  </si>
  <si>
    <t>WNAW1</t>
  </si>
  <si>
    <t>TCNW1</t>
  </si>
  <si>
    <t>YPAW1</t>
  </si>
  <si>
    <t>DWMW1</t>
  </si>
  <si>
    <t>EBSW1</t>
  </si>
  <si>
    <t>SHBW1</t>
  </si>
  <si>
    <t>GRBW1</t>
  </si>
  <si>
    <t>SWMW1</t>
  </si>
  <si>
    <t>CHYW1</t>
  </si>
  <si>
    <t>PTRW1</t>
  </si>
  <si>
    <t>RSOW1</t>
  </si>
  <si>
    <t>KNBW1</t>
  </si>
  <si>
    <t>FRDW1</t>
  </si>
  <si>
    <t>URHW1</t>
  </si>
  <si>
    <t>ARIW1</t>
  </si>
  <si>
    <t>TGBW1</t>
  </si>
  <si>
    <t>SDBC1</t>
  </si>
  <si>
    <t>LJAC1</t>
  </si>
  <si>
    <t>NTKM3</t>
  </si>
  <si>
    <t>CMAN4</t>
  </si>
  <si>
    <t>FRDF1</t>
  </si>
  <si>
    <t>AKQ</t>
  </si>
  <si>
    <t>ALY</t>
  </si>
  <si>
    <t>BOX</t>
  </si>
  <si>
    <t>CAR</t>
  </si>
  <si>
    <t>CHS</t>
  </si>
  <si>
    <t>GYX</t>
  </si>
  <si>
    <t>ILM</t>
  </si>
  <si>
    <t>LWX</t>
  </si>
  <si>
    <t>MHX</t>
  </si>
  <si>
    <t>OKX</t>
  </si>
  <si>
    <t>PHI</t>
  </si>
  <si>
    <t>HFO</t>
  </si>
  <si>
    <t>BRO</t>
  </si>
  <si>
    <t>CRP</t>
  </si>
  <si>
    <t>HGX</t>
  </si>
  <si>
    <t>JAX</t>
  </si>
  <si>
    <t>KEY</t>
  </si>
  <si>
    <t>LCH</t>
  </si>
  <si>
    <t>LIX</t>
  </si>
  <si>
    <t>MFL</t>
  </si>
  <si>
    <t>MLB</t>
  </si>
  <si>
    <t>MOB</t>
  </si>
  <si>
    <t>SJU</t>
  </si>
  <si>
    <t>TAE</t>
  </si>
  <si>
    <t>TBW</t>
  </si>
  <si>
    <t>EKA</t>
  </si>
  <si>
    <t>LOX</t>
  </si>
  <si>
    <t>MFR</t>
  </si>
  <si>
    <t>MTR</t>
  </si>
  <si>
    <t>PQR</t>
  </si>
  <si>
    <t>SEW</t>
  </si>
  <si>
    <t>SGX</t>
  </si>
  <si>
    <t>RHA</t>
  </si>
  <si>
    <t>ALR</t>
  </si>
  <si>
    <t>TAR</t>
  </si>
  <si>
    <t>ACR</t>
  </si>
  <si>
    <t>FWR</t>
  </si>
  <si>
    <t>ORN</t>
  </si>
  <si>
    <t>RSA</t>
  </si>
  <si>
    <t>PTR</t>
  </si>
  <si>
    <t>ER</t>
  </si>
  <si>
    <t>PR</t>
  </si>
  <si>
    <t>SR</t>
  </si>
  <si>
    <t>WR</t>
  </si>
  <si>
    <t>Worcester</t>
  </si>
  <si>
    <t>Dorchester</t>
  </si>
  <si>
    <t>Westmoreland</t>
  </si>
  <si>
    <t>Accomack</t>
  </si>
  <si>
    <t>Northampton</t>
  </si>
  <si>
    <t>Northumberland</t>
  </si>
  <si>
    <t>Gloucester</t>
  </si>
  <si>
    <t>York</t>
  </si>
  <si>
    <t>James City</t>
  </si>
  <si>
    <t>City of Hampton</t>
  </si>
  <si>
    <t>City of Chesapeake</t>
  </si>
  <si>
    <t>City of Suffolk</t>
  </si>
  <si>
    <t>City of Norfolk</t>
  </si>
  <si>
    <t>Pasquotank</t>
  </si>
  <si>
    <t>Chowan</t>
  </si>
  <si>
    <t>Currituck</t>
  </si>
  <si>
    <t>City of Poquoson</t>
  </si>
  <si>
    <t>City of Richmond</t>
  </si>
  <si>
    <t>City of Virginia Beach</t>
  </si>
  <si>
    <t>Bertie</t>
  </si>
  <si>
    <t>Albany</t>
  </si>
  <si>
    <t>Dutchess</t>
  </si>
  <si>
    <t>Essex</t>
  </si>
  <si>
    <t>Middlesex</t>
  </si>
  <si>
    <t>Plymouth</t>
  </si>
  <si>
    <t>Barnstable</t>
  </si>
  <si>
    <t>Bristol</t>
  </si>
  <si>
    <t>Newport</t>
  </si>
  <si>
    <t>Providence</t>
  </si>
  <si>
    <t>Washington</t>
  </si>
  <si>
    <t>Penobscot</t>
  </si>
  <si>
    <t>Charleston</t>
  </si>
  <si>
    <t>Beaufort</t>
  </si>
  <si>
    <t>Jasper</t>
  </si>
  <si>
    <t>McIntosh</t>
  </si>
  <si>
    <t>Berkeley</t>
  </si>
  <si>
    <t>Chatham</t>
  </si>
  <si>
    <t>Knox</t>
  </si>
  <si>
    <t>Lincoln</t>
  </si>
  <si>
    <t>Kennebec</t>
  </si>
  <si>
    <t>Sagadahoc</t>
  </si>
  <si>
    <t>Rockingham</t>
  </si>
  <si>
    <t>New Hanover</t>
  </si>
  <si>
    <t>Brunswick</t>
  </si>
  <si>
    <t>Georgetown</t>
  </si>
  <si>
    <t>Horry</t>
  </si>
  <si>
    <t>Cecil</t>
  </si>
  <si>
    <t>Harford</t>
  </si>
  <si>
    <t>Anne Arundel</t>
  </si>
  <si>
    <t>Calvert</t>
  </si>
  <si>
    <t>St. Marys</t>
  </si>
  <si>
    <t>Prince Georges</t>
  </si>
  <si>
    <t>District of Columbia</t>
  </si>
  <si>
    <t>City of Alexandria</t>
  </si>
  <si>
    <t>Stafford</t>
  </si>
  <si>
    <t>King George</t>
  </si>
  <si>
    <t>Baltimore</t>
  </si>
  <si>
    <t>Prince William</t>
  </si>
  <si>
    <t>Dare</t>
  </si>
  <si>
    <t>Hyde</t>
  </si>
  <si>
    <t>Tyrrell</t>
  </si>
  <si>
    <t>Pitt</t>
  </si>
  <si>
    <t>Craven</t>
  </si>
  <si>
    <t>Pamlico</t>
  </si>
  <si>
    <t>New London</t>
  </si>
  <si>
    <t>Fairfield</t>
  </si>
  <si>
    <t>Suffolk</t>
  </si>
  <si>
    <t>Nassau</t>
  </si>
  <si>
    <t>Queens</t>
  </si>
  <si>
    <t>Westchester</t>
  </si>
  <si>
    <t>Richmond</t>
  </si>
  <si>
    <t>Bergen</t>
  </si>
  <si>
    <t>Hudson</t>
  </si>
  <si>
    <t>Monmouth</t>
  </si>
  <si>
    <t>Ocean</t>
  </si>
  <si>
    <t>Atlantic</t>
  </si>
  <si>
    <t>Cape May</t>
  </si>
  <si>
    <t>Cumberland</t>
  </si>
  <si>
    <t>Philadelphia</t>
  </si>
  <si>
    <t>Bucks</t>
  </si>
  <si>
    <t>Delaware</t>
  </si>
  <si>
    <t>New Castle</t>
  </si>
  <si>
    <t>Sussex</t>
  </si>
  <si>
    <t>Kent</t>
  </si>
  <si>
    <t>Oahu in Honolulu</t>
  </si>
  <si>
    <t>Kauai in Kauai</t>
  </si>
  <si>
    <t>Cameron</t>
  </si>
  <si>
    <t>San Patricio</t>
  </si>
  <si>
    <t>Harris</t>
  </si>
  <si>
    <t>Galveston</t>
  </si>
  <si>
    <t>Brazoria</t>
  </si>
  <si>
    <t>Matagorda</t>
  </si>
  <si>
    <t>Chambers</t>
  </si>
  <si>
    <t>Duval</t>
  </si>
  <si>
    <t>St. Johns</t>
  </si>
  <si>
    <t>Camden</t>
  </si>
  <si>
    <t>Putnam</t>
  </si>
  <si>
    <t>Middle Keys in Monroe</t>
  </si>
  <si>
    <t>Lower Keys in Monroe</t>
  </si>
  <si>
    <t>St. Mary</t>
  </si>
  <si>
    <t>Vermilion</t>
  </si>
  <si>
    <t>Calcasieu</t>
  </si>
  <si>
    <t>Jefferson</t>
  </si>
  <si>
    <t>St. Landry</t>
  </si>
  <si>
    <t>Lafayette</t>
  </si>
  <si>
    <t>Assumption</t>
  </si>
  <si>
    <t>Avoyelles</t>
  </si>
  <si>
    <t>St. Martin</t>
  </si>
  <si>
    <t>Acadia</t>
  </si>
  <si>
    <t>Jackson</t>
  </si>
  <si>
    <t>St. Tammany</t>
  </si>
  <si>
    <t>Plaquemines</t>
  </si>
  <si>
    <t>St. Bernard</t>
  </si>
  <si>
    <t>Orleans</t>
  </si>
  <si>
    <t>Lafourche</t>
  </si>
  <si>
    <t>St. Charles</t>
  </si>
  <si>
    <t>Iberville</t>
  </si>
  <si>
    <t>St. John The Baptist</t>
  </si>
  <si>
    <t>Terrebonne</t>
  </si>
  <si>
    <t>Pointe Coupee</t>
  </si>
  <si>
    <t>West Feliciana</t>
  </si>
  <si>
    <t>Harrison</t>
  </si>
  <si>
    <t>Hancock</t>
  </si>
  <si>
    <t>Tangipahoa</t>
  </si>
  <si>
    <t>Livingston</t>
  </si>
  <si>
    <t>West Baton Rouge</t>
  </si>
  <si>
    <t>Collier</t>
  </si>
  <si>
    <t>Volusia</t>
  </si>
  <si>
    <t>Martin</t>
  </si>
  <si>
    <t>Escambia</t>
  </si>
  <si>
    <t>Baldwin</t>
  </si>
  <si>
    <t>Mobile</t>
  </si>
  <si>
    <t>Arecibo</t>
  </si>
  <si>
    <t>Toa Baja</t>
  </si>
  <si>
    <t>Dorado</t>
  </si>
  <si>
    <t>Naguabo</t>
  </si>
  <si>
    <t>Rio Grande</t>
  </si>
  <si>
    <t>Wakulla</t>
  </si>
  <si>
    <t>Dixie</t>
  </si>
  <si>
    <t>Taylor</t>
  </si>
  <si>
    <t>Franklin</t>
  </si>
  <si>
    <t>Lee</t>
  </si>
  <si>
    <t>Manatee</t>
  </si>
  <si>
    <t>Pinellas</t>
  </si>
  <si>
    <t>Hillsborough</t>
  </si>
  <si>
    <t>Sarasota</t>
  </si>
  <si>
    <t>Pasco</t>
  </si>
  <si>
    <t>Citrus</t>
  </si>
  <si>
    <t>Levy</t>
  </si>
  <si>
    <t>Mendocino</t>
  </si>
  <si>
    <t>Humboldt</t>
  </si>
  <si>
    <t>Del Norte</t>
  </si>
  <si>
    <t>Los Angeles</t>
  </si>
  <si>
    <t>Santa Barbara</t>
  </si>
  <si>
    <t>Coos</t>
  </si>
  <si>
    <t>Monterey</t>
  </si>
  <si>
    <t>San Mateo</t>
  </si>
  <si>
    <t>Santa Clara</t>
  </si>
  <si>
    <t>Alameda</t>
  </si>
  <si>
    <t>Contra Costa</t>
  </si>
  <si>
    <t>Marin</t>
  </si>
  <si>
    <t>Sonoma</t>
  </si>
  <si>
    <t>Clatsop</t>
  </si>
  <si>
    <t>Columbia</t>
  </si>
  <si>
    <t>Clark</t>
  </si>
  <si>
    <t>Cowlitz</t>
  </si>
  <si>
    <t>Wahkiakum</t>
  </si>
  <si>
    <t>Grays Harbor</t>
  </si>
  <si>
    <t>Clallam</t>
  </si>
  <si>
    <t>King</t>
  </si>
  <si>
    <t>Skagit</t>
  </si>
  <si>
    <t>Whatcom</t>
  </si>
  <si>
    <t>San Juan</t>
  </si>
  <si>
    <t>Nantucket</t>
  </si>
  <si>
    <t>MD</t>
  </si>
  <si>
    <t>VA</t>
  </si>
  <si>
    <t>NC</t>
  </si>
  <si>
    <t>NY</t>
  </si>
  <si>
    <t>MA</t>
  </si>
  <si>
    <t>RI</t>
  </si>
  <si>
    <t>ME</t>
  </si>
  <si>
    <t>SC</t>
  </si>
  <si>
    <t>GA</t>
  </si>
  <si>
    <t>NH</t>
  </si>
  <si>
    <t>DC</t>
  </si>
  <si>
    <t>CT</t>
  </si>
  <si>
    <t>NJ</t>
  </si>
  <si>
    <t>PA</t>
  </si>
  <si>
    <t>DE</t>
  </si>
  <si>
    <t>HI</t>
  </si>
  <si>
    <t>TX</t>
  </si>
  <si>
    <t>FL</t>
  </si>
  <si>
    <t>LA</t>
  </si>
  <si>
    <t>MS</t>
  </si>
  <si>
    <t>AL</t>
  </si>
  <si>
    <t>CA</t>
  </si>
  <si>
    <t>OR</t>
  </si>
  <si>
    <t>WA</t>
  </si>
  <si>
    <t>E</t>
  </si>
  <si>
    <t>H</t>
  </si>
  <si>
    <t>C</t>
  </si>
  <si>
    <t>V</t>
  </si>
  <si>
    <t>P</t>
  </si>
  <si>
    <t>None</t>
  </si>
  <si>
    <t>HM</t>
  </si>
  <si>
    <t>HG</t>
  </si>
  <si>
    <t>HL</t>
  </si>
  <si>
    <t>TW</t>
  </si>
  <si>
    <t>HP</t>
  </si>
  <si>
    <t>HC</t>
  </si>
  <si>
    <t>Tide</t>
  </si>
  <si>
    <t>USGS</t>
  </si>
  <si>
    <t>HCFCD</t>
  </si>
  <si>
    <t>ATL</t>
  </si>
  <si>
    <t>HAW</t>
  </si>
  <si>
    <t>PRV</t>
  </si>
  <si>
    <t>PAC</t>
  </si>
  <si>
    <t>chesapeak_delaware</t>
  </si>
  <si>
    <t>contiguous</t>
  </si>
  <si>
    <t>hi</t>
  </si>
  <si>
    <t>prvi</t>
  </si>
  <si>
    <t>westcoast</t>
  </si>
  <si>
    <t>Datum Info</t>
  </si>
  <si>
    <t>Ref_Datum</t>
  </si>
  <si>
    <t>MHHW</t>
  </si>
  <si>
    <t>MHW</t>
  </si>
  <si>
    <t>MTL</t>
  </si>
  <si>
    <t>MSL</t>
  </si>
  <si>
    <t>DTL</t>
  </si>
  <si>
    <t>MLW</t>
  </si>
  <si>
    <t>MLLW</t>
  </si>
  <si>
    <t>NAVD88</t>
  </si>
  <si>
    <t>STND</t>
  </si>
  <si>
    <t>NGVD29</t>
  </si>
  <si>
    <t>LMSL</t>
  </si>
  <si>
    <t>nrldb vertical datum name</t>
  </si>
  <si>
    <t>nrldb vertical datum</t>
  </si>
  <si>
    <t>navd88 vertical datum</t>
  </si>
  <si>
    <t>ngvd29 vertical datum</t>
  </si>
  <si>
    <t>msl vertical datum</t>
  </si>
  <si>
    <t>other vertical datum</t>
  </si>
  <si>
    <t>elevation</t>
  </si>
  <si>
    <t>action stage</t>
  </si>
  <si>
    <t>flood stage</t>
  </si>
  <si>
    <t>moderate flood stage</t>
  </si>
  <si>
    <t>major flood stage</t>
  </si>
  <si>
    <t>flood stage unit</t>
  </si>
  <si>
    <t>-23.815</t>
  </si>
  <si>
    <t>-21.04</t>
  </si>
  <si>
    <t>-9.104</t>
  </si>
  <si>
    <t>-11.384</t>
  </si>
  <si>
    <t>-15.091</t>
  </si>
  <si>
    <t>-13.693</t>
  </si>
  <si>
    <t>-2.846</t>
  </si>
  <si>
    <t>-23.491</t>
  </si>
  <si>
    <t>-20.692</t>
  </si>
  <si>
    <t>-8.748</t>
  </si>
  <si>
    <t>-11.049</t>
  </si>
  <si>
    <t>-14.768</t>
  </si>
  <si>
    <t>-13.43</t>
  </si>
  <si>
    <t>-2.491</t>
  </si>
  <si>
    <t>-21.318</t>
  </si>
  <si>
    <t>-17.915</t>
  </si>
  <si>
    <t>-6.092</t>
  </si>
  <si>
    <t>-8.207</t>
  </si>
  <si>
    <t>-12.718</t>
  </si>
  <si>
    <t>-11.672</t>
  </si>
  <si>
    <t>0.624</t>
  </si>
  <si>
    <t>-21.396</t>
  </si>
  <si>
    <t>-17.993</t>
  </si>
  <si>
    <t>-6.176</t>
  </si>
  <si>
    <t>-8.271</t>
  </si>
  <si>
    <t>-12.814</t>
  </si>
  <si>
    <t>-11.745</t>
  </si>
  <si>
    <t>-0.265</t>
  </si>
  <si>
    <t>0.545</t>
  </si>
  <si>
    <t>-19.144</t>
  </si>
  <si>
    <t>-15.138</t>
  </si>
  <si>
    <t>-3.436</t>
  </si>
  <si>
    <t>-5.366</t>
  </si>
  <si>
    <t>-10.668</t>
  </si>
  <si>
    <t>-9.915</t>
  </si>
  <si>
    <t>3.739</t>
  </si>
  <si>
    <t>-18.977</t>
  </si>
  <si>
    <t>-14.946</t>
  </si>
  <si>
    <t>-3.249</t>
  </si>
  <si>
    <t>-5.158</t>
  </si>
  <si>
    <t>-10.537</t>
  </si>
  <si>
    <t>-9.797</t>
  </si>
  <si>
    <t>3.936</t>
  </si>
  <si>
    <t>-2.949</t>
  </si>
  <si>
    <t>-1.378</t>
  </si>
  <si>
    <t>-1.473</t>
  </si>
  <si>
    <t>-1.28</t>
  </si>
  <si>
    <t>-1.68</t>
  </si>
  <si>
    <t>-1.854</t>
  </si>
  <si>
    <t>-1.965</t>
  </si>
  <si>
    <t>-1.995</t>
  </si>
  <si>
    <t>-1.893</t>
  </si>
  <si>
    <t xml:space="preserve"> 0.0</t>
  </si>
  <si>
    <t xml:space="preserve"> 0.00</t>
  </si>
  <si>
    <t xml:space="preserve"> -3</t>
  </si>
  <si>
    <t xml:space="preserve"> 0</t>
  </si>
  <si>
    <t xml:space="preserve"> -1.1</t>
  </si>
  <si>
    <t>-4.936</t>
  </si>
  <si>
    <t>-5.547</t>
  </si>
  <si>
    <t>-5.404</t>
  </si>
  <si>
    <t>-5.463</t>
  </si>
  <si>
    <t>-5.773</t>
  </si>
  <si>
    <t>-3.064</t>
  </si>
  <si>
    <t>-2.392</t>
  </si>
  <si>
    <t xml:space="preserve"> -2.68</t>
  </si>
  <si>
    <t>-5.945</t>
  </si>
  <si>
    <t>-4.088</t>
  </si>
  <si>
    <t>-21.38</t>
  </si>
  <si>
    <t xml:space="preserve"> -10.54</t>
  </si>
  <si>
    <t>-18.17</t>
  </si>
  <si>
    <t>-6.42</t>
  </si>
  <si>
    <t>-8.57</t>
  </si>
  <si>
    <t xml:space="preserve"> -3.87</t>
  </si>
  <si>
    <t>-5.876</t>
  </si>
  <si>
    <t>-5.652</t>
  </si>
  <si>
    <t>-5.733</t>
  </si>
  <si>
    <t>-5.818</t>
  </si>
  <si>
    <t>-4.752</t>
  </si>
  <si>
    <t>-5.005</t>
  </si>
  <si>
    <t>-4.994</t>
  </si>
  <si>
    <t>-5.093</t>
  </si>
  <si>
    <t>-3.033</t>
  </si>
  <si>
    <t xml:space="preserve"> -10.88</t>
  </si>
  <si>
    <t>-12.70</t>
  </si>
  <si>
    <t xml:space="preserve"> -4.50</t>
  </si>
  <si>
    <t>-11.58</t>
  </si>
  <si>
    <t>-1.115</t>
  </si>
  <si>
    <t>-1.063</t>
  </si>
  <si>
    <t>-1.266</t>
  </si>
  <si>
    <t>-1.296</t>
  </si>
  <si>
    <t>-0.126</t>
  </si>
  <si>
    <t>-0.392</t>
  </si>
  <si>
    <t>-0.342</t>
  </si>
  <si>
    <t>-0.69</t>
  </si>
  <si>
    <t>-0.01</t>
  </si>
  <si>
    <t>-2.616</t>
  </si>
  <si>
    <t xml:space="preserve"> -1</t>
  </si>
  <si>
    <t>-3.622</t>
  </si>
  <si>
    <t>-1.739</t>
  </si>
  <si>
    <t>-3.07</t>
  </si>
  <si>
    <t>-2.065</t>
  </si>
  <si>
    <t>-1.315</t>
  </si>
  <si>
    <t>-0.704</t>
  </si>
  <si>
    <t>-2.639</t>
  </si>
  <si>
    <t>-3.016</t>
  </si>
  <si>
    <t>-2.421</t>
  </si>
  <si>
    <t>-2.589</t>
  </si>
  <si>
    <t>-3.192</t>
  </si>
  <si>
    <t>-3.143</t>
  </si>
  <si>
    <t>-3.547</t>
  </si>
  <si>
    <t>-3.284</t>
  </si>
  <si>
    <t>-3.714</t>
  </si>
  <si>
    <t>-2.989</t>
  </si>
  <si>
    <t>-3.012</t>
  </si>
  <si>
    <t>-2.014</t>
  </si>
  <si>
    <t xml:space="preserve"> 0.</t>
  </si>
  <si>
    <t>-0.29</t>
  </si>
  <si>
    <t>0.142</t>
  </si>
  <si>
    <t>0.078</t>
  </si>
  <si>
    <t>-0.152</t>
  </si>
  <si>
    <t xml:space="preserve"> 00</t>
  </si>
  <si>
    <t xml:space="preserve"> -0.2</t>
  </si>
  <si>
    <t>0.00</t>
  </si>
  <si>
    <t xml:space="preserve"> 1</t>
  </si>
  <si>
    <t>-0.723</t>
  </si>
  <si>
    <t>-0.416</t>
  </si>
  <si>
    <t>0.427</t>
  </si>
  <si>
    <t>-1.88</t>
  </si>
  <si>
    <t xml:space="preserve"> -0.56</t>
  </si>
  <si>
    <t xml:space="preserve"> -0.45</t>
  </si>
  <si>
    <t>0.259</t>
  </si>
  <si>
    <t>0.41</t>
  </si>
  <si>
    <t>-0.354</t>
  </si>
  <si>
    <t>0.109</t>
  </si>
  <si>
    <t xml:space="preserve"> -.88</t>
  </si>
  <si>
    <t>-2.75</t>
  </si>
  <si>
    <t>-1.58</t>
  </si>
  <si>
    <t>-1.38</t>
  </si>
  <si>
    <t xml:space="preserve"> 0.36</t>
  </si>
  <si>
    <t>-.56</t>
  </si>
  <si>
    <t xml:space="preserve"> -0.97</t>
  </si>
  <si>
    <t>-0.34</t>
  </si>
  <si>
    <t>-0.343</t>
  </si>
  <si>
    <t xml:space="preserve"> 2</t>
  </si>
  <si>
    <t xml:space="preserve"> -.09</t>
  </si>
  <si>
    <t xml:space="preserve"> -0.89</t>
  </si>
  <si>
    <t xml:space="preserve"> -0.71</t>
  </si>
  <si>
    <t xml:space="preserve"> -12.18</t>
  </si>
  <si>
    <t xml:space="preserve"> 0.20</t>
  </si>
  <si>
    <t>0.052</t>
  </si>
  <si>
    <t>-1.444</t>
  </si>
  <si>
    <t>-1.857</t>
  </si>
  <si>
    <t>0.381</t>
  </si>
  <si>
    <t>1.017</t>
  </si>
  <si>
    <t>-0.312</t>
  </si>
  <si>
    <t>2.28</t>
  </si>
  <si>
    <t>6.23</t>
  </si>
  <si>
    <t>6.962</t>
  </si>
  <si>
    <t>4.774</t>
  </si>
  <si>
    <t>1.686</t>
  </si>
  <si>
    <t>-0.469</t>
  </si>
  <si>
    <t>-1.066</t>
  </si>
  <si>
    <t>-2.785</t>
  </si>
  <si>
    <t>-3.629</t>
  </si>
  <si>
    <t>-3.681</t>
  </si>
  <si>
    <t>-2.474</t>
  </si>
  <si>
    <t>-0.686</t>
  </si>
  <si>
    <t>-1.024</t>
  </si>
  <si>
    <t>-1.247</t>
  </si>
  <si>
    <t>-0.597</t>
  </si>
  <si>
    <t>-0.6</t>
  </si>
  <si>
    <t>-0.636</t>
  </si>
  <si>
    <t>0.217</t>
  </si>
  <si>
    <t>-2.04</t>
  </si>
  <si>
    <t>-0.961</t>
  </si>
  <si>
    <t>-0.512</t>
  </si>
  <si>
    <t>-2.139</t>
  </si>
  <si>
    <t>-1.043</t>
  </si>
  <si>
    <t>-0.499</t>
  </si>
  <si>
    <t>-0.682</t>
  </si>
  <si>
    <t>0.433</t>
  </si>
  <si>
    <t>-0.873</t>
  </si>
  <si>
    <t>-0.292</t>
  </si>
  <si>
    <t>-0.417</t>
  </si>
  <si>
    <t>-0.548</t>
  </si>
  <si>
    <t>-0.194</t>
  </si>
  <si>
    <t>-1.076</t>
  </si>
  <si>
    <t>-0.774</t>
  </si>
  <si>
    <t>-1.125</t>
  </si>
  <si>
    <t>-1.119</t>
  </si>
  <si>
    <t>-1.037</t>
  </si>
  <si>
    <t>-3.894</t>
  </si>
  <si>
    <t>-4.731</t>
  </si>
  <si>
    <t>-4.665</t>
  </si>
  <si>
    <t>-3.632</t>
  </si>
  <si>
    <t>-4.295</t>
  </si>
  <si>
    <t>-4.839</t>
  </si>
  <si>
    <t>-1.755</t>
  </si>
  <si>
    <t>-1.535</t>
  </si>
  <si>
    <t>-2.47</t>
  </si>
  <si>
    <t>-1.099</t>
  </si>
  <si>
    <t>-0.361</t>
  </si>
  <si>
    <t>-1.152</t>
  </si>
  <si>
    <t>-1.558</t>
  </si>
  <si>
    <t>-1.65</t>
  </si>
  <si>
    <t>-1.407</t>
  </si>
  <si>
    <t>-0.853</t>
  </si>
  <si>
    <t>-9.318</t>
  </si>
  <si>
    <t>-7.178</t>
  </si>
  <si>
    <t>-5.577</t>
  </si>
  <si>
    <t>-5.276</t>
  </si>
  <si>
    <t>-2.162</t>
  </si>
  <si>
    <t>-2.297</t>
  </si>
  <si>
    <t>-2.697</t>
  </si>
  <si>
    <t>-3.15</t>
  </si>
  <si>
    <t>-3.13</t>
  </si>
  <si>
    <t>-20.387</t>
  </si>
  <si>
    <t>-17.188</t>
  </si>
  <si>
    <t>-5.44</t>
  </si>
  <si>
    <t>-7.598</t>
  </si>
  <si>
    <t>-5.125</t>
  </si>
  <si>
    <t>-4.957</t>
  </si>
  <si>
    <t>-5.043</t>
  </si>
  <si>
    <t>-3.763</t>
  </si>
  <si>
    <t>-5.115</t>
  </si>
  <si>
    <t>-4.052</t>
  </si>
  <si>
    <t>-4.272</t>
  </si>
  <si>
    <t>-4.528</t>
  </si>
  <si>
    <t>-4.17</t>
  </si>
  <si>
    <t>-4.331</t>
  </si>
  <si>
    <t>-4.232</t>
  </si>
  <si>
    <t>-3.848</t>
  </si>
  <si>
    <t>-4.239</t>
  </si>
  <si>
    <t>-1.355</t>
  </si>
  <si>
    <t>-1.588</t>
  </si>
  <si>
    <t>-1.673</t>
  </si>
  <si>
    <t>-1.982</t>
  </si>
  <si>
    <t>-1.686</t>
  </si>
  <si>
    <t>-1.171</t>
  </si>
  <si>
    <t>-11.65</t>
  </si>
  <si>
    <t xml:space="preserve"> -14.36</t>
  </si>
  <si>
    <t xml:space="preserve"> -14.14</t>
  </si>
  <si>
    <t>-10.581</t>
  </si>
  <si>
    <t>-0.591</t>
  </si>
  <si>
    <t>-0.476</t>
  </si>
  <si>
    <t>-0.308</t>
  </si>
  <si>
    <t>-0.118</t>
  </si>
  <si>
    <t>-0.177</t>
  </si>
  <si>
    <t>-0.236</t>
  </si>
  <si>
    <t>-0.19</t>
  </si>
  <si>
    <t>-0.502</t>
  </si>
  <si>
    <t>-0.522</t>
  </si>
  <si>
    <t>-0.558</t>
  </si>
  <si>
    <t>-0.351</t>
  </si>
  <si>
    <t>-1.224</t>
  </si>
  <si>
    <t>0.86</t>
  </si>
  <si>
    <t>0.591</t>
  </si>
  <si>
    <t>0.295</t>
  </si>
  <si>
    <t>0.581</t>
  </si>
  <si>
    <t>0.715</t>
  </si>
  <si>
    <t>0.577</t>
  </si>
  <si>
    <t>0.243</t>
  </si>
  <si>
    <t>0.997</t>
  </si>
  <si>
    <t>-1.047</t>
  </si>
  <si>
    <t>-1.617</t>
  </si>
  <si>
    <t>-0.906</t>
  </si>
  <si>
    <t>-1.765</t>
  </si>
  <si>
    <t>-2.582</t>
  </si>
  <si>
    <t>-2.749</t>
  </si>
  <si>
    <t>-2.93</t>
  </si>
  <si>
    <t>-0.614</t>
  </si>
  <si>
    <t>-0.791</t>
  </si>
  <si>
    <t>-0.85</t>
  </si>
  <si>
    <t>-2.126</t>
  </si>
  <si>
    <t>0.348</t>
  </si>
  <si>
    <t>-1.496</t>
  </si>
  <si>
    <t>-3.087</t>
  </si>
  <si>
    <t>-1.775</t>
  </si>
  <si>
    <t>-3.041</t>
  </si>
  <si>
    <t>-3.025</t>
  </si>
  <si>
    <t>-1.693</t>
  </si>
  <si>
    <t>-1.85</t>
  </si>
  <si>
    <t>-2.51</t>
  </si>
  <si>
    <t>-1.873</t>
  </si>
  <si>
    <t>-1.056</t>
  </si>
  <si>
    <t>0.141</t>
  </si>
  <si>
    <t>-0.568</t>
  </si>
  <si>
    <t>-0.203</t>
  </si>
  <si>
    <t>-1.138</t>
  </si>
  <si>
    <t>-1.365</t>
  </si>
  <si>
    <t>-1.302</t>
  </si>
  <si>
    <t>-1.381</t>
  </si>
  <si>
    <t>-2.247</t>
  </si>
  <si>
    <t>-2.047</t>
  </si>
  <si>
    <t>-2.503</t>
  </si>
  <si>
    <t>-2.064</t>
  </si>
  <si>
    <t>-2.011</t>
  </si>
  <si>
    <t>-2.238</t>
  </si>
  <si>
    <t>-2.625</t>
  </si>
  <si>
    <t>-2.224</t>
  </si>
  <si>
    <t>-2.264</t>
  </si>
  <si>
    <t>-1.946</t>
  </si>
  <si>
    <t>-2.018</t>
  </si>
  <si>
    <t>-1.24</t>
  </si>
  <si>
    <t>-0.112</t>
  </si>
  <si>
    <t>0.046</t>
  </si>
  <si>
    <t>-0.689</t>
  </si>
  <si>
    <t>-0.531</t>
  </si>
  <si>
    <t>-0.482</t>
  </si>
  <si>
    <t>0.81</t>
  </si>
  <si>
    <t>1.079</t>
  </si>
  <si>
    <t>0.873</t>
  </si>
  <si>
    <t>1.512</t>
  </si>
  <si>
    <t>0.154</t>
  </si>
  <si>
    <t>-0.148</t>
  </si>
  <si>
    <t>0.705</t>
  </si>
  <si>
    <t>-0.151</t>
  </si>
  <si>
    <t>0.728</t>
  </si>
  <si>
    <t>-0.344</t>
  </si>
  <si>
    <t>0.774</t>
  </si>
  <si>
    <t>-0.062</t>
  </si>
  <si>
    <t>0.112</t>
  </si>
  <si>
    <t>0.174</t>
  </si>
  <si>
    <t>0.066</t>
  </si>
  <si>
    <t>-0.328</t>
  </si>
  <si>
    <t>-0.079</t>
  </si>
  <si>
    <t>-0.108</t>
  </si>
  <si>
    <t>0.085</t>
  </si>
  <si>
    <t>-0.092</t>
  </si>
  <si>
    <t>0.846</t>
  </si>
  <si>
    <t>1.283</t>
  </si>
  <si>
    <t>0.367</t>
  </si>
  <si>
    <t>0.335</t>
  </si>
  <si>
    <t>-0.046</t>
  </si>
  <si>
    <t>-0.61</t>
  </si>
  <si>
    <t>-1.913</t>
  </si>
  <si>
    <t>-1.198</t>
  </si>
  <si>
    <t>-0.253</t>
  </si>
  <si>
    <t>0.554</t>
  </si>
  <si>
    <t>-2.08</t>
  </si>
  <si>
    <t>0.361</t>
  </si>
  <si>
    <t>1.165</t>
  </si>
  <si>
    <t>-0.41</t>
  </si>
  <si>
    <t>3.294</t>
  </si>
  <si>
    <t>0.988</t>
  </si>
  <si>
    <t>0.764</t>
  </si>
  <si>
    <t>0.404</t>
  </si>
  <si>
    <t>0.4</t>
  </si>
  <si>
    <t>0.413</t>
  </si>
  <si>
    <t>0.079</t>
  </si>
  <si>
    <t>1.558</t>
  </si>
  <si>
    <t>1.637</t>
  </si>
  <si>
    <t>-0.581</t>
  </si>
  <si>
    <t xml:space="preserve"> 0.58</t>
  </si>
  <si>
    <t>-0.023</t>
  </si>
  <si>
    <t>1.837</t>
  </si>
  <si>
    <t>1.788</t>
  </si>
  <si>
    <t>0.226</t>
  </si>
  <si>
    <t>0.876</t>
  </si>
  <si>
    <t>0.968</t>
  </si>
  <si>
    <t>0.564</t>
  </si>
  <si>
    <t>0.407</t>
  </si>
  <si>
    <t>-2.267</t>
  </si>
  <si>
    <t>-1.05</t>
  </si>
  <si>
    <t>-0.817</t>
  </si>
  <si>
    <t>0.059</t>
  </si>
  <si>
    <t>0.033</t>
  </si>
  <si>
    <t>-0.912</t>
  </si>
  <si>
    <t>-0.413</t>
  </si>
  <si>
    <t>-1.017</t>
  </si>
  <si>
    <t>-1.522</t>
  </si>
  <si>
    <t>-0.171</t>
  </si>
  <si>
    <t>-0.095</t>
  </si>
  <si>
    <t>-0.272</t>
  </si>
  <si>
    <t>-0.217</t>
  </si>
  <si>
    <t>-0.207</t>
  </si>
  <si>
    <t>-0.276</t>
  </si>
  <si>
    <t>-0.056</t>
  </si>
  <si>
    <t>0.131</t>
  </si>
  <si>
    <t>-0.65</t>
  </si>
  <si>
    <t>-0.699</t>
  </si>
  <si>
    <t>-0.673</t>
  </si>
  <si>
    <t>-0.928</t>
  </si>
  <si>
    <t>-1.706</t>
  </si>
  <si>
    <t>-2.969</t>
  </si>
  <si>
    <t>-3.904</t>
  </si>
  <si>
    <t>-3.76</t>
  </si>
  <si>
    <t>-3.776</t>
  </si>
  <si>
    <t>-3.543</t>
  </si>
  <si>
    <t>-2.552</t>
  </si>
  <si>
    <t>-2.628</t>
  </si>
  <si>
    <t>-2.884</t>
  </si>
  <si>
    <t>-3.133</t>
  </si>
  <si>
    <t>-3.12</t>
  </si>
  <si>
    <t>-4.029</t>
  </si>
  <si>
    <t>-4.252</t>
  </si>
  <si>
    <t>-2.913</t>
  </si>
  <si>
    <t>-2.677</t>
  </si>
  <si>
    <t>-2.756</t>
  </si>
  <si>
    <t>-2.779</t>
  </si>
  <si>
    <t>-6.316</t>
  </si>
  <si>
    <t>-6.447</t>
  </si>
  <si>
    <t>-4.925</t>
  </si>
  <si>
    <t>-2.789</t>
  </si>
  <si>
    <t>-2.73</t>
  </si>
  <si>
    <t>-2.707</t>
  </si>
  <si>
    <t>-2.484</t>
  </si>
  <si>
    <t>-1.772</t>
  </si>
  <si>
    <t>-2.68</t>
  </si>
  <si>
    <t>-2.451</t>
  </si>
  <si>
    <t>-3.091</t>
  </si>
  <si>
    <t>-3.353</t>
  </si>
  <si>
    <t>-4.131</t>
  </si>
  <si>
    <t>-4.009</t>
  </si>
  <si>
    <t>-2.425</t>
  </si>
  <si>
    <t>-3.793</t>
  </si>
  <si>
    <t>-3.153</t>
  </si>
  <si>
    <t>-0.978</t>
  </si>
  <si>
    <t>2.956</t>
  </si>
  <si>
    <t>3.504</t>
  </si>
  <si>
    <t>1.594</t>
  </si>
  <si>
    <t>-1.398</t>
  </si>
  <si>
    <t>-3.862</t>
  </si>
  <si>
    <t>-3.386</t>
  </si>
  <si>
    <t>-4.121</t>
  </si>
  <si>
    <t>-4.783</t>
  </si>
  <si>
    <t>-5.161</t>
  </si>
  <si>
    <t>-4.711</t>
  </si>
  <si>
    <t>-4.564</t>
  </si>
  <si>
    <t>-4.114</t>
  </si>
  <si>
    <t>-4.744</t>
  </si>
  <si>
    <t>-6.296</t>
  </si>
  <si>
    <t>-7.067</t>
  </si>
  <si>
    <t>-6.096</t>
  </si>
  <si>
    <t>-7.103</t>
  </si>
  <si>
    <t>-6.014</t>
  </si>
  <si>
    <t>-6.194</t>
  </si>
  <si>
    <t>-4.465</t>
  </si>
  <si>
    <t>-4.967</t>
  </si>
  <si>
    <t>-5.194</t>
  </si>
  <si>
    <t>-4.429</t>
  </si>
  <si>
    <t>-4.452</t>
  </si>
  <si>
    <t>-4.449</t>
  </si>
  <si>
    <t>-3.573</t>
  </si>
  <si>
    <t>-2.667</t>
  </si>
  <si>
    <t>-2.395</t>
  </si>
  <si>
    <t>-1.122</t>
  </si>
  <si>
    <t>-1.864</t>
  </si>
  <si>
    <t>-2.694</t>
  </si>
  <si>
    <t>-1.305</t>
  </si>
  <si>
    <t>-2.436</t>
  </si>
  <si>
    <t>-1.418</t>
  </si>
  <si>
    <t>-0.918</t>
  </si>
  <si>
    <t>-1.008</t>
  </si>
  <si>
    <t>-0.864</t>
  </si>
  <si>
    <t>-1.244</t>
  </si>
  <si>
    <t>-0.783</t>
  </si>
  <si>
    <t>-0.687</t>
  </si>
  <si>
    <t>-1.236</t>
  </si>
  <si>
    <t>-1.106</t>
  </si>
  <si>
    <t>-1.432</t>
  </si>
  <si>
    <t>-1.458</t>
  </si>
  <si>
    <t>-1.569</t>
  </si>
  <si>
    <t>-4.767</t>
  </si>
  <si>
    <t>-5.242</t>
  </si>
  <si>
    <t>-5.202</t>
  </si>
  <si>
    <t>-4.89</t>
  </si>
  <si>
    <t>-5.03</t>
  </si>
  <si>
    <t>-5.228</t>
  </si>
  <si>
    <t>-2.492</t>
  </si>
  <si>
    <t>-2.203</t>
  </si>
  <si>
    <t>-3.172</t>
  </si>
  <si>
    <t>-1.674</t>
  </si>
  <si>
    <t>-0.981</t>
  </si>
  <si>
    <t>-1.733</t>
  </si>
  <si>
    <t>-2.111</t>
  </si>
  <si>
    <t>-2.249</t>
  </si>
  <si>
    <t>-1.867</t>
  </si>
  <si>
    <t>-1.486</t>
  </si>
  <si>
    <t>-9.703</t>
  </si>
  <si>
    <t>-7.345</t>
  </si>
  <si>
    <t>-6.076</t>
  </si>
  <si>
    <t>-5.669</t>
  </si>
  <si>
    <t>-2.923</t>
  </si>
  <si>
    <t>-3.078</t>
  </si>
  <si>
    <t>-3.537</t>
  </si>
  <si>
    <t>-3.823</t>
  </si>
  <si>
    <t>-21.349</t>
  </si>
  <si>
    <t>-18.05</t>
  </si>
  <si>
    <t>-6.226</t>
  </si>
  <si>
    <t>-8.447</t>
  </si>
  <si>
    <t>-5.61</t>
  </si>
  <si>
    <t>-5.355</t>
  </si>
  <si>
    <t>-5.328</t>
  </si>
  <si>
    <t>-4.948</t>
  </si>
  <si>
    <t>-5.052</t>
  </si>
  <si>
    <t>-4.599</t>
  </si>
  <si>
    <t>-4.811</t>
  </si>
  <si>
    <t>-4.938</t>
  </si>
  <si>
    <t>-4.757</t>
  </si>
  <si>
    <t>-4.822</t>
  </si>
  <si>
    <t>-4.805</t>
  </si>
  <si>
    <t>-4.76</t>
  </si>
  <si>
    <t>-4.715</t>
  </si>
  <si>
    <t>-4.426</t>
  </si>
  <si>
    <t>-4.712</t>
  </si>
  <si>
    <t>-2.434</t>
  </si>
  <si>
    <t>-2.041</t>
  </si>
  <si>
    <t>-2.316</t>
  </si>
  <si>
    <t>-2.656</t>
  </si>
  <si>
    <t>-12.686</t>
  </si>
  <si>
    <t>-11.723</t>
  </si>
  <si>
    <t>-1.021</t>
  </si>
  <si>
    <t>-1.032</t>
  </si>
  <si>
    <t>-1.571</t>
  </si>
  <si>
    <t>-1.182</t>
  </si>
  <si>
    <t>-0.812</t>
  </si>
  <si>
    <t>-0.73</t>
  </si>
  <si>
    <t>-0.746</t>
  </si>
  <si>
    <t>-1.606</t>
  </si>
  <si>
    <t>-1.593</t>
  </si>
  <si>
    <t>-1.563</t>
  </si>
  <si>
    <t>-0.917</t>
  </si>
  <si>
    <t>-1.768</t>
  </si>
  <si>
    <t>0</t>
  </si>
  <si>
    <t>-0.305</t>
  </si>
  <si>
    <t>-0.58</t>
  </si>
  <si>
    <t>-0.43</t>
  </si>
  <si>
    <t>-0.295</t>
  </si>
  <si>
    <t>-0.283</t>
  </si>
  <si>
    <t>-0.524</t>
  </si>
  <si>
    <t>-1.709</t>
  </si>
  <si>
    <t>-1.572</t>
  </si>
  <si>
    <t>-2.464</t>
  </si>
  <si>
    <t>-3.327</t>
  </si>
  <si>
    <t>-3.621</t>
  </si>
  <si>
    <t>-3.839</t>
  </si>
  <si>
    <t>-1.227</t>
  </si>
  <si>
    <t>-1.488</t>
  </si>
  <si>
    <t>-1.474</t>
  </si>
  <si>
    <t>-2.706</t>
  </si>
  <si>
    <t>-1.641</t>
  </si>
  <si>
    <t>-1.158</t>
  </si>
  <si>
    <t>-0.688</t>
  </si>
  <si>
    <t>-2.28</t>
  </si>
  <si>
    <t>-3.895</t>
  </si>
  <si>
    <t>-2.384</t>
  </si>
  <si>
    <t>-3.89</t>
  </si>
  <si>
    <t>-3.899</t>
  </si>
  <si>
    <t>-2.598</t>
  </si>
  <si>
    <t>-2.773</t>
  </si>
  <si>
    <t>-3.542</t>
  </si>
  <si>
    <t>-2.931</t>
  </si>
  <si>
    <t>-2.574</t>
  </si>
  <si>
    <t>-1.866</t>
  </si>
  <si>
    <t>-1.167</t>
  </si>
  <si>
    <t>-2.213</t>
  </si>
  <si>
    <t>-2.056</t>
  </si>
  <si>
    <t>-2.175</t>
  </si>
  <si>
    <t>-2.208</t>
  </si>
  <si>
    <t>-2.314</t>
  </si>
  <si>
    <t>-3.613</t>
  </si>
  <si>
    <t>-3.981</t>
  </si>
  <si>
    <t>-3.135</t>
  </si>
  <si>
    <t>-3.489</t>
  </si>
  <si>
    <t>-3.572</t>
  </si>
  <si>
    <t>-4.31</t>
  </si>
  <si>
    <t>-2.965</t>
  </si>
  <si>
    <t>-2.619</t>
  </si>
  <si>
    <t>-2.254</t>
  </si>
  <si>
    <t>-1.478</t>
  </si>
  <si>
    <t>-0.832</t>
  </si>
  <si>
    <t>-0.28</t>
  </si>
  <si>
    <t>-0.827</t>
  </si>
  <si>
    <t>-0.908</t>
  </si>
  <si>
    <t>-0.876</t>
  </si>
  <si>
    <t>-0.801</t>
  </si>
  <si>
    <t>-0.197</t>
  </si>
  <si>
    <t>-0.199</t>
  </si>
  <si>
    <t>-0.601</t>
  </si>
  <si>
    <t>-0.927</t>
  </si>
  <si>
    <t>-0.925</t>
  </si>
  <si>
    <t>-0.315</t>
  </si>
  <si>
    <t>-0.348</t>
  </si>
  <si>
    <t>-0.195</t>
  </si>
  <si>
    <t>-0.711</t>
  </si>
  <si>
    <t>-0.81</t>
  </si>
  <si>
    <t>-0.901</t>
  </si>
  <si>
    <t>-0.737</t>
  </si>
  <si>
    <t>-0.994</t>
  </si>
  <si>
    <t>-0.698</t>
  </si>
  <si>
    <t>-1.109</t>
  </si>
  <si>
    <t>-0.958</t>
  </si>
  <si>
    <t>-0.263</t>
  </si>
  <si>
    <t>-0.497</t>
  </si>
  <si>
    <t>-0.421</t>
  </si>
  <si>
    <t>-1.075</t>
  </si>
  <si>
    <t>-1.322</t>
  </si>
  <si>
    <t>-2.482</t>
  </si>
  <si>
    <t>-1.883</t>
  </si>
  <si>
    <t>-1.089</t>
  </si>
  <si>
    <t>-0.535</t>
  </si>
  <si>
    <t>-2.985</t>
  </si>
  <si>
    <t>-0.654</t>
  </si>
  <si>
    <t>0.511</t>
  </si>
  <si>
    <t>-0.503</t>
  </si>
  <si>
    <t>-0.892</t>
  </si>
  <si>
    <t>-0.325</t>
  </si>
  <si>
    <t>-0.926</t>
  </si>
  <si>
    <t>-1.083</t>
  </si>
  <si>
    <t>-0.741</t>
  </si>
  <si>
    <t>-0.712</t>
  </si>
  <si>
    <t>-1.214</t>
  </si>
  <si>
    <t>-0.604</t>
  </si>
  <si>
    <t>-0.525</t>
  </si>
  <si>
    <t>-0.96</t>
  </si>
  <si>
    <t>-1.22</t>
  </si>
  <si>
    <t>-0.869</t>
  </si>
  <si>
    <t>-0.518</t>
  </si>
  <si>
    <t>-0.62</t>
  </si>
  <si>
    <t>-0.738</t>
  </si>
  <si>
    <t>-0.249</t>
  </si>
  <si>
    <t>-0.299</t>
  </si>
  <si>
    <t>-1.509</t>
  </si>
  <si>
    <t>-1.098</t>
  </si>
  <si>
    <t>-1.647</t>
  </si>
  <si>
    <t>-0.619</t>
  </si>
  <si>
    <t>-0.564</t>
  </si>
  <si>
    <t>-0.796</t>
  </si>
  <si>
    <t>-0.838</t>
  </si>
  <si>
    <t>-0.653</t>
  </si>
  <si>
    <t>-0.634</t>
  </si>
  <si>
    <t>-1.168</t>
  </si>
  <si>
    <t>-1.213</t>
  </si>
  <si>
    <t>-1.456</t>
  </si>
  <si>
    <t>-1.48</t>
  </si>
  <si>
    <t>-2.034</t>
  </si>
  <si>
    <t>-3.297</t>
  </si>
  <si>
    <t>-3.701</t>
  </si>
  <si>
    <t>-3.594</t>
  </si>
  <si>
    <t>-3.706</t>
  </si>
  <si>
    <t>-3.451</t>
  </si>
  <si>
    <t>-2.825</t>
  </si>
  <si>
    <t>-2.793</t>
  </si>
  <si>
    <t>-2.748</t>
  </si>
  <si>
    <t>-2.799</t>
  </si>
  <si>
    <t>-3.933</t>
  </si>
  <si>
    <t>-4.078</t>
  </si>
  <si>
    <t>-2.743</t>
  </si>
  <si>
    <t>-2.828</t>
  </si>
  <si>
    <t>-2.987</t>
  </si>
  <si>
    <t>-3.122</t>
  </si>
  <si>
    <t>-4.654</t>
  </si>
  <si>
    <t>-4.402</t>
  </si>
  <si>
    <t>-4.886</t>
  </si>
  <si>
    <t>-3.447</t>
  </si>
  <si>
    <t>-3.266</t>
  </si>
  <si>
    <t>-3.26</t>
  </si>
  <si>
    <t>-3.097</t>
  </si>
  <si>
    <t>-3.28</t>
  </si>
  <si>
    <t>-2.863</t>
  </si>
  <si>
    <t>-2.57</t>
  </si>
  <si>
    <t>-3.081</t>
  </si>
  <si>
    <t>-2.74</t>
  </si>
  <si>
    <t>-2.695</t>
  </si>
  <si>
    <t>-3.138</t>
  </si>
  <si>
    <t>-4.053</t>
  </si>
  <si>
    <t>-4.418</t>
  </si>
  <si>
    <t>-3.341</t>
  </si>
  <si>
    <t>-4.462</t>
  </si>
  <si>
    <t>-4.425</t>
  </si>
  <si>
    <t>-4.508</t>
  </si>
  <si>
    <t>-3.378</t>
  </si>
  <si>
    <t>-1.485</t>
  </si>
  <si>
    <t>-1.372</t>
  </si>
  <si>
    <t>-2.045</t>
  </si>
  <si>
    <t>-3.744</t>
  </si>
  <si>
    <t>-4.548</t>
  </si>
  <si>
    <t>-4.076</t>
  </si>
  <si>
    <t>-4.784</t>
  </si>
  <si>
    <t>-4.896</t>
  </si>
  <si>
    <t>-5.591</t>
  </si>
  <si>
    <t>-4.509</t>
  </si>
  <si>
    <t>-4.315</t>
  </si>
  <si>
    <t>-4.247</t>
  </si>
  <si>
    <t>-4.995</t>
  </si>
  <si>
    <t>-6.829</t>
  </si>
  <si>
    <t>-7.666</t>
  </si>
  <si>
    <t>-6.841</t>
  </si>
  <si>
    <t>-7.676</t>
  </si>
  <si>
    <t>-6.639</t>
  </si>
  <si>
    <t>-6.642</t>
  </si>
  <si>
    <t>-5.098</t>
  </si>
  <si>
    <t>-5.282</t>
  </si>
  <si>
    <t>-5.622</t>
  </si>
  <si>
    <t>-4.364</t>
  </si>
  <si>
    <t>-4.554</t>
  </si>
  <si>
    <t>-4.594</t>
  </si>
  <si>
    <t>-4.64</t>
  </si>
  <si>
    <t>-3.748</t>
  </si>
  <si>
    <t>-2.941</t>
  </si>
  <si>
    <t>-2.731</t>
  </si>
  <si>
    <t>-1.773</t>
  </si>
  <si>
    <t>-2.595</t>
  </si>
  <si>
    <t>-3.31</t>
  </si>
  <si>
    <t>NAVD 1988</t>
  </si>
  <si>
    <t>NGVD 1929</t>
  </si>
  <si>
    <t>-14.14</t>
  </si>
  <si>
    <t>WMLW</t>
  </si>
  <si>
    <t>NAD88</t>
  </si>
  <si>
    <t>NGVD</t>
  </si>
  <si>
    <t>NGVD 29</t>
  </si>
  <si>
    <t>-1.54</t>
  </si>
  <si>
    <t>-1.11</t>
  </si>
  <si>
    <t>0 ft</t>
  </si>
  <si>
    <t>-0.80</t>
  </si>
  <si>
    <t>-5.46</t>
  </si>
  <si>
    <t>-5.77</t>
  </si>
  <si>
    <t>-1.82</t>
  </si>
  <si>
    <t>-4.104</t>
  </si>
  <si>
    <t>-4.18</t>
  </si>
  <si>
    <t>-2.404</t>
  </si>
  <si>
    <t>-3.026</t>
  </si>
  <si>
    <t>-3.223</t>
  </si>
  <si>
    <t>-3.412</t>
  </si>
  <si>
    <t>-4.265</t>
  </si>
  <si>
    <t>-3.87</t>
  </si>
  <si>
    <t>-1.16</t>
  </si>
  <si>
    <t>-1.03</t>
  </si>
  <si>
    <t>-2.26 ft</t>
  </si>
  <si>
    <t>-1</t>
  </si>
  <si>
    <t>-3.06</t>
  </si>
  <si>
    <t>-2.13</t>
  </si>
  <si>
    <t>-2.32</t>
  </si>
  <si>
    <t>-0.30</t>
  </si>
  <si>
    <t>-0.47</t>
  </si>
  <si>
    <t>-0.52</t>
  </si>
  <si>
    <t>-1.18</t>
  </si>
  <si>
    <t>-0.94</t>
  </si>
  <si>
    <t>-1.83</t>
  </si>
  <si>
    <t>-2.41</t>
  </si>
  <si>
    <t>-2.39</t>
  </si>
  <si>
    <t>-2.33</t>
  </si>
  <si>
    <t>-2.06</t>
  </si>
  <si>
    <t>-2.35</t>
  </si>
  <si>
    <t>-2.53</t>
  </si>
  <si>
    <t>-2.66</t>
  </si>
  <si>
    <t>-2.77</t>
  </si>
  <si>
    <t>-3.41</t>
  </si>
  <si>
    <t>-3.24</t>
  </si>
  <si>
    <t>-2.91</t>
  </si>
  <si>
    <t>-1.93</t>
  </si>
  <si>
    <t>-2.37</t>
  </si>
  <si>
    <t>-2.40</t>
  </si>
  <si>
    <t>1.30</t>
  </si>
  <si>
    <t>2.97</t>
  </si>
  <si>
    <t>3.41</t>
  </si>
  <si>
    <t>3.35</t>
  </si>
  <si>
    <t>2.47</t>
  </si>
  <si>
    <t>1.97</t>
  </si>
  <si>
    <t>0.62</t>
  </si>
  <si>
    <t>0.66</t>
  </si>
  <si>
    <t>0.82</t>
  </si>
  <si>
    <t>0.85</t>
  </si>
  <si>
    <t>0.69</t>
  </si>
  <si>
    <t>0.63</t>
  </si>
  <si>
    <t>1.08</t>
  </si>
  <si>
    <t>1.25</t>
  </si>
  <si>
    <t>1.61</t>
  </si>
  <si>
    <t>1.84</t>
  </si>
  <si>
    <t>-0.12 ft</t>
  </si>
  <si>
    <t>-0.88 ft</t>
  </si>
  <si>
    <t>1.44</t>
  </si>
  <si>
    <t>1.64</t>
  </si>
  <si>
    <t>1.90</t>
  </si>
  <si>
    <t>-0.09</t>
  </si>
  <si>
    <t>-0.89</t>
  </si>
  <si>
    <t>-0.71</t>
  </si>
  <si>
    <t>-0.72</t>
  </si>
  <si>
    <t>0.04</t>
  </si>
  <si>
    <t>-3.169</t>
  </si>
  <si>
    <t>-3.187</t>
  </si>
  <si>
    <t>-1.411</t>
  </si>
  <si>
    <t>-2.241</t>
  </si>
  <si>
    <t>-2.192</t>
  </si>
  <si>
    <t>-2.441</t>
  </si>
  <si>
    <t>-3.346</t>
  </si>
  <si>
    <t>-0.17</t>
  </si>
  <si>
    <t>-1.41 ft</t>
  </si>
  <si>
    <t>-0.58 ft</t>
  </si>
  <si>
    <t>0.0 ft</t>
  </si>
  <si>
    <t>-10.153</t>
  </si>
  <si>
    <t>-1.34</t>
  </si>
  <si>
    <t>-1.07</t>
  </si>
  <si>
    <t>-3.910</t>
  </si>
  <si>
    <t>-3.784</t>
  </si>
  <si>
    <t>-2.373</t>
  </si>
  <si>
    <t>-3.121</t>
  </si>
  <si>
    <t>-3.104</t>
  </si>
  <si>
    <t>-2.977</t>
  </si>
  <si>
    <t>-3.289</t>
  </si>
  <si>
    <t>-4.413</t>
  </si>
  <si>
    <t>0.93</t>
  </si>
  <si>
    <t>-7.414</t>
  </si>
  <si>
    <t>-7.553</t>
  </si>
  <si>
    <t>-4.383</t>
  </si>
  <si>
    <t>-5.902</t>
  </si>
  <si>
    <t>-6.093</t>
  </si>
  <si>
    <t>-5.855</t>
  </si>
  <si>
    <t>-8.285</t>
  </si>
  <si>
    <t>-3.47</t>
  </si>
  <si>
    <t>-2.65</t>
  </si>
  <si>
    <t>-1.79</t>
  </si>
  <si>
    <t>-2.23</t>
  </si>
  <si>
    <t>-0.33</t>
  </si>
  <si>
    <t>-0.37</t>
  </si>
  <si>
    <t>-0.44</t>
  </si>
  <si>
    <t>-1.33</t>
  </si>
  <si>
    <t>-0.99</t>
  </si>
  <si>
    <t>-1.50</t>
  </si>
  <si>
    <t>-1.98</t>
  </si>
  <si>
    <t>-2.09</t>
  </si>
  <si>
    <t>-1.91</t>
  </si>
  <si>
    <t>-2.30</t>
  </si>
  <si>
    <t>-2.86</t>
  </si>
  <si>
    <t>-3.17</t>
  </si>
  <si>
    <t>-3.14</t>
  </si>
  <si>
    <t>-2.79</t>
  </si>
  <si>
    <t>-1.21</t>
  </si>
  <si>
    <t>-2.05</t>
  </si>
  <si>
    <t>-2.10</t>
  </si>
  <si>
    <t>-1.08</t>
  </si>
  <si>
    <t>0.0</t>
  </si>
  <si>
    <t>-1.6</t>
  </si>
  <si>
    <t>-0.49</t>
  </si>
  <si>
    <t>-2.78</t>
  </si>
  <si>
    <t>-1.19</t>
  </si>
  <si>
    <t>-1.25</t>
  </si>
  <si>
    <t>-1.15</t>
  </si>
  <si>
    <t>-12.685</t>
  </si>
  <si>
    <t>-1.35</t>
  </si>
  <si>
    <t>FT</t>
  </si>
  <si>
    <t>River Waterbody Name</t>
  </si>
  <si>
    <t>HUC2</t>
  </si>
  <si>
    <t>Location Name</t>
  </si>
  <si>
    <t>AHPS Name</t>
  </si>
  <si>
    <t>Station Info</t>
  </si>
  <si>
    <t>Extra Metadata</t>
  </si>
  <si>
    <t>Hydrograph</t>
  </si>
  <si>
    <t>Chincoteague Channel</t>
  </si>
  <si>
    <t>James River (VA)</t>
  </si>
  <si>
    <t>Currituck Sound</t>
  </si>
  <si>
    <t>Roanoke River</t>
  </si>
  <si>
    <t>Hudson River</t>
  </si>
  <si>
    <t>Merrimack River</t>
  </si>
  <si>
    <t>Atlantic Coast</t>
  </si>
  <si>
    <t>Pawcatuck</t>
  </si>
  <si>
    <t>Penobscot River</t>
  </si>
  <si>
    <t>Skull Creek</t>
  </si>
  <si>
    <t>Hudson Creek</t>
  </si>
  <si>
    <t>Santee River</t>
  </si>
  <si>
    <t>Cooper River</t>
  </si>
  <si>
    <t>Wando River</t>
  </si>
  <si>
    <t>Ashley River</t>
  </si>
  <si>
    <t>Savannah River</t>
  </si>
  <si>
    <t>Altamaha River</t>
  </si>
  <si>
    <t>Kennebec River</t>
  </si>
  <si>
    <t>North Santee River</t>
  </si>
  <si>
    <t>Atlantic Intracoastal Waterway</t>
  </si>
  <si>
    <t>Waccamaw River</t>
  </si>
  <si>
    <t>Pee Dee River</t>
  </si>
  <si>
    <t>Chesapeake Bay</t>
  </si>
  <si>
    <t>Potomac River</t>
  </si>
  <si>
    <t>Pamlico River</t>
  </si>
  <si>
    <t>Long Island Sound</t>
  </si>
  <si>
    <t>Orient Harbor</t>
  </si>
  <si>
    <t>Shinnecock Bay</t>
  </si>
  <si>
    <t>Moriches Bay</t>
  </si>
  <si>
    <t>Great South Bay</t>
  </si>
  <si>
    <t>Flax Pond</t>
  </si>
  <si>
    <t>Reynolds Channel</t>
  </si>
  <si>
    <t>Hudson Bay</t>
  </si>
  <si>
    <t>West Pond</t>
  </si>
  <si>
    <t>East Rockaway Inlet</t>
  </si>
  <si>
    <t>Jamaica Bay</t>
  </si>
  <si>
    <t>Passaic River</t>
  </si>
  <si>
    <t>Peconic River</t>
  </si>
  <si>
    <t>Hog Island Channel</t>
  </si>
  <si>
    <t>Great Kills Harbor</t>
  </si>
  <si>
    <t>Arthur Kill</t>
  </si>
  <si>
    <t>Raritan Bay</t>
  </si>
  <si>
    <t>Shrewsbury River</t>
  </si>
  <si>
    <t>Shark River</t>
  </si>
  <si>
    <t>Barnegat Bay</t>
  </si>
  <si>
    <t>Manahawkin Bay</t>
  </si>
  <si>
    <t>Little Egg Inlet</t>
  </si>
  <si>
    <t>Absecon Creek</t>
  </si>
  <si>
    <t>Absecon Channel</t>
  </si>
  <si>
    <t>Beach Thorofare</t>
  </si>
  <si>
    <t>Great Egg Harbor Bay</t>
  </si>
  <si>
    <t>Ludlum Thorofare</t>
  </si>
  <si>
    <t>Ingram Thorofare</t>
  </si>
  <si>
    <t>Great Channel</t>
  </si>
  <si>
    <t>Cape May Harbor</t>
  </si>
  <si>
    <t>Maurice River</t>
  </si>
  <si>
    <t>Cohansey River</t>
  </si>
  <si>
    <t>Christina River</t>
  </si>
  <si>
    <t>Murderkill River</t>
  </si>
  <si>
    <t>Indian River</t>
  </si>
  <si>
    <t>Watson Creek</t>
  </si>
  <si>
    <t>Inside Thorofare</t>
  </si>
  <si>
    <t>Schuylkill River</t>
  </si>
  <si>
    <t>Sims Bayou</t>
  </si>
  <si>
    <t>Broward River</t>
  </si>
  <si>
    <t>Satilla River</t>
  </si>
  <si>
    <t>St. Marys River</t>
  </si>
  <si>
    <t>Nassau River</t>
  </si>
  <si>
    <t>St. Johns River</t>
  </si>
  <si>
    <t>Dunns Creek</t>
  </si>
  <si>
    <t>Deep Creek</t>
  </si>
  <si>
    <t>Julington Creek</t>
  </si>
  <si>
    <t>Durbin Creek</t>
  </si>
  <si>
    <t>Cedar River</t>
  </si>
  <si>
    <t>Pottsburg Creek</t>
  </si>
  <si>
    <t>Trout River (FL)</t>
  </si>
  <si>
    <t>Dunn Creek</t>
  </si>
  <si>
    <t>Clapboard Creek</t>
  </si>
  <si>
    <t>Pellicer Creek</t>
  </si>
  <si>
    <t>Tide Station (LCH)</t>
  </si>
  <si>
    <t>Atchafalaya River</t>
  </si>
  <si>
    <t>Mermentau River</t>
  </si>
  <si>
    <t>Tchefuncte River</t>
  </si>
  <si>
    <t>Barataria Bay and Waterway</t>
  </si>
  <si>
    <t>Mississippi River</t>
  </si>
  <si>
    <t>Tchoutacabouffa River</t>
  </si>
  <si>
    <t>Pearl River</t>
  </si>
  <si>
    <t>Tangipahoa River</t>
  </si>
  <si>
    <t>Amite River</t>
  </si>
  <si>
    <t>Mississippi River Delta Basin</t>
  </si>
  <si>
    <t>Mississippi Sound</t>
  </si>
  <si>
    <t>Pumpkin River</t>
  </si>
  <si>
    <t>St Lucie River</t>
  </si>
  <si>
    <t>Loxahatchee River</t>
  </si>
  <si>
    <t>Intracoastal Waterway</t>
  </si>
  <si>
    <t>Suwannee River</t>
  </si>
  <si>
    <t>Steinhatchee River</t>
  </si>
  <si>
    <t>Fenholloway River</t>
  </si>
  <si>
    <t>Econfina River</t>
  </si>
  <si>
    <t>Aucilla River</t>
  </si>
  <si>
    <t>Gulf of Mexico Tide Gauge</t>
  </si>
  <si>
    <t>Jackson River (FL)</t>
  </si>
  <si>
    <t>Waccasassa River</t>
  </si>
  <si>
    <t>San Francisco Bay</t>
  </si>
  <si>
    <t>Mid Atlantic Region</t>
  </si>
  <si>
    <t>South Atlantic-Gulf Region</t>
  </si>
  <si>
    <t>New England Region</t>
  </si>
  <si>
    <t>Texas-Gulf Region</t>
  </si>
  <si>
    <t>Lower Mississippi Region</t>
  </si>
  <si>
    <t>California Region</t>
  </si>
  <si>
    <t>CHINCOTEAGUE BAY INLET AT CHINCOTEAGUE VA</t>
  </si>
  <si>
    <t>JAMES RIVER AT JAMESTOWN FERRY PIER VA</t>
  </si>
  <si>
    <t>JAMES RIVER AT CITY LOCKS AT RICHMOND VA</t>
  </si>
  <si>
    <t>CURRITUCK SOUND ON EAST BANK NR COROLLA NC</t>
  </si>
  <si>
    <t>ROANOKE RIVER AT NC 45 NR WESTOVER NC</t>
  </si>
  <si>
    <t>HUDSON RIVER AT ALBANY NY</t>
  </si>
  <si>
    <t>HUDSON RIVER NEAR POUGHKEEPSIE NY</t>
  </si>
  <si>
    <t>MERRIMACK R 0.3 MILES U.S.RT 125 AT HAVERHILLMA</t>
  </si>
  <si>
    <t>MYSTIC R AT AMELIA EARHART DAM NR SOMERVILLE MA</t>
  </si>
  <si>
    <t>PROVINCETOWN TIDE GAGE PROVINCETOWN MA</t>
  </si>
  <si>
    <t>SESUIT HARBOR TIDE GAGE AT DENNIS MA</t>
  </si>
  <si>
    <t>POPPONESSET BAY MASHPEE NECK RD NEAR MASHPEE MA</t>
  </si>
  <si>
    <t>WATCH HILL COVE TIDE GAGE WESTERLY RI</t>
  </si>
  <si>
    <t>MERRIMACK RIVER AT NEWBURYPORT MA</t>
  </si>
  <si>
    <t>PAWCATUCK RIVER AT WESTERLY RI</t>
  </si>
  <si>
    <t>PENOBSCOT RIVER AT BANGOR MAINE</t>
  </si>
  <si>
    <t>SKULL CREEK NEAR HILTON HEAD SC</t>
  </si>
  <si>
    <t>HUDSON CREEK AT MERIDIAN LANDING NEAR MERIDIANGA</t>
  </si>
  <si>
    <t>SOUTH SANTEE R AT STATE PIER NR MCCLELLANVILLE SC</t>
  </si>
  <si>
    <t>COOPER R AT FILBIN CREEK AT NORTH CHARLESTON SC</t>
  </si>
  <si>
    <t>WANDO RIVER ABOVE MT PLEASANT SC</t>
  </si>
  <si>
    <t>COOPER RIVER AT U.S. HWY 17 AT CHARLESTON SC</t>
  </si>
  <si>
    <t>ASHLEY RIVER NEAR NORTH CHARLESTON SC</t>
  </si>
  <si>
    <t>SAVANNAH RIVER AT USACE DOCK AT SAVANNAH GA</t>
  </si>
  <si>
    <t>ALTAMAHA RIVER NEAR EVERETT CITY GA</t>
  </si>
  <si>
    <t>KENNEBEC RIVER AT GARDINER MAINE</t>
  </si>
  <si>
    <t>SACO RIVER AT CAMP ELLIS NEAR SACO MAINE</t>
  </si>
  <si>
    <t>KENNEBEC RIVER AT HALLOWELL MAINE</t>
  </si>
  <si>
    <t>NORTH SANTEE RIVER NR NORTH SANTEE SC</t>
  </si>
  <si>
    <t>AIW AT HIGHWAY 544 AT SOCASTEE SC</t>
  </si>
  <si>
    <t>AIW AT HIGHWAY 9 AT NIXONS CROSSROADS SC</t>
  </si>
  <si>
    <t>WACCAMAW RIVER AT BUCKSPORT SC</t>
  </si>
  <si>
    <t>WACCAMAW RIVER NEAR PAWLEYS ISLAND SC</t>
  </si>
  <si>
    <t>WACCAMAW R NR HAGLEY LAND. NR PAWLEYS ISLAND SC</t>
  </si>
  <si>
    <t>PEE DEE RIVER AT GEORGETOWN SC</t>
  </si>
  <si>
    <t>LITTLE ANNEMESSEX RIVER AT CRISFIELD MD</t>
  </si>
  <si>
    <t>CHES BAY AT MOUTH OF SUS R AT HAVRE DE GRACE MD</t>
  </si>
  <si>
    <t>POTOMAC RIVER AT INDIAN HEAD MD</t>
  </si>
  <si>
    <t>POTOMAC RIVER AT WISCONSIN AVE WASHINGTON DC</t>
  </si>
  <si>
    <t>PAMLICO RIVER AT WASHINGTON NC</t>
  </si>
  <si>
    <t>CONNECTICUT RIVER NR BRIDGE ST NR OLD SAYBROOK CT</t>
  </si>
  <si>
    <t>CONNECTICUT RIVER AT ESSEX CT</t>
  </si>
  <si>
    <t>STAMFORD HURRICANE BARRIER AT STAMFORD CT</t>
  </si>
  <si>
    <t>ORIENT HARBOR AT ORIENT NY</t>
  </si>
  <si>
    <t>SHINNECOCK BAY AT PONQUOGUE NY</t>
  </si>
  <si>
    <t>MORICHES BAY AT EAST MORICHES NY</t>
  </si>
  <si>
    <t>GREAT SOUTH BAY AT WATCH HILL ON FIRE ISLAND NY</t>
  </si>
  <si>
    <t>SCHOHARIE CREEK AT FORT HUNTER NY</t>
  </si>
  <si>
    <t>REYNOLDS CHANNEL AT POINT LOOKOUT NY</t>
  </si>
  <si>
    <t>HUDSON BAY AT FREEPORT NY</t>
  </si>
  <si>
    <t>WEST POND AT GLEN COVE NY</t>
  </si>
  <si>
    <t>EAST ROCKAWAY INLET AT ATLANTIC BEACH NY</t>
  </si>
  <si>
    <t>JAMAICA BAY AT INWOOD NY</t>
  </si>
  <si>
    <t>ROCKAWAY INLET NEAR FLOYD BENNETT FIELD NY</t>
  </si>
  <si>
    <t>HUDSON RIVER AT PIERMONT NY</t>
  </si>
  <si>
    <t>NEWARK BAY AT PVSC AT NEWARK NJ</t>
  </si>
  <si>
    <t>GREAT SOUTH BAY AT LINDENHURST NY</t>
  </si>
  <si>
    <t>PECONIC RIVER AT COUNTY HWY 105 AT RIVERHEAD NY</t>
  </si>
  <si>
    <t>EAST CREEK AT SANDS POINT NY</t>
  </si>
  <si>
    <t>GREAT SOUTH BAY AT WEST SAYVILLE NY</t>
  </si>
  <si>
    <t>HOG ISLAND CHANNEL AT ISLAND PARK NY</t>
  </si>
  <si>
    <t>GREAT KILLS HARBOR AT GREAT KILLS NY</t>
  </si>
  <si>
    <t>ARTHUR KILL AT PERTH AMBOY NJ</t>
  </si>
  <si>
    <t>RARITAN BAY AT KEANSBURG NJ</t>
  </si>
  <si>
    <t>SHREWSBURY RIVER AT SEA BRIGHT NJ</t>
  </si>
  <si>
    <t>SHARK RIVER AT BELMAR NJ</t>
  </si>
  <si>
    <t>BARNEGAT BAY AT MANTOLOKING NJ</t>
  </si>
  <si>
    <t>BARNEGAT BAY AT ROUTE 37 AT SEASIDE HEIGHTS NJ</t>
  </si>
  <si>
    <t>BARNEGAT BAY NEAR WARETOWN NJ</t>
  </si>
  <si>
    <t>BARNEGAT BAY AT BARNEGAT LIGHT NJ</t>
  </si>
  <si>
    <t>EAST THOROFARE AT SHIP BOTTOM NJ</t>
  </si>
  <si>
    <t>LITTLE EGG INLET NEAR TUCKERTON NJ</t>
  </si>
  <si>
    <t>ABSECON CREEK AT ABSECON NJ</t>
  </si>
  <si>
    <t>ABSECON CHANNEL AT ATLANTIC CITY NJ</t>
  </si>
  <si>
    <t>BEACH THOROFARE AT MARGATE NJ</t>
  </si>
  <si>
    <t>GREAT EGG HARBOR BAY AT OCEAN CITY NJ</t>
  </si>
  <si>
    <t>LUDLUM THOROFARE AT SEA ISLE CITY NJ</t>
  </si>
  <si>
    <t>INGRAM THOROFARE AT AVALON NJ</t>
  </si>
  <si>
    <t>GREAT CHANNEL AT STONE HARBOR NJ</t>
  </si>
  <si>
    <t>CAPE MAY HARBOR AT CAPE MAY NJ</t>
  </si>
  <si>
    <t>MAURICE RIVER AT BIVALVE NJ</t>
  </si>
  <si>
    <t>COHANSEY RIVER AT GREENWICH NJ</t>
  </si>
  <si>
    <t>CHRISTINA RIVER AT WILMINGTON DE</t>
  </si>
  <si>
    <t>MURDERKILL RIVER AT BOWERS DE</t>
  </si>
  <si>
    <t>INDIAN RIVER BAY INLET NEAR BETHANY BEACH DE</t>
  </si>
  <si>
    <t>WATSON CREEK AT MANASQUAN NJ</t>
  </si>
  <si>
    <t>INSIDE THOROFARE AT ATLANTIC CITY NJ</t>
  </si>
  <si>
    <t>SCHUYLKILL RIVER NEAR 30TH ST AT PHILADELPHIA PA</t>
  </si>
  <si>
    <t>W FK DOUBLE BAYOU AT EAGLE FERRY RD NR ANAHUAC TX</t>
  </si>
  <si>
    <t>SIMS BAYOU AT HOUSTON TX</t>
  </si>
  <si>
    <t>CLEAR LK SECOND OUTFLOW CHANNEL AT KEMAH TX</t>
  </si>
  <si>
    <t>OLD BRAZOS RV NR FREEPORT TX</t>
  </si>
  <si>
    <t>BROWARD RIVER BL BISCAYNE BLVD NR JACKSONVILLE FL</t>
  </si>
  <si>
    <t>BRUNSWICK RIVER AT ST. SIMONS ISLAND GA</t>
  </si>
  <si>
    <t>SATILLA RIVER AT US 17 AT WOODBINE GA</t>
  </si>
  <si>
    <t>CUMBERLAND SOUND AT SEA CAMP DOCK NR ST MARYS GA</t>
  </si>
  <si>
    <t>ST MARY'S RIVER AT I-95 NEAR KINGSLAND GA</t>
  </si>
  <si>
    <t>NASSAU RIVER NEAR TISONIA FL</t>
  </si>
  <si>
    <t>ST. JOHNS R AT BUFFALO BLUFF NEAR SATSUMA FL</t>
  </si>
  <si>
    <t>DUNNS CREEK NEAR SATSUMA FL</t>
  </si>
  <si>
    <t>DEEP CREEK AT SPUDS FL</t>
  </si>
  <si>
    <t>ST JOHNS RIVER AT RACY PT NEAR HASTINGS FL</t>
  </si>
  <si>
    <t>ST JOHNS R BLW SHANDS BRIDGE NR GRN COVE SPRG FL</t>
  </si>
  <si>
    <t>JULINGTON CRK AT OLD ST AUGUST RD NR BAYARD FL</t>
  </si>
  <si>
    <t>DURBIN CREEK NEAR FRUIT COVE FL</t>
  </si>
  <si>
    <t>CEDAR RIVER AT SAN JUAN AVENUE AT JACKSONVILLE FL</t>
  </si>
  <si>
    <t>ST. JOHNS RIVER AT JACKSONVILLE FL</t>
  </si>
  <si>
    <t>POTTSBURG CRK AT US90 NR S. JACKSONVILLE FL</t>
  </si>
  <si>
    <t>TROUT R NR JACKSONVILLE FLA</t>
  </si>
  <si>
    <t>DUNN CREEK AT DUNN CREEK RD NR EASTPORT FL</t>
  </si>
  <si>
    <t>CLAPBOARD CREEK NR JACKSONVILLE FL</t>
  </si>
  <si>
    <t>PELLICER CREEK NEAR ESPANOLA FL</t>
  </si>
  <si>
    <t>ST JOHNS R DAMES POINT BRIDGE AT JACKSONVILLE FL</t>
  </si>
  <si>
    <t>VERMILION BAY NEAR CYPREMORT POINT LA</t>
  </si>
  <si>
    <t>CALCASIEU RIVER AT I-10 AT LAKE CHARLES LA</t>
  </si>
  <si>
    <t>VERMILLION RVR N. OF I-10 AT LAFAYETTE LA</t>
  </si>
  <si>
    <t>BAYOU BOEUF AT RAILROAD BRIDGE AT AMELIA LA</t>
  </si>
  <si>
    <t>ATCHAFALAYA RIVER AT SIMMESPORT LA</t>
  </si>
  <si>
    <t>ATCHAFALAYA RIVER AT BUTTE LA ROSE LA</t>
  </si>
  <si>
    <t>CHICOT PASS NEAR MYETTE POINT NEAR CHARENTON LA</t>
  </si>
  <si>
    <t>WAX LAKE OUTLET AT CALUMET LA</t>
  </si>
  <si>
    <t>LOWER ATCHAFALAYA RIVER AT MORGAN CITY LA</t>
  </si>
  <si>
    <t>MERMENTAU RIVER AT MERMENTAU LA</t>
  </si>
  <si>
    <t>NORTH CALCASIEU LAKE NEAR HACKBERRY LA</t>
  </si>
  <si>
    <t>TCHEFUNCTE RIVER AT MADISONVILLE LA</t>
  </si>
  <si>
    <t>BAYOU PEROT AT POINT LEGARD NEAR CUTOFF LA</t>
  </si>
  <si>
    <t>MISSISSIPPI RIVER AT BELLE CHASSE LA</t>
  </si>
  <si>
    <t>TCHOUTACABOUFFA RIVER NR D'IBERVILLE MS</t>
  </si>
  <si>
    <t>PEARL RIVER AT NSTL STATION MS</t>
  </si>
  <si>
    <t>TANGIPAHOA RIVER NEAR PONCHATOULA LA</t>
  </si>
  <si>
    <t>AMITE RIVER AT HWY 22 NEAR MAUREPAS LA</t>
  </si>
  <si>
    <t>BAYOU GRAND CAILLOU AT DULAC LA</t>
  </si>
  <si>
    <t>MISSISSIPPI SOUND NEAR GRAND PASS</t>
  </si>
  <si>
    <t>EAST PEARL RIVER AT CSX RAILROAD NR CLAIBORNE MS</t>
  </si>
  <si>
    <t>PUMPKIN RIVER NEAR GOODLAND FL</t>
  </si>
  <si>
    <t>ST. JOHNS RIVER AT ASTOR FL</t>
  </si>
  <si>
    <t>INDIAN RIVER AT WABASSO FL</t>
  </si>
  <si>
    <t>ST LUCIE RIVER AT SPEEDY POINT STUART FL</t>
  </si>
  <si>
    <t>ST LUCIE ESTUARY AT A1A (STEELE PT)STUART FL</t>
  </si>
  <si>
    <t>LOXAHATCHEE RIVER AT MILE 9.1 NEAR JUPITER FL</t>
  </si>
  <si>
    <t>INTRACOASTAL WATERWAY - GULF SHORES AL.</t>
  </si>
  <si>
    <t>SUWANNEE RIVER AB GOPHER RIVER NR SUWANNEE FL</t>
  </si>
  <si>
    <t>STEINHATCHEE RIVER AT STEINHATCHEE FL.</t>
  </si>
  <si>
    <t>FENHOLLOWAY RIVER NEAR HAMPTON SPRINGS FL</t>
  </si>
  <si>
    <t>ECONFINA RV AT ECONFINA RV STATE PARK NR PERRY FL</t>
  </si>
  <si>
    <t>AUCILLA RIVER NR MOUTH NEAR NUTALL RISE FL</t>
  </si>
  <si>
    <t>SPRING CREEK NEAR SPRING CREEK FL</t>
  </si>
  <si>
    <t>JACKSON RIVER AT RANCH ROAD NR APALACHICOLA FL</t>
  </si>
  <si>
    <t>HILLSBOROUGH RIVER AT PLATT STREET AT TAMPA FL</t>
  </si>
  <si>
    <t>MYAKKA RIVER AT NORTH PORT CHARLOTTE FL</t>
  </si>
  <si>
    <t>SHAKETT CREEK NEAR NOKOMIS FL</t>
  </si>
  <si>
    <t>VENICE INLET AT CROW'S NEST MARINA AT VENICE FL</t>
  </si>
  <si>
    <t>ALAFIA RIVER AT GIBSONTON FL</t>
  </si>
  <si>
    <t>PITHLACHASCOTEE R AT MAIN ST AT NEW PORT RICHEY FL</t>
  </si>
  <si>
    <t>CHASSAHOWITZKA RIVER NEAR HOMOSASSA FL</t>
  </si>
  <si>
    <t>CHASSAHOWITZKA RIVER NEAR CHASSAHOWITZKA FL</t>
  </si>
  <si>
    <t>CHASSAHOWITZKA R AT MOUTH NR CHASSAHOWITZKA FL</t>
  </si>
  <si>
    <t>CHASSAHOWITZKA R AT DOG ISL NR CHASSAHOWITZKA FL</t>
  </si>
  <si>
    <t>SARAGASSA CANAL AT CRYSTAL RIVER FL</t>
  </si>
  <si>
    <t>CRYSTAL RIVER AT MOUTH OF KINGS BAY FL</t>
  </si>
  <si>
    <t>SALT RIVER NEAR CRYSTAL RIVER FL</t>
  </si>
  <si>
    <t>WITHLACOOCHEE R AT CHAMBERS IS NEAR YANKEETOWN FL</t>
  </si>
  <si>
    <t>WACCASASSA RIVER NR GULF HAMMOCK FLA.</t>
  </si>
  <si>
    <t>CRYSTAL RV AT MOUTH NR SHELL ISL NR CRYSTAL RV FL</t>
  </si>
  <si>
    <t>COYOTE C NR ALVISO CA</t>
  </si>
  <si>
    <t>Chincoteague Bay Inlet (IN MLLW)</t>
  </si>
  <si>
    <t>Jamestown/Scotland Ferry (IN MLLW)</t>
  </si>
  <si>
    <t>Richmond Locks</t>
  </si>
  <si>
    <t>OUTER BANK CENTER FOR WILDLIFE EDUCATION IN COROLLA</t>
  </si>
  <si>
    <t>Westover</t>
  </si>
  <si>
    <t>Poughkeepsie</t>
  </si>
  <si>
    <t>Haverhill</t>
  </si>
  <si>
    <t>Provincetown Harbor (IN MLLW)</t>
  </si>
  <si>
    <t>Dennis Sesuit Harbor (IN MLLW)</t>
  </si>
  <si>
    <t>Watch Hill Cove (IN MLLW)</t>
  </si>
  <si>
    <t>Westerly</t>
  </si>
  <si>
    <t>Bangor</t>
  </si>
  <si>
    <t>Hilton Head (IN MLLW)</t>
  </si>
  <si>
    <t>Meridian (IN MLLW)</t>
  </si>
  <si>
    <t>McClellanville (IN MLLW)</t>
  </si>
  <si>
    <t>North Charleston (IN MLLW)</t>
  </si>
  <si>
    <t>Mount Pleasant (IN MLLW)</t>
  </si>
  <si>
    <t>HW-17 (IN MLLW)</t>
  </si>
  <si>
    <t>I-526 (IN MLLW)</t>
  </si>
  <si>
    <t>Savannah (IN MLLW)</t>
  </si>
  <si>
    <t>Everett City</t>
  </si>
  <si>
    <t>Saco (IN MLLW)</t>
  </si>
  <si>
    <t>Hallowell</t>
  </si>
  <si>
    <t>North Santee</t>
  </si>
  <si>
    <t>Aiw At Hwy 544 At Socastee</t>
  </si>
  <si>
    <t>Nixons Crossroads</t>
  </si>
  <si>
    <t>Bucksport</t>
  </si>
  <si>
    <t>Pawleys Island</t>
  </si>
  <si>
    <t>Hagley Landing</t>
  </si>
  <si>
    <t>Little Annemessex River at Crisfield MD (MLLW)</t>
  </si>
  <si>
    <t>Havre de Grace (IN MLLW)</t>
  </si>
  <si>
    <t>Indian Head (IN MLLW)</t>
  </si>
  <si>
    <t>Georgetown / Wisconsin Ave</t>
  </si>
  <si>
    <t>Washington (in MLLW)</t>
  </si>
  <si>
    <t>Stamford (IN MLLW)</t>
  </si>
  <si>
    <t>Orient (IN MLLW)</t>
  </si>
  <si>
    <t>Ponquogue (IN MLLW)</t>
  </si>
  <si>
    <t>Moriches Bay (IN MLLW)</t>
  </si>
  <si>
    <t>Watch Hill (IN MLLW)</t>
  </si>
  <si>
    <t>Old Field</t>
  </si>
  <si>
    <t>Point Lookout (IN MLLW)</t>
  </si>
  <si>
    <t>Freeport (IN MLLW)</t>
  </si>
  <si>
    <t>Glen Cove</t>
  </si>
  <si>
    <t>Atlantic Beach (IN MLLW)</t>
  </si>
  <si>
    <t>Inwood (IN MLLW)</t>
  </si>
  <si>
    <t>Rockaway Inlet (IN MLLW)</t>
  </si>
  <si>
    <t>Piermont</t>
  </si>
  <si>
    <t>Newark (IN MLLW)</t>
  </si>
  <si>
    <t>Lindenhurst (IN MLLW)</t>
  </si>
  <si>
    <t>Riverhead (IN MLLW)</t>
  </si>
  <si>
    <t>Sands Point</t>
  </si>
  <si>
    <t>West Sayville (IN MLLW)</t>
  </si>
  <si>
    <t>Island Park</t>
  </si>
  <si>
    <t>Great Kills (IN MLLW)</t>
  </si>
  <si>
    <t>Perth Amboy (IN MLLW)</t>
  </si>
  <si>
    <t>Keansburg (IN MLLW)</t>
  </si>
  <si>
    <t>Sea Bright (IN MLLW)</t>
  </si>
  <si>
    <t>Belmar (IN MLLW)</t>
  </si>
  <si>
    <t>Mantoloking (IN MLLW)</t>
  </si>
  <si>
    <t>Bayshore (IN MLLW)</t>
  </si>
  <si>
    <t>Waretown (IN MLLW)</t>
  </si>
  <si>
    <t>Barnegat Light (IN MLLW)</t>
  </si>
  <si>
    <t>Ship Bottom (IN MLLW)</t>
  </si>
  <si>
    <t>Tuckerton (IN MLLW)</t>
  </si>
  <si>
    <t>Absecon (IN MLLW)</t>
  </si>
  <si>
    <t>Atlantic City Marina (IN MLLW)</t>
  </si>
  <si>
    <t>Margate (IN MLLW)</t>
  </si>
  <si>
    <t>Ocean City (IN MLLW)</t>
  </si>
  <si>
    <t>Sea Isle City (IN MLLW)</t>
  </si>
  <si>
    <t>Avalon (IN MLLW)</t>
  </si>
  <si>
    <t>Stone Harbor (IN MLLW)</t>
  </si>
  <si>
    <t>Cape May Harbor (IN MLLW)</t>
  </si>
  <si>
    <t>Bivalve (IN MLLW)</t>
  </si>
  <si>
    <t>Greenwich (IN MLLW)</t>
  </si>
  <si>
    <t>Wilmington (IN MLLW)</t>
  </si>
  <si>
    <t>Bowers Beach (IN MLLW)</t>
  </si>
  <si>
    <t>Indian River Inlet (IN MLLW)</t>
  </si>
  <si>
    <t>Manasquan (IN MLLW)</t>
  </si>
  <si>
    <t>Atlantic City (IN MLLW)</t>
  </si>
  <si>
    <t>Absecon</t>
  </si>
  <si>
    <t>Philadelphia near 30th Street</t>
  </si>
  <si>
    <t>Houston</t>
  </si>
  <si>
    <t>Biscayne Boulevard (in MHHW)</t>
  </si>
  <si>
    <t>St. Simons Island at Village Pier (in MHHW)</t>
  </si>
  <si>
    <t>Woodbine (in MHHW)</t>
  </si>
  <si>
    <t>Sea Camp Dock on Cumberland Island (in MHHW)</t>
  </si>
  <si>
    <t>Interstate 95 (in MHHW)</t>
  </si>
  <si>
    <t>Tisonia (in MHHW)</t>
  </si>
  <si>
    <t>Buffalo Bluff (in MHHW)</t>
  </si>
  <si>
    <t>Satsuma (in MHHW)</t>
  </si>
  <si>
    <t>Spuds (in MHHW)</t>
  </si>
  <si>
    <t>Racy Point (in MHHW)</t>
  </si>
  <si>
    <t>Shands Bridge (in MHHW)</t>
  </si>
  <si>
    <t>Old Saint Augustine Road (in MHHW)</t>
  </si>
  <si>
    <t>Racetrack Road</t>
  </si>
  <si>
    <t>San Juan Ave Jacksonville (in MHHW)</t>
  </si>
  <si>
    <t>Jacksonville (in MHHW)</t>
  </si>
  <si>
    <t>Beach Boulevard (US 90) (in MHHW)</t>
  </si>
  <si>
    <t>Lem Turner Road (in MHHW)</t>
  </si>
  <si>
    <t>Dunn Creek Road (in MHHW)</t>
  </si>
  <si>
    <t>Sheffield Road (in MHHW)</t>
  </si>
  <si>
    <t>Espanola (in MHHW)</t>
  </si>
  <si>
    <t>Dames Point Bridge (I-295) (in MHHW)</t>
  </si>
  <si>
    <t>Vermilion Bay near Cypremort Point</t>
  </si>
  <si>
    <t>Simmesport</t>
  </si>
  <si>
    <t>Butte La Rose</t>
  </si>
  <si>
    <t>Mermentau</t>
  </si>
  <si>
    <t>Madisonville</t>
  </si>
  <si>
    <t>Bayou Perot at Point Legard</t>
  </si>
  <si>
    <t>Belle Chasse</t>
  </si>
  <si>
    <t>D Iberville</t>
  </si>
  <si>
    <t>NSTL Station near Stennis</t>
  </si>
  <si>
    <t>Ponchatoula</t>
  </si>
  <si>
    <t>Hwy 22 near Maurepas</t>
  </si>
  <si>
    <t>Bayou Grand Caillou at Dulac</t>
  </si>
  <si>
    <t>Grand Pass</t>
  </si>
  <si>
    <t>CSX Railroad near Claiborne</t>
  </si>
  <si>
    <t>Goodland</t>
  </si>
  <si>
    <t>Astor</t>
  </si>
  <si>
    <t>Wabasso (in MHHW)</t>
  </si>
  <si>
    <t>Stuart (in MHHW)</t>
  </si>
  <si>
    <t>Steele Point (in MHHW)</t>
  </si>
  <si>
    <t>Jupiter 5NW (in MHHW)</t>
  </si>
  <si>
    <t>Gulf Shores</t>
  </si>
  <si>
    <t>Gopher River Confluence (in MHHW)</t>
  </si>
  <si>
    <t>Steinhatchee (in MHHW)</t>
  </si>
  <si>
    <t>Hampton Springs (in MHHW)</t>
  </si>
  <si>
    <t>Econfina State Park (in MHHW)</t>
  </si>
  <si>
    <t>Nutall Rise (in MHHW)</t>
  </si>
  <si>
    <t>Spring Creek Boat Ramp (In MHHW)</t>
  </si>
  <si>
    <t>Ranch Road above Apalachicola (in MHHW)</t>
  </si>
  <si>
    <t>Tampa</t>
  </si>
  <si>
    <t>North Port Charlotte (In MHHW)</t>
  </si>
  <si>
    <t>Nokomis (In MHHW)</t>
  </si>
  <si>
    <t>Venice (in MHHW)</t>
  </si>
  <si>
    <t>Gibsonton (in MHHW)</t>
  </si>
  <si>
    <t>New Port Richey (in MHHW)</t>
  </si>
  <si>
    <t>Homosassa (In MHHW)</t>
  </si>
  <si>
    <t>Chassahowitzka (in MHHW)</t>
  </si>
  <si>
    <t>Crystal River (in MHHW)</t>
  </si>
  <si>
    <t>Yankeetown (in MHHW)</t>
  </si>
  <si>
    <t>Gulf Hammock (In MHHW)</t>
  </si>
  <si>
    <t>Coyote Creek</t>
  </si>
  <si>
    <t>US01670060</t>
  </si>
  <si>
    <t>US0167862550</t>
  </si>
  <si>
    <t>US0167892964</t>
  </si>
  <si>
    <t>US02037705</t>
  </si>
  <si>
    <t>US0204288831</t>
  </si>
  <si>
    <t>US0204289985</t>
  </si>
  <si>
    <t>US0204292275</t>
  </si>
  <si>
    <t>US0204300267</t>
  </si>
  <si>
    <t>US02043269</t>
  </si>
  <si>
    <t>US02043433</t>
  </si>
  <si>
    <t>US0208114150</t>
  </si>
  <si>
    <t>US01359139</t>
  </si>
  <si>
    <t>US01372043</t>
  </si>
  <si>
    <t>US01100870</t>
  </si>
  <si>
    <t>US01118500</t>
  </si>
  <si>
    <t>US01037050</t>
  </si>
  <si>
    <t>US02171905</t>
  </si>
  <si>
    <t>US021720677</t>
  </si>
  <si>
    <t>US021720698</t>
  </si>
  <si>
    <t>US021720709</t>
  </si>
  <si>
    <t>US021720869</t>
  </si>
  <si>
    <t>US021989773</t>
  </si>
  <si>
    <t>US02226160</t>
  </si>
  <si>
    <t>US01049330</t>
  </si>
  <si>
    <t>US02110725</t>
  </si>
  <si>
    <t>US02110777</t>
  </si>
  <si>
    <t>US02110802</t>
  </si>
  <si>
    <t>US021108125</t>
  </si>
  <si>
    <t>US02110815</t>
  </si>
  <si>
    <t>US02136350</t>
  </si>
  <si>
    <t>US01647600</t>
  </si>
  <si>
    <t>US02084472</t>
  </si>
  <si>
    <t>US01194796</t>
  </si>
  <si>
    <t>US01302250</t>
  </si>
  <si>
    <t>US01306402</t>
  </si>
  <si>
    <t>US01311143</t>
  </si>
  <si>
    <t>US01376562</t>
  </si>
  <si>
    <t>US01410500</t>
  </si>
  <si>
    <t>US01474501</t>
  </si>
  <si>
    <t>US08042558</t>
  </si>
  <si>
    <t>US08072050</t>
  </si>
  <si>
    <t>US08075500</t>
  </si>
  <si>
    <t>US08077637</t>
  </si>
  <si>
    <t>US08079120</t>
  </si>
  <si>
    <t>US02228070</t>
  </si>
  <si>
    <t>US02228295</t>
  </si>
  <si>
    <t>US02231254</t>
  </si>
  <si>
    <t>US02231291</t>
  </si>
  <si>
    <t>US02244040</t>
  </si>
  <si>
    <t>US02244440</t>
  </si>
  <si>
    <t>US02245260</t>
  </si>
  <si>
    <t>US02245290</t>
  </si>
  <si>
    <t>US02245340</t>
  </si>
  <si>
    <t>US02246160</t>
  </si>
  <si>
    <t>US022462002</t>
  </si>
  <si>
    <t>US02246459</t>
  </si>
  <si>
    <t>US02246500</t>
  </si>
  <si>
    <t>US02246518</t>
  </si>
  <si>
    <t>US02246621</t>
  </si>
  <si>
    <t>US02246804</t>
  </si>
  <si>
    <t>US02246825</t>
  </si>
  <si>
    <t>US02247222</t>
  </si>
  <si>
    <t>US301124081395901</t>
  </si>
  <si>
    <t>US302309081333001</t>
  </si>
  <si>
    <t>US073814675</t>
  </si>
  <si>
    <t>US07381490</t>
  </si>
  <si>
    <t>US07381495</t>
  </si>
  <si>
    <t>US07381515</t>
  </si>
  <si>
    <t>US073815450</t>
  </si>
  <si>
    <t>US07381590</t>
  </si>
  <si>
    <t>US07381600</t>
  </si>
  <si>
    <t>US08012150</t>
  </si>
  <si>
    <t>US08017095</t>
  </si>
  <si>
    <t>US02480590</t>
  </si>
  <si>
    <t>US02481660</t>
  </si>
  <si>
    <t>US02492620</t>
  </si>
  <si>
    <t>US07374550</t>
  </si>
  <si>
    <t>US07375650</t>
  </si>
  <si>
    <t>US07376300</t>
  </si>
  <si>
    <t>US07380215</t>
  </si>
  <si>
    <t>US07381324</t>
  </si>
  <si>
    <t>US07381412</t>
  </si>
  <si>
    <t>US300722089150100</t>
  </si>
  <si>
    <t>US301141089320300</t>
  </si>
  <si>
    <t>US255534081324000</t>
  </si>
  <si>
    <t>US02236125</t>
  </si>
  <si>
    <t>US02251800</t>
  </si>
  <si>
    <t>US02277100</t>
  </si>
  <si>
    <t>US02277110</t>
  </si>
  <si>
    <t>US265906080093500</t>
  </si>
  <si>
    <t>US02378185</t>
  </si>
  <si>
    <t>US02323592</t>
  </si>
  <si>
    <t>US02324170</t>
  </si>
  <si>
    <t>US02325543</t>
  </si>
  <si>
    <t>US02326050</t>
  </si>
  <si>
    <t>US02326550</t>
  </si>
  <si>
    <t>US02327031</t>
  </si>
  <si>
    <t>US02359223</t>
  </si>
  <si>
    <t>US02299230</t>
  </si>
  <si>
    <t>US02299727</t>
  </si>
  <si>
    <t>US02299735</t>
  </si>
  <si>
    <t>US02301721</t>
  </si>
  <si>
    <t>US02310308</t>
  </si>
  <si>
    <t>US02310650</t>
  </si>
  <si>
    <t>US02310663</t>
  </si>
  <si>
    <t>US02310674</t>
  </si>
  <si>
    <t>US02310740</t>
  </si>
  <si>
    <t>US02310742</t>
  </si>
  <si>
    <t>US02310747</t>
  </si>
  <si>
    <t>US02310752</t>
  </si>
  <si>
    <t>US02313272</t>
  </si>
  <si>
    <t>US02313700</t>
  </si>
  <si>
    <t>US285531082412600</t>
  </si>
  <si>
    <t>TWC0771</t>
  </si>
  <si>
    <t>New Latitude</t>
  </si>
  <si>
    <t>New Longitude</t>
  </si>
  <si>
    <t>New Height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</si>
</sst>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4">
    <dxf>
      <font>
        <u/>
        <color rgb="FF0000FF"/>
      </font>
    </dxf>
    <dxf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FDF2D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87"/>
  <sheetViews>
    <sheetView tabSelected="1" workbookViewId="0"/>
  </sheetViews>
  <sheetFormatPr defaultRowHeight="15"/>
  <cols>
    <col min="1" max="1" width="10.7109375" style="1" customWidth="1"/>
    <col min="2" max="2" width="8.28515625" style="1" customWidth="1"/>
    <col min="3" max="3" width="8.28515625" style="1" customWidth="1"/>
    <col min="4" max="4" width="8.28515625" style="1" customWidth="1"/>
    <col min="5" max="5" width="18.7109375" style="1" customWidth="1"/>
    <col min="6" max="6" width="8.28515625" style="1" customWidth="1"/>
    <col min="7" max="7" width="8.28515625" style="1" customWidth="1"/>
    <col min="8" max="8" width="15.7109375" style="1" customWidth="1"/>
    <col min="9" max="9" width="14.42578125" style="1" customWidth="1"/>
    <col min="10" max="10" width="18.7109375" style="1" customWidth="1"/>
    <col min="11" max="11" width="8.28515625" style="1" customWidth="1"/>
    <col min="12" max="12" width="10.7109375" style="1" customWidth="1"/>
    <col min="13" max="13" width="10.7109375" style="1" customWidth="1"/>
    <col min="14" max="14" width="10.7109375" style="1" customWidth="1"/>
    <col min="15" max="15" width="8.28515625" style="1" customWidth="1"/>
    <col min="16" max="16" width="18.7109375" style="1" customWidth="1"/>
    <col min="17" max="17" width="12" style="1" customWidth="1"/>
    <col min="18" max="18" width="12" style="1" customWidth="1"/>
    <col min="19" max="19" width="18.7109375" style="2" customWidth="1"/>
    <col min="20" max="20" width="18.7109375" style="2" customWidth="1"/>
    <col min="21" max="21" width="18.7109375" style="1" customWidth="1"/>
    <col min="22" max="22" width="18.7109375" style="1" customWidth="1"/>
    <col min="23" max="23" width="18.7109375" style="1" customWidth="1"/>
    <col min="24" max="24" width="18.7109375" style="1" customWidth="1"/>
    <col min="25" max="25" width="18.7109375" style="1" customWidth="1"/>
    <col min="26" max="26" width="20.7109375" style="1" customWidth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s="1" t="s">
        <v>26</v>
      </c>
      <c r="B2" s="1" t="s">
        <v>612</v>
      </c>
      <c r="D2" s="1" t="s">
        <v>652</v>
      </c>
      <c r="E2" s="1" t="s">
        <v>656</v>
      </c>
      <c r="F2" s="1" t="s">
        <v>830</v>
      </c>
      <c r="G2" s="1" t="s">
        <v>854</v>
      </c>
      <c r="H2" s="1">
        <v>-75.0911</v>
      </c>
      <c r="I2" s="1">
        <v>38.32827</v>
      </c>
      <c r="J2" s="1">
        <f>HYPERLINK("https://tidesandcurrents.noaa.gov/stationhome.html?id=8570283", "8570283")</f>
        <v>0</v>
      </c>
      <c r="K2" s="1" t="s">
        <v>860</v>
      </c>
      <c r="L2" s="1" t="s">
        <v>866</v>
      </c>
      <c r="M2" s="1">
        <v>3127776</v>
      </c>
      <c r="N2" s="1">
        <v>0</v>
      </c>
      <c r="O2" s="1" t="s">
        <v>869</v>
      </c>
      <c r="P2" s="1" t="s">
        <v>873</v>
      </c>
      <c r="Q2" s="1">
        <v>1.69</v>
      </c>
      <c r="R2" s="1">
        <v>-0.85</v>
      </c>
      <c r="S2" s="2">
        <f>HYPERLINK("https://vdatum.noaa.gov/vdatumweb/api/convert?s_x=-75.0911&amp;s_y=38.32827&amp;s_z=0.0&amp;region=chesapeak_delaware&amp;s_h_frame=NAD83_2011&amp;s_coor=geo&amp;s_v_frame=NAVD88&amp;s_v_unit=us_ft&amp;t_h_frame=IGS14&amp;t_coor=geo&amp;t_v_frame=MLLW&amp;t_v_unit=us_ft", "NAVD88 to MLLW")</f>
        <v>0</v>
      </c>
      <c r="T2" s="2">
        <f>HYPERLINK("https://vdatum.noaa.gov/vdatumweb/api/convert?s_x=-75.0911&amp;s_y=38.32827&amp;s_z=0.0&amp;region=chesapeak_delaware&amp;s_h_frame=NAD83_2011&amp;s_coor=geo&amp;s_v_frame=NAVD88&amp;s_v_unit=us_ft&amp;t_h_frame=IGS14&amp;t_coor=geo&amp;t_v_frame=MHHW&amp;t_v_unit=us_ft", "NAVD88 to MHHW")</f>
        <v>0</v>
      </c>
    </row>
    <row r="3" spans="1:26">
      <c r="A3" s="1" t="s">
        <v>27</v>
      </c>
      <c r="B3" s="1" t="s">
        <v>612</v>
      </c>
      <c r="D3" s="1" t="s">
        <v>652</v>
      </c>
      <c r="E3" s="1" t="s">
        <v>657</v>
      </c>
      <c r="F3" s="1" t="s">
        <v>830</v>
      </c>
      <c r="G3" s="1" t="s">
        <v>854</v>
      </c>
      <c r="H3" s="1">
        <v>-76.0617</v>
      </c>
      <c r="I3" s="1">
        <v>38.5725</v>
      </c>
      <c r="J3" s="1">
        <f>HYPERLINK("https://tidesandcurrents.noaa.gov/stationhome.html?id=8571892", "8571892")</f>
        <v>0</v>
      </c>
      <c r="K3" s="1" t="s">
        <v>860</v>
      </c>
      <c r="L3" s="1" t="s">
        <v>866</v>
      </c>
      <c r="M3" s="1">
        <v>6389781</v>
      </c>
      <c r="N3" s="1">
        <v>0</v>
      </c>
      <c r="O3" s="1" t="s">
        <v>869</v>
      </c>
      <c r="P3" s="1" t="s">
        <v>873</v>
      </c>
      <c r="Q3" s="1">
        <v>1.194</v>
      </c>
      <c r="R3" s="1">
        <v>-0.84</v>
      </c>
      <c r="S3" s="2">
        <f>HYPERLINK("https://vdatum.noaa.gov/vdatumweb/api/convert?s_x=-76.0617&amp;s_y=38.5725&amp;s_z=0.0&amp;region=chesapeak_delaware&amp;s_h_frame=NAD83_2011&amp;s_coor=geo&amp;s_v_frame=NAVD88&amp;s_v_unit=us_ft&amp;t_h_frame=IGS14&amp;t_coor=geo&amp;t_v_frame=MLLW&amp;t_v_unit=us_ft", "NAVD88 to MLLW")</f>
        <v>0</v>
      </c>
      <c r="T3" s="2">
        <f>HYPERLINK("https://vdatum.noaa.gov/vdatumweb/api/convert?s_x=-76.0617&amp;s_y=38.5725&amp;s_z=0.0&amp;region=chesapeak_delaware&amp;s_h_frame=NAD83_2011&amp;s_coor=geo&amp;s_v_frame=NAVD88&amp;s_v_unit=us_ft&amp;t_h_frame=IGS14&amp;t_coor=geo&amp;t_v_frame=MHHW&amp;t_v_unit=us_ft", "NAVD88 to MHHW")</f>
        <v>0</v>
      </c>
    </row>
    <row r="4" spans="1:26">
      <c r="A4" s="1" t="s">
        <v>28</v>
      </c>
      <c r="B4" s="1" t="s">
        <v>612</v>
      </c>
      <c r="C4" s="1" t="s">
        <v>644</v>
      </c>
      <c r="D4" s="1" t="s">
        <v>652</v>
      </c>
      <c r="E4" s="1" t="s">
        <v>658</v>
      </c>
      <c r="F4" s="1" t="s">
        <v>831</v>
      </c>
      <c r="G4" s="1" t="s">
        <v>854</v>
      </c>
      <c r="H4" s="1">
        <v>-76.748333</v>
      </c>
      <c r="I4" s="1">
        <v>38.00666</v>
      </c>
      <c r="J4" s="1">
        <f>HYPERLINK("https://tidesandcurrents.noaa.gov/stationhome.html?id=8578465", "8578465")</f>
        <v>0</v>
      </c>
      <c r="K4" s="1" t="s">
        <v>861</v>
      </c>
      <c r="L4" s="1" t="s">
        <v>866</v>
      </c>
      <c r="M4" s="1">
        <v>5551093</v>
      </c>
      <c r="N4" s="1">
        <v>0</v>
      </c>
      <c r="O4" s="1" t="s">
        <v>869</v>
      </c>
      <c r="P4" s="1" t="s">
        <v>873</v>
      </c>
      <c r="Q4" s="1">
        <v>-999999</v>
      </c>
      <c r="R4" s="1">
        <v>-999999</v>
      </c>
      <c r="S4" s="2">
        <f>HYPERLINK("https://vdatum.noaa.gov/vdatumweb/api/convert?s_x=-76.748333&amp;s_y=38.00666&amp;s_z=0.0&amp;region=chesapeak_delaware&amp;s_h_frame=NAD83_2011&amp;s_coor=geo&amp;s_v_frame=NAVD88&amp;s_v_unit=us_ft&amp;t_h_frame=IGS14&amp;t_coor=geo&amp;t_v_frame=MLLW&amp;t_v_unit=us_ft", "Missing")</f>
        <v>0</v>
      </c>
      <c r="T4" s="2">
        <f>HYPERLINK("https://vdatum.noaa.gov/vdatumweb/api/convert?s_x=-76.748333&amp;s_y=38.00666&amp;s_z=0.0&amp;region=chesapeak_delaware&amp;s_h_frame=NAD83_2011&amp;s_coor=geo&amp;s_v_frame=NAVD88&amp;s_v_unit=us_ft&amp;t_h_frame=IGS14&amp;t_coor=geo&amp;t_v_frame=MHHW&amp;t_v_unit=us_ft", "Missing")</f>
        <v>0</v>
      </c>
    </row>
    <row r="5" spans="1:26">
      <c r="A5" s="1" t="s">
        <v>29</v>
      </c>
      <c r="B5" s="1" t="s">
        <v>612</v>
      </c>
      <c r="D5" s="1" t="s">
        <v>652</v>
      </c>
      <c r="E5" s="1" t="s">
        <v>659</v>
      </c>
      <c r="F5" s="1" t="s">
        <v>831</v>
      </c>
      <c r="G5" s="1" t="s">
        <v>854</v>
      </c>
      <c r="H5" s="1">
        <v>-75.47833300000001</v>
      </c>
      <c r="I5" s="1">
        <v>37.841666</v>
      </c>
      <c r="J5" s="1">
        <f>HYPERLINK("https://tidesandcurrents.noaa.gov/stationhome.html?id=8630440", "8630440")</f>
        <v>0</v>
      </c>
      <c r="K5" s="1" t="s">
        <v>860</v>
      </c>
      <c r="L5" s="1" t="s">
        <v>866</v>
      </c>
      <c r="M5" s="1">
        <v>3128343</v>
      </c>
      <c r="N5" s="1">
        <v>0</v>
      </c>
      <c r="O5" s="1" t="s">
        <v>869</v>
      </c>
      <c r="P5" s="1" t="s">
        <v>873</v>
      </c>
      <c r="Q5" s="1">
        <v>2.336</v>
      </c>
      <c r="R5" s="1">
        <v>-1.411</v>
      </c>
      <c r="S5" s="2">
        <f>HYPERLINK("https://vdatum.noaa.gov/vdatumweb/api/convert?s_x=-75.478333&amp;s_y=37.841666&amp;s_z=0.0&amp;region=chesapeak_delaware&amp;s_h_frame=NAD83_2011&amp;s_coor=geo&amp;s_v_frame=NAVD88&amp;s_v_unit=us_ft&amp;t_h_frame=IGS14&amp;t_coor=geo&amp;t_v_frame=MLLW&amp;t_v_unit=us_ft", "NAVD88 to MLLW")</f>
        <v>0</v>
      </c>
      <c r="T5" s="2">
        <f>HYPERLINK("https://vdatum.noaa.gov/vdatumweb/api/convert?s_x=-75.478333&amp;s_y=37.841666&amp;s_z=0.0&amp;region=chesapeak_delaware&amp;s_h_frame=NAD83_2011&amp;s_coor=geo&amp;s_v_frame=NAVD88&amp;s_v_unit=us_ft&amp;t_h_frame=IGS14&amp;t_coor=geo&amp;t_v_frame=MHHW&amp;t_v_unit=us_ft", "NAVD88 to MHHW")</f>
        <v>0</v>
      </c>
    </row>
    <row r="6" spans="1:26">
      <c r="A6" s="1" t="s">
        <v>30</v>
      </c>
      <c r="B6" s="1" t="s">
        <v>612</v>
      </c>
      <c r="C6" s="1" t="s">
        <v>644</v>
      </c>
      <c r="D6" s="1" t="s">
        <v>652</v>
      </c>
      <c r="E6" s="1" t="s">
        <v>659</v>
      </c>
      <c r="F6" s="1" t="s">
        <v>831</v>
      </c>
      <c r="G6" s="1" t="s">
        <v>854</v>
      </c>
      <c r="H6" s="1">
        <v>-75.6858</v>
      </c>
      <c r="I6" s="1">
        <v>37.60778</v>
      </c>
      <c r="J6" s="1">
        <f>HYPERLINK("https://tidesandcurrents.noaa.gov/stationhome.html?id=8631044", "8631044")</f>
        <v>0</v>
      </c>
      <c r="K6" s="1" t="s">
        <v>860</v>
      </c>
      <c r="L6" s="1" t="s">
        <v>866</v>
      </c>
      <c r="M6" s="1">
        <v>2172497</v>
      </c>
      <c r="N6" s="1">
        <v>0</v>
      </c>
      <c r="O6" s="1" t="s">
        <v>869</v>
      </c>
      <c r="P6" s="1" t="s">
        <v>873</v>
      </c>
      <c r="Q6" s="1">
        <v>-999999</v>
      </c>
      <c r="R6" s="1">
        <v>-999999</v>
      </c>
      <c r="S6" s="2">
        <f>HYPERLINK("https://vdatum.noaa.gov/vdatumweb/api/convert?s_x=-75.6858&amp;s_y=37.60778&amp;s_z=0.0&amp;region=chesapeak_delaware&amp;s_h_frame=NAD83_2011&amp;s_coor=geo&amp;s_v_frame=NAVD88&amp;s_v_unit=us_ft&amp;t_h_frame=IGS14&amp;t_coor=geo&amp;t_v_frame=MLLW&amp;t_v_unit=us_ft", "Missing")</f>
        <v>0</v>
      </c>
      <c r="T6" s="2">
        <f>HYPERLINK("https://vdatum.noaa.gov/vdatumweb/api/convert?s_x=-75.6858&amp;s_y=37.60778&amp;s_z=0.0&amp;region=chesapeak_delaware&amp;s_h_frame=NAD83_2011&amp;s_coor=geo&amp;s_v_frame=NAVD88&amp;s_v_unit=us_ft&amp;t_h_frame=IGS14&amp;t_coor=geo&amp;t_v_frame=MHHW&amp;t_v_unit=us_ft", "Missing")</f>
        <v>0</v>
      </c>
    </row>
    <row r="7" spans="1:26">
      <c r="A7" s="1" t="s">
        <v>31</v>
      </c>
      <c r="B7" s="1" t="s">
        <v>612</v>
      </c>
      <c r="C7" s="1" t="s">
        <v>644</v>
      </c>
      <c r="D7" s="1" t="s">
        <v>652</v>
      </c>
      <c r="E7" s="1" t="s">
        <v>660</v>
      </c>
      <c r="F7" s="1" t="s">
        <v>831</v>
      </c>
      <c r="G7" s="1" t="s">
        <v>854</v>
      </c>
      <c r="H7" s="1">
        <v>-75.925</v>
      </c>
      <c r="I7" s="1">
        <v>37.2883</v>
      </c>
      <c r="J7" s="1">
        <f>HYPERLINK("https://tidesandcurrents.noaa.gov/stationhome.html?id=8631591", "8631591")</f>
        <v>0</v>
      </c>
      <c r="K7" s="1" t="s">
        <v>860</v>
      </c>
      <c r="L7" s="1" t="s">
        <v>866</v>
      </c>
      <c r="M7" s="1">
        <v>9482981</v>
      </c>
      <c r="N7" s="1">
        <v>0</v>
      </c>
      <c r="O7" s="1" t="s">
        <v>869</v>
      </c>
      <c r="P7" s="1" t="s">
        <v>873</v>
      </c>
      <c r="Q7" s="1">
        <v>2.871</v>
      </c>
      <c r="R7" s="1">
        <v>-2.11</v>
      </c>
      <c r="S7" s="2">
        <f>HYPERLINK("https://vdatum.noaa.gov/vdatumweb/api/convert?s_x=-75.925&amp;s_y=37.2883&amp;s_z=0.0&amp;region=chesapeak_delaware&amp;s_h_frame=NAD83_2011&amp;s_coor=geo&amp;s_v_frame=NAVD88&amp;s_v_unit=us_ft&amp;t_h_frame=IGS14&amp;t_coor=geo&amp;t_v_frame=MLLW&amp;t_v_unit=us_ft", "NAVD88 to MLLW")</f>
        <v>0</v>
      </c>
      <c r="T7" s="2">
        <f>HYPERLINK("https://vdatum.noaa.gov/vdatumweb/api/convert?s_x=-75.925&amp;s_y=37.2883&amp;s_z=0.0&amp;region=chesapeak_delaware&amp;s_h_frame=NAD83_2011&amp;s_coor=geo&amp;s_v_frame=NAVD88&amp;s_v_unit=us_ft&amp;t_h_frame=IGS14&amp;t_coor=geo&amp;t_v_frame=MHHW&amp;t_v_unit=us_ft", "NAVD88 to MHHW")</f>
        <v>0</v>
      </c>
    </row>
    <row r="8" spans="1:26">
      <c r="A8" s="1" t="s">
        <v>32</v>
      </c>
      <c r="B8" s="1" t="s">
        <v>612</v>
      </c>
      <c r="D8" s="1" t="s">
        <v>652</v>
      </c>
      <c r="E8" s="1" t="s">
        <v>660</v>
      </c>
      <c r="F8" s="1" t="s">
        <v>831</v>
      </c>
      <c r="G8" s="1" t="s">
        <v>854</v>
      </c>
      <c r="H8" s="1">
        <v>-75.9884</v>
      </c>
      <c r="I8" s="1">
        <v>37.16519</v>
      </c>
      <c r="J8" s="1">
        <f>HYPERLINK("https://tidesandcurrents.noaa.gov/stationhome.html?id=8632200", "8632200")</f>
        <v>0</v>
      </c>
      <c r="K8" s="1" t="s">
        <v>860</v>
      </c>
      <c r="L8" s="1" t="s">
        <v>866</v>
      </c>
      <c r="M8" s="1">
        <v>4554953</v>
      </c>
      <c r="N8" s="1">
        <v>0</v>
      </c>
      <c r="O8" s="1" t="s">
        <v>869</v>
      </c>
      <c r="P8" s="1" t="s">
        <v>873</v>
      </c>
      <c r="Q8" s="1">
        <v>1.788</v>
      </c>
      <c r="R8" s="1">
        <v>-1.171</v>
      </c>
      <c r="S8" s="2">
        <f>HYPERLINK("https://vdatum.noaa.gov/vdatumweb/api/convert?s_x=-75.9884&amp;s_y=37.16519&amp;s_z=0.0&amp;region=chesapeak_delaware&amp;s_h_frame=NAD83_2011&amp;s_coor=geo&amp;s_v_frame=NAVD88&amp;s_v_unit=us_ft&amp;t_h_frame=IGS14&amp;t_coor=geo&amp;t_v_frame=MLLW&amp;t_v_unit=us_ft", "NAVD88 to MLLW")</f>
        <v>0</v>
      </c>
      <c r="T8" s="2">
        <f>HYPERLINK("https://vdatum.noaa.gov/vdatumweb/api/convert?s_x=-75.9884&amp;s_y=37.16519&amp;s_z=0.0&amp;region=chesapeak_delaware&amp;s_h_frame=NAD83_2011&amp;s_coor=geo&amp;s_v_frame=NAVD88&amp;s_v_unit=us_ft&amp;t_h_frame=IGS14&amp;t_coor=geo&amp;t_v_frame=MHHW&amp;t_v_unit=us_ft", "NAVD88 to MHHW")</f>
        <v>0</v>
      </c>
    </row>
    <row r="9" spans="1:26">
      <c r="A9" s="1" t="s">
        <v>33</v>
      </c>
      <c r="B9" s="1" t="s">
        <v>612</v>
      </c>
      <c r="D9" s="1" t="s">
        <v>652</v>
      </c>
      <c r="H9" s="1">
        <v>-76.015</v>
      </c>
      <c r="I9" s="1">
        <v>37.53833</v>
      </c>
      <c r="J9" s="1">
        <f>HYPERLINK("https://tidesandcurrents.noaa.gov/stationhome.html?id=8632837", "8632837")</f>
        <v>0</v>
      </c>
      <c r="K9" s="1" t="s">
        <v>861</v>
      </c>
      <c r="L9" s="1" t="s">
        <v>866</v>
      </c>
      <c r="M9" s="1">
        <v>7176248</v>
      </c>
      <c r="N9" s="1">
        <v>-0.448</v>
      </c>
      <c r="O9" s="1" t="s">
        <v>869</v>
      </c>
      <c r="P9" s="1" t="s">
        <v>873</v>
      </c>
      <c r="Q9" s="1">
        <v>1.299</v>
      </c>
      <c r="R9" s="1">
        <v>-0.545</v>
      </c>
      <c r="S9" s="2">
        <f>HYPERLINK("https://vdatum.noaa.gov/vdatumweb/api/convert?s_x=-76.015&amp;s_y=37.53833&amp;s_z=0.0&amp;region=chesapeak_delaware&amp;s_h_frame=NAD83_2011&amp;s_coor=geo&amp;s_v_frame=NAVD88&amp;s_v_unit=us_ft&amp;t_h_frame=IGS14&amp;t_coor=geo&amp;t_v_frame=MLLW&amp;t_v_unit=us_ft", "NAVD88 to MLLW")</f>
        <v>0</v>
      </c>
      <c r="T9" s="2">
        <f>HYPERLINK("https://vdatum.noaa.gov/vdatumweb/api/convert?s_x=-76.015&amp;s_y=37.53833&amp;s_z=0.0&amp;region=chesapeak_delaware&amp;s_h_frame=NAD83_2011&amp;s_coor=geo&amp;s_v_frame=NAVD88&amp;s_v_unit=us_ft&amp;t_h_frame=IGS14&amp;t_coor=geo&amp;t_v_frame=MHHW&amp;t_v_unit=us_ft", "NAVD88 to MHHW")</f>
        <v>0</v>
      </c>
    </row>
    <row r="10" spans="1:26">
      <c r="A10" s="1" t="s">
        <v>34</v>
      </c>
      <c r="B10" s="1" t="s">
        <v>612</v>
      </c>
      <c r="D10" s="1" t="s">
        <v>652</v>
      </c>
      <c r="E10" s="1" t="s">
        <v>659</v>
      </c>
      <c r="F10" s="1" t="s">
        <v>831</v>
      </c>
      <c r="G10" s="1" t="s">
        <v>854</v>
      </c>
      <c r="H10" s="1">
        <v>-75.91670000000001</v>
      </c>
      <c r="I10" s="1">
        <v>37.5567</v>
      </c>
      <c r="J10" s="1">
        <f>HYPERLINK("https://tidesandcurrents.noaa.gov/stationhome.html?id=8632869", "8632869")</f>
        <v>0</v>
      </c>
      <c r="K10" s="1" t="s">
        <v>860</v>
      </c>
      <c r="L10" s="1" t="s">
        <v>866</v>
      </c>
      <c r="M10" s="1">
        <v>8927705</v>
      </c>
      <c r="N10" s="1">
        <v>-0.452</v>
      </c>
      <c r="O10" s="1" t="s">
        <v>869</v>
      </c>
      <c r="P10" s="1" t="s">
        <v>873</v>
      </c>
      <c r="Q10" s="1">
        <v>1.394</v>
      </c>
      <c r="R10" s="1">
        <v>-0.62</v>
      </c>
      <c r="S10" s="2">
        <f>HYPERLINK("https://vdatum.noaa.gov/vdatumweb/api/convert?s_x=-75.9167&amp;s_y=37.5567&amp;s_z=0.0&amp;region=chesapeak_delaware&amp;s_h_frame=NAD83_2011&amp;s_coor=geo&amp;s_v_frame=NAVD88&amp;s_v_unit=us_ft&amp;t_h_frame=IGS14&amp;t_coor=geo&amp;t_v_frame=MLLW&amp;t_v_unit=us_ft", "NAVD88 to MLLW")</f>
        <v>0</v>
      </c>
      <c r="T10" s="2">
        <f>HYPERLINK("https://vdatum.noaa.gov/vdatumweb/api/convert?s_x=-75.9167&amp;s_y=37.5567&amp;s_z=0.0&amp;region=chesapeak_delaware&amp;s_h_frame=NAD83_2011&amp;s_coor=geo&amp;s_v_frame=NAVD88&amp;s_v_unit=us_ft&amp;t_h_frame=IGS14&amp;t_coor=geo&amp;t_v_frame=MHHW&amp;t_v_unit=us_ft", "NAVD88 to MHHW")</f>
        <v>0</v>
      </c>
    </row>
    <row r="11" spans="1:26">
      <c r="A11" s="1" t="s">
        <v>35</v>
      </c>
      <c r="B11" s="1" t="s">
        <v>612</v>
      </c>
      <c r="D11" s="1" t="s">
        <v>652</v>
      </c>
      <c r="E11" s="1" t="s">
        <v>659</v>
      </c>
      <c r="F11" s="1" t="s">
        <v>831</v>
      </c>
      <c r="G11" s="1" t="s">
        <v>854</v>
      </c>
      <c r="H11" s="1">
        <v>-75.9933</v>
      </c>
      <c r="I11" s="1">
        <v>37.8283</v>
      </c>
      <c r="J11" s="1">
        <f>HYPERLINK("https://tidesandcurrents.noaa.gov/stationhome.html?id=8633532", "8633532")</f>
        <v>0</v>
      </c>
      <c r="K11" s="1" t="s">
        <v>861</v>
      </c>
      <c r="L11" s="1" t="s">
        <v>866</v>
      </c>
      <c r="M11" s="1">
        <v>7563942</v>
      </c>
      <c r="N11" s="1">
        <v>-0.444</v>
      </c>
      <c r="O11" s="1" t="s">
        <v>869</v>
      </c>
      <c r="P11" s="1" t="s">
        <v>873</v>
      </c>
      <c r="Q11" s="1">
        <v>1.201</v>
      </c>
      <c r="R11" s="1">
        <v>-0.591</v>
      </c>
      <c r="S11" s="2">
        <f>HYPERLINK("https://vdatum.noaa.gov/vdatumweb/api/convert?s_x=-75.9933&amp;s_y=37.8283&amp;s_z=0.0&amp;region=chesapeak_delaware&amp;s_h_frame=NAD83_2011&amp;s_coor=geo&amp;s_v_frame=NAVD88&amp;s_v_unit=us_ft&amp;t_h_frame=IGS14&amp;t_coor=geo&amp;t_v_frame=MLLW&amp;t_v_unit=us_ft", "NAVD88 to MLLW")</f>
        <v>0</v>
      </c>
      <c r="T11" s="2">
        <f>HYPERLINK("https://vdatum.noaa.gov/vdatumweb/api/convert?s_x=-75.9933&amp;s_y=37.8283&amp;s_z=0.0&amp;region=chesapeak_delaware&amp;s_h_frame=NAD83_2011&amp;s_coor=geo&amp;s_v_frame=NAVD88&amp;s_v_unit=us_ft&amp;t_h_frame=IGS14&amp;t_coor=geo&amp;t_v_frame=MHHW&amp;t_v_unit=us_ft", "NAVD88 to MHHW")</f>
        <v>0</v>
      </c>
    </row>
    <row r="12" spans="1:26">
      <c r="A12" s="1" t="s">
        <v>36</v>
      </c>
      <c r="B12" s="1" t="s">
        <v>612</v>
      </c>
      <c r="C12" s="1" t="s">
        <v>644</v>
      </c>
      <c r="D12" s="1" t="s">
        <v>652</v>
      </c>
      <c r="E12" s="1" t="s">
        <v>659</v>
      </c>
      <c r="F12" s="1" t="s">
        <v>831</v>
      </c>
      <c r="G12" s="1" t="s">
        <v>854</v>
      </c>
      <c r="H12" s="1">
        <v>-75.7283</v>
      </c>
      <c r="I12" s="1">
        <v>37.9217</v>
      </c>
      <c r="J12" s="1">
        <f>HYPERLINK("https://tidesandcurrents.noaa.gov/stationhome.html?id=8633777", "8633777")</f>
        <v>0</v>
      </c>
      <c r="K12" s="1" t="s">
        <v>860</v>
      </c>
      <c r="L12" s="1" t="s">
        <v>866</v>
      </c>
      <c r="M12" s="1">
        <v>8969911</v>
      </c>
      <c r="N12" s="1">
        <v>-0.435</v>
      </c>
      <c r="O12" s="1" t="s">
        <v>869</v>
      </c>
      <c r="P12" s="1" t="s">
        <v>873</v>
      </c>
      <c r="Q12" s="1">
        <v>1.601</v>
      </c>
      <c r="R12" s="1">
        <v>-0.958</v>
      </c>
      <c r="S12" s="2">
        <f>HYPERLINK("https://vdatum.noaa.gov/vdatumweb/api/convert?s_x=-75.7283&amp;s_y=37.9217&amp;s_z=0.0&amp;region=chesapeak_delaware&amp;s_h_frame=NAD83_2011&amp;s_coor=geo&amp;s_v_frame=NAVD88&amp;s_v_unit=us_ft&amp;t_h_frame=IGS14&amp;t_coor=geo&amp;t_v_frame=MLLW&amp;t_v_unit=us_ft", "NAVD88 to MLLW")</f>
        <v>0</v>
      </c>
      <c r="T12" s="2">
        <f>HYPERLINK("https://vdatum.noaa.gov/vdatumweb/api/convert?s_x=-75.7283&amp;s_y=37.9217&amp;s_z=0.0&amp;region=chesapeak_delaware&amp;s_h_frame=NAD83_2011&amp;s_coor=geo&amp;s_v_frame=NAVD88&amp;s_v_unit=us_ft&amp;t_h_frame=IGS14&amp;t_coor=geo&amp;t_v_frame=MHHW&amp;t_v_unit=us_ft", "NAVD88 to MHHW")</f>
        <v>0</v>
      </c>
    </row>
    <row r="13" spans="1:26">
      <c r="A13" s="1" t="s">
        <v>37</v>
      </c>
      <c r="B13" s="1" t="s">
        <v>612</v>
      </c>
      <c r="D13" s="1" t="s">
        <v>652</v>
      </c>
      <c r="E13" s="1" t="s">
        <v>658</v>
      </c>
      <c r="F13" s="1" t="s">
        <v>831</v>
      </c>
      <c r="G13" s="1" t="s">
        <v>854</v>
      </c>
      <c r="H13" s="1">
        <v>-76.61</v>
      </c>
      <c r="I13" s="1">
        <v>38.14</v>
      </c>
      <c r="J13" s="1">
        <f>HYPERLINK("https://tidesandcurrents.noaa.gov/stationhome.html?id=8635485", "8635485")</f>
        <v>0</v>
      </c>
      <c r="K13" s="1" t="s">
        <v>860</v>
      </c>
      <c r="L13" s="1" t="s">
        <v>866</v>
      </c>
      <c r="M13" s="1">
        <v>6111779</v>
      </c>
      <c r="N13" s="1">
        <v>0</v>
      </c>
      <c r="O13" s="1" t="s">
        <v>869</v>
      </c>
      <c r="P13" s="1" t="s">
        <v>873</v>
      </c>
      <c r="Q13" s="1">
        <v>1.112</v>
      </c>
      <c r="R13" s="1">
        <v>-0.722</v>
      </c>
      <c r="S13" s="2">
        <f>HYPERLINK("https://vdatum.noaa.gov/vdatumweb/api/convert?s_x=-76.61&amp;s_y=38.14&amp;s_z=0.0&amp;region=chesapeak_delaware&amp;s_h_frame=NAD83_2011&amp;s_coor=geo&amp;s_v_frame=NAVD88&amp;s_v_unit=us_ft&amp;t_h_frame=IGS14&amp;t_coor=geo&amp;t_v_frame=MLLW&amp;t_v_unit=us_ft", "NAVD88 to MLLW")</f>
        <v>0</v>
      </c>
      <c r="T13" s="2">
        <f>HYPERLINK("https://vdatum.noaa.gov/vdatumweb/api/convert?s_x=-76.61&amp;s_y=38.14&amp;s_z=0.0&amp;region=chesapeak_delaware&amp;s_h_frame=NAD83_2011&amp;s_coor=geo&amp;s_v_frame=NAVD88&amp;s_v_unit=us_ft&amp;t_h_frame=IGS14&amp;t_coor=geo&amp;t_v_frame=MHHW&amp;t_v_unit=us_ft", "NAVD88 to MHHW")</f>
        <v>0</v>
      </c>
    </row>
    <row r="14" spans="1:26">
      <c r="A14" s="1" t="s">
        <v>38</v>
      </c>
      <c r="B14" s="1" t="s">
        <v>612</v>
      </c>
      <c r="D14" s="1" t="s">
        <v>652</v>
      </c>
      <c r="E14" s="1" t="s">
        <v>661</v>
      </c>
      <c r="F14" s="1" t="s">
        <v>831</v>
      </c>
      <c r="G14" s="1" t="s">
        <v>854</v>
      </c>
      <c r="H14" s="1">
        <v>-76.46469999999999</v>
      </c>
      <c r="I14" s="1">
        <v>37.99528</v>
      </c>
      <c r="J14" s="1">
        <f>HYPERLINK("https://tidesandcurrents.noaa.gov/stationhome.html?id=8635750", "8635750")</f>
        <v>0</v>
      </c>
      <c r="K14" s="1" t="s">
        <v>860</v>
      </c>
      <c r="L14" s="1" t="s">
        <v>866</v>
      </c>
      <c r="M14" s="1">
        <v>6571583</v>
      </c>
      <c r="N14" s="1">
        <v>0</v>
      </c>
      <c r="O14" s="1" t="s">
        <v>869</v>
      </c>
      <c r="P14" s="1" t="s">
        <v>873</v>
      </c>
      <c r="Q14" s="1">
        <v>1.017</v>
      </c>
      <c r="R14" s="1">
        <v>-0.538</v>
      </c>
      <c r="S14" s="2">
        <f>HYPERLINK("https://vdatum.noaa.gov/vdatumweb/api/convert?s_x=-76.4647&amp;s_y=37.99528&amp;s_z=0.0&amp;region=chesapeak_delaware&amp;s_h_frame=NAD83_2011&amp;s_coor=geo&amp;s_v_frame=NAVD88&amp;s_v_unit=us_ft&amp;t_h_frame=IGS14&amp;t_coor=geo&amp;t_v_frame=MLLW&amp;t_v_unit=us_ft", "NAVD88 to MLLW")</f>
        <v>0</v>
      </c>
      <c r="T14" s="2">
        <f>HYPERLINK("https://vdatum.noaa.gov/vdatumweb/api/convert?s_x=-76.4647&amp;s_y=37.99528&amp;s_z=0.0&amp;region=chesapeak_delaware&amp;s_h_frame=NAD83_2011&amp;s_coor=geo&amp;s_v_frame=NAVD88&amp;s_v_unit=us_ft&amp;t_h_frame=IGS14&amp;t_coor=geo&amp;t_v_frame=MHHW&amp;t_v_unit=us_ft", "NAVD88 to MHHW")</f>
        <v>0</v>
      </c>
    </row>
    <row r="15" spans="1:26">
      <c r="A15" s="1" t="s">
        <v>39</v>
      </c>
      <c r="B15" s="1" t="s">
        <v>612</v>
      </c>
      <c r="C15" s="1" t="s">
        <v>644</v>
      </c>
      <c r="D15" s="1" t="s">
        <v>652</v>
      </c>
      <c r="H15" s="1">
        <v>-76.29000000000001</v>
      </c>
      <c r="I15" s="1">
        <v>37.61611</v>
      </c>
      <c r="J15" s="1">
        <f>HYPERLINK("https://tidesandcurrents.noaa.gov/stationhome.html?id=8636580", "8636580")</f>
        <v>0</v>
      </c>
      <c r="K15" s="1" t="s">
        <v>860</v>
      </c>
      <c r="L15" s="1" t="s">
        <v>866</v>
      </c>
      <c r="M15" s="1">
        <v>6494638</v>
      </c>
      <c r="N15" s="1">
        <v>0</v>
      </c>
      <c r="O15" s="1" t="s">
        <v>869</v>
      </c>
      <c r="P15" s="1" t="s">
        <v>873</v>
      </c>
      <c r="Q15" s="1">
        <v>1.135</v>
      </c>
      <c r="R15" s="1">
        <v>-0.24</v>
      </c>
      <c r="S15" s="2">
        <f>HYPERLINK("https://vdatum.noaa.gov/vdatumweb/api/convert?s_x=-76.29&amp;s_y=37.61611&amp;s_z=0.0&amp;region=chesapeak_delaware&amp;s_h_frame=NAD83_2011&amp;s_coor=geo&amp;s_v_frame=NAVD88&amp;s_v_unit=us_ft&amp;t_h_frame=IGS14&amp;t_coor=geo&amp;t_v_frame=MLLW&amp;t_v_unit=us_ft", "NAVD88 to MLLW")</f>
        <v>0</v>
      </c>
      <c r="T15" s="2">
        <f>HYPERLINK("https://vdatum.noaa.gov/vdatumweb/api/convert?s_x=-76.29&amp;s_y=37.61611&amp;s_z=0.0&amp;region=chesapeak_delaware&amp;s_h_frame=NAD83_2011&amp;s_coor=geo&amp;s_v_frame=NAVD88&amp;s_v_unit=us_ft&amp;t_h_frame=IGS14&amp;t_coor=geo&amp;t_v_frame=MHHW&amp;t_v_unit=us_ft", "NAVD88 to MHHW")</f>
        <v>0</v>
      </c>
    </row>
    <row r="16" spans="1:26">
      <c r="A16" s="1" t="s">
        <v>40</v>
      </c>
      <c r="B16" s="1" t="s">
        <v>612</v>
      </c>
      <c r="C16" s="1" t="s">
        <v>644</v>
      </c>
      <c r="D16" s="1" t="s">
        <v>652</v>
      </c>
      <c r="E16" s="1" t="s">
        <v>662</v>
      </c>
      <c r="F16" s="1" t="s">
        <v>831</v>
      </c>
      <c r="G16" s="1" t="s">
        <v>854</v>
      </c>
      <c r="H16" s="1">
        <v>-76.40000000000001</v>
      </c>
      <c r="I16" s="1">
        <v>37.3</v>
      </c>
      <c r="J16" s="1">
        <f>HYPERLINK("https://tidesandcurrents.noaa.gov/stationhome.html?id=8637444", "8637444")</f>
        <v>0</v>
      </c>
      <c r="K16" s="1" t="s">
        <v>860</v>
      </c>
      <c r="L16" s="1" t="s">
        <v>866</v>
      </c>
      <c r="M16" s="1">
        <v>8591819</v>
      </c>
      <c r="N16" s="1">
        <v>0</v>
      </c>
      <c r="O16" s="1" t="s">
        <v>869</v>
      </c>
      <c r="P16" s="1" t="s">
        <v>873</v>
      </c>
      <c r="Q16" s="1">
        <v>1.417</v>
      </c>
      <c r="R16" s="1">
        <v>-0.971</v>
      </c>
      <c r="S16" s="2">
        <f>HYPERLINK("https://vdatum.noaa.gov/vdatumweb/api/convert?s_x=-76.4&amp;s_y=37.3&amp;s_z=0.0&amp;region=chesapeak_delaware&amp;s_h_frame=NAD83_2011&amp;s_coor=geo&amp;s_v_frame=NAVD88&amp;s_v_unit=us_ft&amp;t_h_frame=IGS14&amp;t_coor=geo&amp;t_v_frame=MLLW&amp;t_v_unit=us_ft", "NAVD88 to MLLW")</f>
        <v>0</v>
      </c>
      <c r="T16" s="2">
        <f>HYPERLINK("https://vdatum.noaa.gov/vdatumweb/api/convert?s_x=-76.4&amp;s_y=37.3&amp;s_z=0.0&amp;region=chesapeak_delaware&amp;s_h_frame=NAD83_2011&amp;s_coor=geo&amp;s_v_frame=NAVD88&amp;s_v_unit=us_ft&amp;t_h_frame=IGS14&amp;t_coor=geo&amp;t_v_frame=MHHW&amp;t_v_unit=us_ft", "NAVD88 to MHHW")</f>
        <v>0</v>
      </c>
    </row>
    <row r="17" spans="1:20">
      <c r="A17" s="1" t="s">
        <v>41</v>
      </c>
      <c r="B17" s="1" t="s">
        <v>612</v>
      </c>
      <c r="D17" s="1" t="s">
        <v>652</v>
      </c>
      <c r="E17" s="1" t="s">
        <v>663</v>
      </c>
      <c r="F17" s="1" t="s">
        <v>831</v>
      </c>
      <c r="G17" s="1" t="s">
        <v>854</v>
      </c>
      <c r="H17" s="1">
        <v>-76.47880000000001</v>
      </c>
      <c r="I17" s="1">
        <v>37.2265</v>
      </c>
      <c r="J17" s="1">
        <f>HYPERLINK("https://tidesandcurrents.noaa.gov/stationhome.html?id=8637689", "8637689")</f>
        <v>0</v>
      </c>
      <c r="K17" s="1" t="s">
        <v>860</v>
      </c>
      <c r="L17" s="1" t="s">
        <v>866</v>
      </c>
      <c r="M17" s="1">
        <v>3828221</v>
      </c>
      <c r="N17" s="1">
        <v>0</v>
      </c>
      <c r="O17" s="1" t="s">
        <v>869</v>
      </c>
      <c r="P17" s="1" t="s">
        <v>873</v>
      </c>
      <c r="Q17" s="1">
        <v>1.47</v>
      </c>
      <c r="R17" s="1">
        <v>-1.099</v>
      </c>
      <c r="S17" s="2">
        <f>HYPERLINK("https://vdatum.noaa.gov/vdatumweb/api/convert?s_x=-76.4788&amp;s_y=37.2265&amp;s_z=0.0&amp;region=chesapeak_delaware&amp;s_h_frame=NAD83_2011&amp;s_coor=geo&amp;s_v_frame=NAVD88&amp;s_v_unit=us_ft&amp;t_h_frame=IGS14&amp;t_coor=geo&amp;t_v_frame=MLLW&amp;t_v_unit=us_ft", "NAVD88 to MLLW")</f>
        <v>0</v>
      </c>
      <c r="T17" s="2">
        <f>HYPERLINK("https://vdatum.noaa.gov/vdatumweb/api/convert?s_x=-76.4788&amp;s_y=37.2265&amp;s_z=0.0&amp;region=chesapeak_delaware&amp;s_h_frame=NAD83_2011&amp;s_coor=geo&amp;s_v_frame=NAVD88&amp;s_v_unit=us_ft&amp;t_h_frame=IGS14&amp;t_coor=geo&amp;t_v_frame=MHHW&amp;t_v_unit=us_ft", "NAVD88 to MHHW")</f>
        <v>0</v>
      </c>
    </row>
    <row r="18" spans="1:20">
      <c r="A18" s="1" t="s">
        <v>42</v>
      </c>
      <c r="B18" s="1" t="s">
        <v>612</v>
      </c>
      <c r="C18" s="1" t="s">
        <v>644</v>
      </c>
      <c r="D18" s="1" t="s">
        <v>652</v>
      </c>
      <c r="E18" s="1" t="s">
        <v>664</v>
      </c>
      <c r="F18" s="1" t="s">
        <v>831</v>
      </c>
      <c r="G18" s="1" t="s">
        <v>854</v>
      </c>
      <c r="H18" s="1">
        <v>-76.7914</v>
      </c>
      <c r="I18" s="1">
        <v>37.2201</v>
      </c>
      <c r="J18" s="1">
        <f>HYPERLINK("https://tidesandcurrents.noaa.gov/stationhome.html?id=8637712", "8637712")</f>
        <v>0</v>
      </c>
      <c r="K18" s="1" t="s">
        <v>860</v>
      </c>
      <c r="L18" s="1" t="s">
        <v>866</v>
      </c>
      <c r="M18" s="1">
        <v>4425400</v>
      </c>
      <c r="N18" s="1">
        <v>0</v>
      </c>
      <c r="O18" s="1" t="s">
        <v>869</v>
      </c>
      <c r="P18" s="1" t="s">
        <v>873</v>
      </c>
      <c r="Q18" s="1">
        <v>1.207</v>
      </c>
      <c r="R18" s="1">
        <v>-0.991</v>
      </c>
      <c r="S18" s="2">
        <f>HYPERLINK("https://vdatum.noaa.gov/vdatumweb/api/convert?s_x=-76.7914&amp;s_y=37.2201&amp;s_z=0.0&amp;region=chesapeak_delaware&amp;s_h_frame=NAD83_2011&amp;s_coor=geo&amp;s_v_frame=NAVD88&amp;s_v_unit=us_ft&amp;t_h_frame=IGS14&amp;t_coor=geo&amp;t_v_frame=MLLW&amp;t_v_unit=us_ft", "NAVD88 to MLLW")</f>
        <v>0</v>
      </c>
      <c r="T18" s="2">
        <f>HYPERLINK("https://vdatum.noaa.gov/vdatumweb/api/convert?s_x=-76.7914&amp;s_y=37.2201&amp;s_z=0.0&amp;region=chesapeak_delaware&amp;s_h_frame=NAD83_2011&amp;s_coor=geo&amp;s_v_frame=NAVD88&amp;s_v_unit=us_ft&amp;t_h_frame=IGS14&amp;t_coor=geo&amp;t_v_frame=MHHW&amp;t_v_unit=us_ft", "NAVD88 to MHHW")</f>
        <v>0</v>
      </c>
    </row>
    <row r="19" spans="1:20">
      <c r="A19" s="1" t="s">
        <v>43</v>
      </c>
      <c r="B19" s="1" t="s">
        <v>612</v>
      </c>
      <c r="C19" s="1" t="s">
        <v>644</v>
      </c>
      <c r="D19" s="1" t="s">
        <v>652</v>
      </c>
      <c r="E19" s="1" t="s">
        <v>665</v>
      </c>
      <c r="F19" s="1" t="s">
        <v>831</v>
      </c>
      <c r="G19" s="1" t="s">
        <v>854</v>
      </c>
      <c r="H19" s="1">
        <v>-76.315</v>
      </c>
      <c r="I19" s="1">
        <v>37.0333</v>
      </c>
      <c r="J19" s="1">
        <f>HYPERLINK("https://tidesandcurrents.noaa.gov/stationhome.html?id=8638288", "8638288")</f>
        <v>0</v>
      </c>
      <c r="K19" s="1" t="s">
        <v>860</v>
      </c>
      <c r="L19" s="1" t="s">
        <v>866</v>
      </c>
      <c r="M19" s="1">
        <v>8096081</v>
      </c>
      <c r="N19" s="1">
        <v>0</v>
      </c>
      <c r="O19" s="1" t="s">
        <v>869</v>
      </c>
      <c r="P19" s="1" t="s">
        <v>873</v>
      </c>
      <c r="Q19" s="1">
        <v>-999999</v>
      </c>
      <c r="R19" s="1">
        <v>-999999</v>
      </c>
      <c r="S19" s="2">
        <f>HYPERLINK("https://vdatum.noaa.gov/vdatumweb/api/convert?s_x=-76.315&amp;s_y=37.0333&amp;s_z=0.0&amp;region=chesapeak_delaware&amp;s_h_frame=NAD83_2011&amp;s_coor=geo&amp;s_v_frame=NAVD88&amp;s_v_unit=us_ft&amp;t_h_frame=IGS14&amp;t_coor=geo&amp;t_v_frame=MLLW&amp;t_v_unit=us_ft", "Missing")</f>
        <v>0</v>
      </c>
      <c r="T19" s="2">
        <f>HYPERLINK("https://vdatum.noaa.gov/vdatumweb/api/convert?s_x=-76.315&amp;s_y=37.0333&amp;s_z=0.0&amp;region=chesapeak_delaware&amp;s_h_frame=NAD83_2011&amp;s_coor=geo&amp;s_v_frame=NAVD88&amp;s_v_unit=us_ft&amp;t_h_frame=IGS14&amp;t_coor=geo&amp;t_v_frame=MHHW&amp;t_v_unit=us_ft", "Missing")</f>
        <v>0</v>
      </c>
    </row>
    <row r="20" spans="1:20">
      <c r="A20" s="1" t="s">
        <v>44</v>
      </c>
      <c r="B20" s="1" t="s">
        <v>612</v>
      </c>
      <c r="C20" s="1" t="s">
        <v>644</v>
      </c>
      <c r="D20" s="1" t="s">
        <v>652</v>
      </c>
      <c r="E20" s="1" t="s">
        <v>666</v>
      </c>
      <c r="F20" s="1" t="s">
        <v>831</v>
      </c>
      <c r="G20" s="1" t="s">
        <v>854</v>
      </c>
      <c r="H20" s="1">
        <v>-76.3991</v>
      </c>
      <c r="I20" s="1">
        <v>36.8232</v>
      </c>
      <c r="J20" s="1">
        <f>HYPERLINK("https://tidesandcurrents.noaa.gov/stationhome.html?id=8638339", "8638339")</f>
        <v>0</v>
      </c>
      <c r="K20" s="1" t="s">
        <v>860</v>
      </c>
      <c r="L20" s="1" t="s">
        <v>866</v>
      </c>
      <c r="M20" s="1">
        <v>7970380</v>
      </c>
      <c r="N20" s="1">
        <v>-0.397</v>
      </c>
      <c r="O20" s="1" t="s">
        <v>869</v>
      </c>
      <c r="P20" s="1" t="s">
        <v>873</v>
      </c>
      <c r="Q20" s="1">
        <v>1.778</v>
      </c>
      <c r="R20" s="1">
        <v>-1.322</v>
      </c>
      <c r="S20" s="2">
        <f>HYPERLINK("https://vdatum.noaa.gov/vdatumweb/api/convert?s_x=-76.3991&amp;s_y=36.8232&amp;s_z=0.0&amp;region=chesapeak_delaware&amp;s_h_frame=NAD83_2011&amp;s_coor=geo&amp;s_v_frame=NAVD88&amp;s_v_unit=us_ft&amp;t_h_frame=IGS14&amp;t_coor=geo&amp;t_v_frame=MLLW&amp;t_v_unit=us_ft", "NAVD88 to MLLW")</f>
        <v>0</v>
      </c>
      <c r="T20" s="2">
        <f>HYPERLINK("https://vdatum.noaa.gov/vdatumweb/api/convert?s_x=-76.3991&amp;s_y=36.8232&amp;s_z=0.0&amp;region=chesapeak_delaware&amp;s_h_frame=NAD83_2011&amp;s_coor=geo&amp;s_v_frame=NAVD88&amp;s_v_unit=us_ft&amp;t_h_frame=IGS14&amp;t_coor=geo&amp;t_v_frame=MHHW&amp;t_v_unit=us_ft", "NAVD88 to MHHW")</f>
        <v>0</v>
      </c>
    </row>
    <row r="21" spans="1:20">
      <c r="A21" s="1" t="s">
        <v>45</v>
      </c>
      <c r="B21" s="1" t="s">
        <v>612</v>
      </c>
      <c r="C21" s="1" t="s">
        <v>644</v>
      </c>
      <c r="D21" s="1" t="s">
        <v>652</v>
      </c>
      <c r="E21" s="1" t="s">
        <v>667</v>
      </c>
      <c r="F21" s="1" t="s">
        <v>831</v>
      </c>
      <c r="G21" s="1" t="s">
        <v>854</v>
      </c>
      <c r="H21" s="1">
        <v>-76.55</v>
      </c>
      <c r="I21" s="1">
        <v>36.838333</v>
      </c>
      <c r="J21" s="1">
        <f>HYPERLINK("https://tidesandcurrents.noaa.gov/stationhome.html?id=8638409", "8638409")</f>
        <v>0</v>
      </c>
      <c r="K21" s="1" t="s">
        <v>860</v>
      </c>
      <c r="L21" s="1" t="s">
        <v>866</v>
      </c>
      <c r="M21" s="1">
        <v>4964400</v>
      </c>
      <c r="N21" s="1">
        <v>0</v>
      </c>
      <c r="O21" s="1" t="s">
        <v>869</v>
      </c>
      <c r="P21" s="1" t="s">
        <v>873</v>
      </c>
      <c r="Q21" s="1">
        <v>1.739</v>
      </c>
      <c r="R21" s="1">
        <v>-1.371</v>
      </c>
      <c r="S21" s="2">
        <f>HYPERLINK("https://vdatum.noaa.gov/vdatumweb/api/convert?s_x=-76.55&amp;s_y=36.838333&amp;s_z=0.0&amp;region=chesapeak_delaware&amp;s_h_frame=NAD83_2011&amp;s_coor=geo&amp;s_v_frame=NAVD88&amp;s_v_unit=us_ft&amp;t_h_frame=IGS14&amp;t_coor=geo&amp;t_v_frame=MLLW&amp;t_v_unit=us_ft", "NAVD88 to MLLW")</f>
        <v>0</v>
      </c>
      <c r="T21" s="2">
        <f>HYPERLINK("https://vdatum.noaa.gov/vdatumweb/api/convert?s_x=-76.55&amp;s_y=36.838333&amp;s_z=0.0&amp;region=chesapeak_delaware&amp;s_h_frame=NAD83_2011&amp;s_coor=geo&amp;s_v_frame=NAVD88&amp;s_v_unit=us_ft&amp;t_h_frame=IGS14&amp;t_coor=geo&amp;t_v_frame=MHHW&amp;t_v_unit=us_ft", "NAVD88 to MHHW")</f>
        <v>0</v>
      </c>
    </row>
    <row r="22" spans="1:20">
      <c r="A22" s="1" t="s">
        <v>46</v>
      </c>
      <c r="B22" s="1" t="s">
        <v>612</v>
      </c>
      <c r="D22" s="1" t="s">
        <v>652</v>
      </c>
      <c r="E22" s="1" t="s">
        <v>668</v>
      </c>
      <c r="F22" s="1" t="s">
        <v>831</v>
      </c>
      <c r="G22" s="1" t="s">
        <v>854</v>
      </c>
      <c r="H22" s="1">
        <v>-76.33</v>
      </c>
      <c r="I22" s="1">
        <v>36.9467</v>
      </c>
      <c r="J22" s="1">
        <f>HYPERLINK("https://tidesandcurrents.noaa.gov/stationhome.html?id=8638610", "8638610")</f>
        <v>0</v>
      </c>
      <c r="K22" s="1" t="s">
        <v>860</v>
      </c>
      <c r="L22" s="1" t="s">
        <v>866</v>
      </c>
      <c r="M22" s="1">
        <v>9194072</v>
      </c>
      <c r="N22" s="1">
        <v>0</v>
      </c>
      <c r="O22" s="1" t="s">
        <v>869</v>
      </c>
      <c r="P22" s="1" t="s">
        <v>873</v>
      </c>
      <c r="Q22" s="1">
        <v>1.512</v>
      </c>
      <c r="R22" s="1">
        <v>-1.286</v>
      </c>
      <c r="S22" s="2">
        <f>HYPERLINK("https://vdatum.noaa.gov/vdatumweb/api/convert?s_x=-76.33&amp;s_y=36.9467&amp;s_z=0.0&amp;region=chesapeak_delaware&amp;s_h_frame=NAD83_2011&amp;s_coor=geo&amp;s_v_frame=NAVD88&amp;s_v_unit=us_ft&amp;t_h_frame=IGS14&amp;t_coor=geo&amp;t_v_frame=MLLW&amp;t_v_unit=us_ft", "NAVD88 to MLLW")</f>
        <v>0</v>
      </c>
      <c r="T22" s="2">
        <f>HYPERLINK("https://vdatum.noaa.gov/vdatumweb/api/convert?s_x=-76.33&amp;s_y=36.9467&amp;s_z=0.0&amp;region=chesapeak_delaware&amp;s_h_frame=NAD83_2011&amp;s_coor=geo&amp;s_v_frame=NAVD88&amp;s_v_unit=us_ft&amp;t_h_frame=IGS14&amp;t_coor=geo&amp;t_v_frame=MHHW&amp;t_v_unit=us_ft", "NAVD88 to MHHW")</f>
        <v>0</v>
      </c>
    </row>
    <row r="23" spans="1:20">
      <c r="A23" s="1" t="s">
        <v>47</v>
      </c>
      <c r="B23" s="1" t="s">
        <v>612</v>
      </c>
      <c r="D23" s="1" t="s">
        <v>652</v>
      </c>
      <c r="H23" s="1">
        <v>-76.1133</v>
      </c>
      <c r="I23" s="1">
        <v>36.9667</v>
      </c>
      <c r="J23" s="1">
        <f>HYPERLINK("https://tidesandcurrents.noaa.gov/stationhome.html?id=8638863", "8638863")</f>
        <v>0</v>
      </c>
      <c r="K23" s="1" t="s">
        <v>860</v>
      </c>
      <c r="L23" s="1" t="s">
        <v>866</v>
      </c>
      <c r="M23" s="1">
        <v>6000735</v>
      </c>
      <c r="N23" s="1">
        <v>-0.45</v>
      </c>
      <c r="O23" s="1" t="s">
        <v>869</v>
      </c>
      <c r="P23" s="1" t="s">
        <v>873</v>
      </c>
      <c r="Q23" s="1">
        <v>1.886</v>
      </c>
      <c r="R23" s="1">
        <v>-1.05</v>
      </c>
      <c r="S23" s="2">
        <f>HYPERLINK("https://vdatum.noaa.gov/vdatumweb/api/convert?s_x=-76.1133&amp;s_y=36.9667&amp;s_z=0.0&amp;region=chesapeak_delaware&amp;s_h_frame=NAD83_2011&amp;s_coor=geo&amp;s_v_frame=NAVD88&amp;s_v_unit=us_ft&amp;t_h_frame=IGS14&amp;t_coor=geo&amp;t_v_frame=MLLW&amp;t_v_unit=us_ft", "NAVD88 to MLLW")</f>
        <v>0</v>
      </c>
      <c r="T23" s="2">
        <f>HYPERLINK("https://vdatum.noaa.gov/vdatumweb/api/convert?s_x=-76.1133&amp;s_y=36.9667&amp;s_z=0.0&amp;region=chesapeak_delaware&amp;s_h_frame=NAD83_2011&amp;s_coor=geo&amp;s_v_frame=NAVD88&amp;s_v_unit=us_ft&amp;t_h_frame=IGS14&amp;t_coor=geo&amp;t_v_frame=MHHW&amp;t_v_unit=us_ft", "NAVD88 to MHHW")</f>
        <v>0</v>
      </c>
    </row>
    <row r="24" spans="1:20">
      <c r="A24" s="1" t="s">
        <v>48</v>
      </c>
      <c r="B24" s="1" t="s">
        <v>612</v>
      </c>
      <c r="D24" s="1" t="s">
        <v>652</v>
      </c>
      <c r="H24" s="1">
        <v>-76.08329999999999</v>
      </c>
      <c r="I24" s="1">
        <v>37.0329</v>
      </c>
      <c r="J24" s="1">
        <f>HYPERLINK("https://tidesandcurrents.noaa.gov/stationhome.html?id=8638901", "8638901")</f>
        <v>0</v>
      </c>
      <c r="K24" s="1" t="s">
        <v>860</v>
      </c>
      <c r="L24" s="1" t="s">
        <v>866</v>
      </c>
      <c r="M24" s="1">
        <v>5675926</v>
      </c>
      <c r="N24" s="1">
        <v>-0.444</v>
      </c>
      <c r="O24" s="1" t="s">
        <v>869</v>
      </c>
      <c r="P24" s="1" t="s">
        <v>873</v>
      </c>
      <c r="Q24" s="1">
        <v>1.916</v>
      </c>
      <c r="R24" s="1">
        <v>-1.099</v>
      </c>
      <c r="S24" s="2">
        <f>HYPERLINK("https://vdatum.noaa.gov/vdatumweb/api/convert?s_x=-76.0833&amp;s_y=37.0329&amp;s_z=0.0&amp;region=chesapeak_delaware&amp;s_h_frame=NAD83_2011&amp;s_coor=geo&amp;s_v_frame=NAVD88&amp;s_v_unit=us_ft&amp;t_h_frame=IGS14&amp;t_coor=geo&amp;t_v_frame=MLLW&amp;t_v_unit=us_ft", "NAVD88 to MLLW")</f>
        <v>0</v>
      </c>
      <c r="T24" s="2">
        <f>HYPERLINK("https://vdatum.noaa.gov/vdatumweb/api/convert?s_x=-76.0833&amp;s_y=37.0329&amp;s_z=0.0&amp;region=chesapeak_delaware&amp;s_h_frame=NAD83_2011&amp;s_coor=geo&amp;s_v_frame=NAVD88&amp;s_v_unit=us_ft&amp;t_h_frame=IGS14&amp;t_coor=geo&amp;t_v_frame=MHHW&amp;t_v_unit=us_ft", "NAVD88 to MHHW")</f>
        <v>0</v>
      </c>
    </row>
    <row r="25" spans="1:20">
      <c r="A25" s="1" t="s">
        <v>49</v>
      </c>
      <c r="B25" s="1" t="s">
        <v>612</v>
      </c>
      <c r="C25" s="1" t="s">
        <v>644</v>
      </c>
      <c r="D25" s="1" t="s">
        <v>652</v>
      </c>
      <c r="E25" s="1" t="s">
        <v>666</v>
      </c>
      <c r="F25" s="1" t="s">
        <v>831</v>
      </c>
      <c r="G25" s="1" t="s">
        <v>854</v>
      </c>
      <c r="H25" s="1">
        <v>-76.3017</v>
      </c>
      <c r="I25" s="1">
        <v>36.77831</v>
      </c>
      <c r="J25" s="1">
        <f>HYPERLINK("https://tidesandcurrents.noaa.gov/stationhome.html?id=8639348", "8639348")</f>
        <v>0</v>
      </c>
      <c r="K25" s="1" t="s">
        <v>860</v>
      </c>
      <c r="L25" s="1" t="s">
        <v>866</v>
      </c>
      <c r="M25" s="1">
        <v>7771155</v>
      </c>
      <c r="N25" s="1">
        <v>-0.393</v>
      </c>
      <c r="O25" s="1" t="s">
        <v>869</v>
      </c>
      <c r="P25" s="1" t="s">
        <v>873</v>
      </c>
      <c r="Q25" s="1">
        <v>1.818</v>
      </c>
      <c r="R25" s="1">
        <v>-1.385</v>
      </c>
      <c r="S25" s="2">
        <f>HYPERLINK("https://vdatum.noaa.gov/vdatumweb/api/convert?s_x=-76.3017&amp;s_y=36.77831&amp;s_z=0.0&amp;region=chesapeak_delaware&amp;s_h_frame=NAD83_2011&amp;s_coor=geo&amp;s_v_frame=NAVD88&amp;s_v_unit=us_ft&amp;t_h_frame=IGS14&amp;t_coor=geo&amp;t_v_frame=MLLW&amp;t_v_unit=us_ft", "NAVD88 to MLLW")</f>
        <v>0</v>
      </c>
      <c r="T25" s="2">
        <f>HYPERLINK("https://vdatum.noaa.gov/vdatumweb/api/convert?s_x=-76.3017&amp;s_y=36.77831&amp;s_z=0.0&amp;region=chesapeak_delaware&amp;s_h_frame=NAD83_2011&amp;s_coor=geo&amp;s_v_frame=NAVD88&amp;s_v_unit=us_ft&amp;t_h_frame=IGS14&amp;t_coor=geo&amp;t_v_frame=MHHW&amp;t_v_unit=us_ft", "NAVD88 to MHHW")</f>
        <v>0</v>
      </c>
    </row>
    <row r="26" spans="1:20">
      <c r="A26" s="1" t="s">
        <v>50</v>
      </c>
      <c r="B26" s="1" t="s">
        <v>612</v>
      </c>
      <c r="C26" s="1" t="s">
        <v>644</v>
      </c>
      <c r="D26" s="1" t="s">
        <v>652</v>
      </c>
      <c r="E26" s="1" t="s">
        <v>665</v>
      </c>
      <c r="F26" s="1" t="s">
        <v>831</v>
      </c>
      <c r="G26" s="1" t="s">
        <v>854</v>
      </c>
      <c r="H26" s="1">
        <v>-76.3</v>
      </c>
      <c r="I26" s="1">
        <v>37.09</v>
      </c>
      <c r="J26" s="1" t="s">
        <v>859</v>
      </c>
      <c r="K26" s="1" t="s">
        <v>861</v>
      </c>
      <c r="L26" s="1" t="s">
        <v>859</v>
      </c>
      <c r="M26" s="1">
        <v>8697166</v>
      </c>
      <c r="N26" s="1">
        <v>0</v>
      </c>
      <c r="O26" s="1" t="s">
        <v>869</v>
      </c>
      <c r="P26" s="1" t="s">
        <v>873</v>
      </c>
      <c r="Q26" s="1">
        <v>1.437</v>
      </c>
      <c r="R26" s="1">
        <v>-0.961</v>
      </c>
      <c r="S26" s="2">
        <f>HYPERLINK("https://vdatum.noaa.gov/vdatumweb/api/convert?s_x=-76.3&amp;s_y=37.09&amp;s_z=0.0&amp;region=chesapeak_delaware&amp;s_h_frame=NAD83_2011&amp;s_coor=geo&amp;s_v_frame=NAVD88&amp;s_v_unit=us_ft&amp;t_h_frame=IGS14&amp;t_coor=geo&amp;t_v_frame=MLLW&amp;t_v_unit=us_ft", "NAVD88 to MLLW")</f>
        <v>0</v>
      </c>
      <c r="T26" s="2">
        <f>HYPERLINK("https://vdatum.noaa.gov/vdatumweb/api/convert?s_x=-76.3&amp;s_y=37.09&amp;s_z=0.0&amp;region=chesapeak_delaware&amp;s_h_frame=NAD83_2011&amp;s_coor=geo&amp;s_v_frame=NAVD88&amp;s_v_unit=us_ft&amp;t_h_frame=IGS14&amp;t_coor=geo&amp;t_v_frame=MHHW&amp;t_v_unit=us_ft", "NAVD88 to MHHW")</f>
        <v>0</v>
      </c>
    </row>
    <row r="27" spans="1:20">
      <c r="A27" s="1" t="s">
        <v>51</v>
      </c>
      <c r="B27" s="1" t="s">
        <v>612</v>
      </c>
      <c r="C27" s="1" t="s">
        <v>645</v>
      </c>
      <c r="D27" s="1" t="s">
        <v>652</v>
      </c>
      <c r="E27" s="1" t="s">
        <v>669</v>
      </c>
      <c r="F27" s="1" t="s">
        <v>832</v>
      </c>
      <c r="G27" s="1" t="s">
        <v>854</v>
      </c>
      <c r="H27" s="1">
        <v>-76.22</v>
      </c>
      <c r="I27" s="1">
        <v>36.3</v>
      </c>
      <c r="J27" s="1" t="s">
        <v>859</v>
      </c>
      <c r="K27" s="1" t="s">
        <v>860</v>
      </c>
      <c r="L27" s="1" t="s">
        <v>859</v>
      </c>
      <c r="M27" s="1">
        <v>8273151</v>
      </c>
      <c r="N27" s="1">
        <v>0</v>
      </c>
      <c r="O27" s="1" t="s">
        <v>869</v>
      </c>
      <c r="P27" s="1" t="s">
        <v>874</v>
      </c>
      <c r="Q27" s="1">
        <v>-0.019</v>
      </c>
      <c r="R27" s="1">
        <v>-0.019</v>
      </c>
      <c r="S27" s="2">
        <f>HYPERLINK("https://vdatum.noaa.gov/vdatumweb/api/convert?s_x=-76.22&amp;s_y=36.3&amp;s_z=0.0&amp;region=contiguous&amp;s_h_frame=NAD83_2011&amp;s_coor=geo&amp;s_v_frame=NAVD88&amp;s_v_unit=us_ft&amp;t_h_frame=NAD83_2011&amp;t_coor=geo&amp;t_v_frame=MLLW&amp;t_v_unit=us_ft", "NAVD88 to MLLW")</f>
        <v>0</v>
      </c>
      <c r="T27" s="2">
        <f>HYPERLINK("https://vdatum.noaa.gov/vdatumweb/api/convert?s_x=-76.22&amp;s_y=36.3&amp;s_z=0.0&amp;region=contiguous&amp;s_h_frame=NAD83_2011&amp;s_coor=geo&amp;s_v_frame=NAVD88&amp;s_v_unit=us_ft&amp;t_h_frame=NAD83_2011&amp;t_coor=geo&amp;t_v_frame=MHHW&amp;t_v_unit=us_ft", "NAVD88 to MHHW")</f>
        <v>0</v>
      </c>
    </row>
    <row r="28" spans="1:20">
      <c r="A28" s="1" t="s">
        <v>52</v>
      </c>
      <c r="B28" s="1" t="s">
        <v>612</v>
      </c>
      <c r="C28" s="1" t="s">
        <v>645</v>
      </c>
      <c r="D28" s="1" t="s">
        <v>652</v>
      </c>
      <c r="E28" s="1" t="s">
        <v>670</v>
      </c>
      <c r="F28" s="1" t="s">
        <v>832</v>
      </c>
      <c r="G28" s="1" t="s">
        <v>854</v>
      </c>
      <c r="H28" s="1">
        <v>-76.61056000000001</v>
      </c>
      <c r="I28" s="1">
        <v>36.05639</v>
      </c>
      <c r="J28" s="1" t="s">
        <v>859</v>
      </c>
      <c r="K28" s="1" t="s">
        <v>860</v>
      </c>
      <c r="L28" s="1" t="s">
        <v>859</v>
      </c>
      <c r="M28" s="1">
        <v>7326821</v>
      </c>
      <c r="N28" s="1">
        <v>0</v>
      </c>
      <c r="O28" s="1" t="s">
        <v>869</v>
      </c>
      <c r="P28" s="1" t="s">
        <v>874</v>
      </c>
      <c r="Q28" s="1">
        <v>0.115</v>
      </c>
      <c r="R28" s="1">
        <v>0.115</v>
      </c>
      <c r="S28" s="2">
        <f>HYPERLINK("https://vdatum.noaa.gov/vdatumweb/api/convert?s_x=-76.61056&amp;s_y=36.05639&amp;s_z=0.0&amp;region=contiguous&amp;s_h_frame=NAD83_2011&amp;s_coor=geo&amp;s_v_frame=NAVD88&amp;s_v_unit=us_ft&amp;t_h_frame=NAD83_2011&amp;t_coor=geo&amp;t_v_frame=MLLW&amp;t_v_unit=us_ft", "NAVD88 to MLLW")</f>
        <v>0</v>
      </c>
      <c r="T28" s="2">
        <f>HYPERLINK("https://vdatum.noaa.gov/vdatumweb/api/convert?s_x=-76.61056&amp;s_y=36.05639&amp;s_z=0.0&amp;region=contiguous&amp;s_h_frame=NAD83_2011&amp;s_coor=geo&amp;s_v_frame=NAVD88&amp;s_v_unit=us_ft&amp;t_h_frame=NAD83_2011&amp;t_coor=geo&amp;t_v_frame=MHHW&amp;t_v_unit=us_ft", "NAVD88 to MHHW")</f>
        <v>0</v>
      </c>
    </row>
    <row r="29" spans="1:20">
      <c r="A29" s="1" t="s">
        <v>53</v>
      </c>
      <c r="B29" s="1" t="s">
        <v>612</v>
      </c>
      <c r="C29" s="1" t="s">
        <v>645</v>
      </c>
      <c r="D29" s="1" t="s">
        <v>652</v>
      </c>
      <c r="E29" s="1" t="s">
        <v>671</v>
      </c>
      <c r="F29" s="1" t="s">
        <v>832</v>
      </c>
      <c r="G29" s="1" t="s">
        <v>854</v>
      </c>
      <c r="H29" s="1">
        <v>-75.98999999999999</v>
      </c>
      <c r="I29" s="1">
        <v>36.53</v>
      </c>
      <c r="J29" s="1" t="s">
        <v>859</v>
      </c>
      <c r="K29" s="1" t="s">
        <v>860</v>
      </c>
      <c r="L29" s="1" t="s">
        <v>859</v>
      </c>
      <c r="M29" s="1">
        <v>8329116</v>
      </c>
      <c r="N29" s="1">
        <v>0</v>
      </c>
      <c r="O29" s="1" t="s">
        <v>869</v>
      </c>
      <c r="P29" s="1" t="s">
        <v>874</v>
      </c>
      <c r="Q29" s="1">
        <v>0.18</v>
      </c>
      <c r="R29" s="1">
        <v>0.18</v>
      </c>
      <c r="S29" s="2">
        <f>HYPERLINK("https://vdatum.noaa.gov/vdatumweb/api/convert?s_x=-75.99&amp;s_y=36.53&amp;s_z=0.0&amp;region=contiguous&amp;s_h_frame=NAD83_2011&amp;s_coor=geo&amp;s_v_frame=NAVD88&amp;s_v_unit=us_ft&amp;t_h_frame=NAD83_2011&amp;t_coor=geo&amp;t_v_frame=MLLW&amp;t_v_unit=us_ft", "NAVD88 to MLLW")</f>
        <v>0</v>
      </c>
      <c r="T29" s="2">
        <f>HYPERLINK("https://vdatum.noaa.gov/vdatumweb/api/convert?s_x=-75.99&amp;s_y=36.53&amp;s_z=0.0&amp;region=contiguous&amp;s_h_frame=NAD83_2011&amp;s_coor=geo&amp;s_v_frame=NAVD88&amp;s_v_unit=us_ft&amp;t_h_frame=NAD83_2011&amp;t_coor=geo&amp;t_v_frame=MHHW&amp;t_v_unit=us_ft", "NAVD88 to MHHW")</f>
        <v>0</v>
      </c>
    </row>
    <row r="30" spans="1:20">
      <c r="A30" s="1" t="s">
        <v>54</v>
      </c>
      <c r="B30" s="1" t="s">
        <v>612</v>
      </c>
      <c r="C30" s="1" t="s">
        <v>644</v>
      </c>
      <c r="D30" s="1" t="s">
        <v>652</v>
      </c>
      <c r="E30" s="1" t="s">
        <v>662</v>
      </c>
      <c r="F30" s="1" t="s">
        <v>831</v>
      </c>
      <c r="G30" s="1" t="s">
        <v>854</v>
      </c>
      <c r="H30" s="1">
        <v>-76.4254444</v>
      </c>
      <c r="I30" s="1">
        <v>37.3793611</v>
      </c>
      <c r="J30" s="1">
        <f>HYPERLINK("https://waterdata.usgs.gov/nwis/nwismap/?site_no=01670060&amp;agency_cd=USGS", "US01670060")</f>
        <v>0</v>
      </c>
      <c r="K30" s="1" t="s">
        <v>860</v>
      </c>
      <c r="L30" s="1" t="s">
        <v>867</v>
      </c>
      <c r="M30" s="1">
        <v>5902941</v>
      </c>
      <c r="N30" s="1">
        <v>0</v>
      </c>
      <c r="O30" s="1" t="s">
        <v>869</v>
      </c>
      <c r="P30" s="1" t="s">
        <v>873</v>
      </c>
      <c r="Q30" s="1">
        <v>1.473</v>
      </c>
      <c r="R30" s="1">
        <v>-1.007</v>
      </c>
      <c r="S30" s="2">
        <f>HYPERLINK("https://vdatum.noaa.gov/vdatumweb/api/convert?s_x=-76.4254444&amp;s_y=37.3793611&amp;s_z=0.0&amp;region=chesapeak_delaware&amp;s_h_frame=NAD83_2011&amp;s_coor=geo&amp;s_v_frame=NAVD88&amp;s_v_unit=us_ft&amp;t_h_frame=IGS14&amp;t_coor=geo&amp;t_v_frame=MLLW&amp;t_v_unit=us_ft", "NAVD88 to MLLW")</f>
        <v>0</v>
      </c>
      <c r="T30" s="2">
        <f>HYPERLINK("https://vdatum.noaa.gov/vdatumweb/api/convert?s_x=-76.4254444&amp;s_y=37.3793611&amp;s_z=0.0&amp;region=chesapeak_delaware&amp;s_h_frame=NAD83_2011&amp;s_coor=geo&amp;s_v_frame=NAVD88&amp;s_v_unit=us_ft&amp;t_h_frame=IGS14&amp;t_coor=geo&amp;t_v_frame=MHHW&amp;t_v_unit=us_ft", "NAVD88 to MHHW")</f>
        <v>0</v>
      </c>
    </row>
    <row r="31" spans="1:20">
      <c r="A31" s="1" t="s">
        <v>55</v>
      </c>
      <c r="B31" s="1" t="s">
        <v>612</v>
      </c>
      <c r="C31" s="1" t="s">
        <v>644</v>
      </c>
      <c r="D31" s="1" t="s">
        <v>652</v>
      </c>
      <c r="E31" s="1" t="s">
        <v>672</v>
      </c>
      <c r="F31" s="1" t="s">
        <v>831</v>
      </c>
      <c r="G31" s="1" t="s">
        <v>854</v>
      </c>
      <c r="H31" s="1">
        <v>-76.38541669999999</v>
      </c>
      <c r="I31" s="1">
        <v>37.1049722</v>
      </c>
      <c r="J31" s="1">
        <f>HYPERLINK("https://waterdata.usgs.gov/nwis/nwismap/?site_no=0167862550&amp;agency_cd=USGS", "US0167862550")</f>
        <v>0</v>
      </c>
      <c r="K31" s="1" t="s">
        <v>860</v>
      </c>
      <c r="L31" s="1" t="s">
        <v>867</v>
      </c>
      <c r="M31" s="1">
        <v>8696990</v>
      </c>
      <c r="N31" s="1">
        <v>0</v>
      </c>
      <c r="O31" s="1" t="s">
        <v>869</v>
      </c>
      <c r="P31" s="1" t="s">
        <v>873</v>
      </c>
      <c r="Q31" s="1">
        <v>-999999</v>
      </c>
      <c r="R31" s="1">
        <v>-999999</v>
      </c>
      <c r="S31" s="2">
        <f>HYPERLINK("https://vdatum.noaa.gov/vdatumweb/api/convert?s_x=-76.3854167&amp;s_y=37.1049722&amp;s_z=0.0&amp;region=chesapeak_delaware&amp;s_h_frame=NAD83_2011&amp;s_coor=geo&amp;s_v_frame=NAVD88&amp;s_v_unit=us_ft&amp;t_h_frame=IGS14&amp;t_coor=geo&amp;t_v_frame=MLLW&amp;t_v_unit=us_ft", "Missing")</f>
        <v>0</v>
      </c>
      <c r="T31" s="2">
        <f>HYPERLINK("https://vdatum.noaa.gov/vdatumweb/api/convert?s_x=-76.3854167&amp;s_y=37.1049722&amp;s_z=0.0&amp;region=chesapeak_delaware&amp;s_h_frame=NAD83_2011&amp;s_coor=geo&amp;s_v_frame=NAVD88&amp;s_v_unit=us_ft&amp;t_h_frame=IGS14&amp;t_coor=geo&amp;t_v_frame=MHHW&amp;t_v_unit=us_ft", "Missing")</f>
        <v>0</v>
      </c>
    </row>
    <row r="32" spans="1:20">
      <c r="A32" s="1" t="s">
        <v>56</v>
      </c>
      <c r="B32" s="1" t="s">
        <v>612</v>
      </c>
      <c r="C32" s="1" t="s">
        <v>644</v>
      </c>
      <c r="D32" s="1" t="s">
        <v>652</v>
      </c>
      <c r="E32" s="1" t="s">
        <v>665</v>
      </c>
      <c r="F32" s="1" t="s">
        <v>831</v>
      </c>
      <c r="G32" s="1" t="s">
        <v>854</v>
      </c>
      <c r="H32" s="1">
        <v>-76.36777778</v>
      </c>
      <c r="I32" s="1">
        <v>37.0449722</v>
      </c>
      <c r="J32" s="1">
        <f>HYPERLINK("https://waterdata.usgs.gov/nwis/nwismap/?site_no=0167892964&amp;agency_cd=USGS", "US0167892964")</f>
        <v>0</v>
      </c>
      <c r="K32" s="1" t="s">
        <v>860</v>
      </c>
      <c r="L32" s="1" t="s">
        <v>867</v>
      </c>
      <c r="M32" s="1">
        <v>9157201</v>
      </c>
      <c r="N32" s="1">
        <v>0</v>
      </c>
      <c r="O32" s="1" t="s">
        <v>869</v>
      </c>
      <c r="P32" s="1" t="s">
        <v>873</v>
      </c>
      <c r="Q32" s="1">
        <v>1.424</v>
      </c>
      <c r="R32" s="1">
        <v>-1.05</v>
      </c>
      <c r="S32" s="2">
        <f>HYPERLINK("https://vdatum.noaa.gov/vdatumweb/api/convert?s_x=-76.36777778&amp;s_y=37.0449722&amp;s_z=0.0&amp;region=chesapeak_delaware&amp;s_h_frame=NAD83_2011&amp;s_coor=geo&amp;s_v_frame=NAVD88&amp;s_v_unit=us_ft&amp;t_h_frame=IGS14&amp;t_coor=geo&amp;t_v_frame=MLLW&amp;t_v_unit=us_ft", "NAVD88 to MLLW")</f>
        <v>0</v>
      </c>
      <c r="T32" s="2">
        <f>HYPERLINK("https://vdatum.noaa.gov/vdatumweb/api/convert?s_x=-76.36777778&amp;s_y=37.0449722&amp;s_z=0.0&amp;region=chesapeak_delaware&amp;s_h_frame=NAD83_2011&amp;s_coor=geo&amp;s_v_frame=NAVD88&amp;s_v_unit=us_ft&amp;t_h_frame=IGS14&amp;t_coor=geo&amp;t_v_frame=MHHW&amp;t_v_unit=us_ft", "NAVD88 to MHHW")</f>
        <v>0</v>
      </c>
    </row>
    <row r="33" spans="1:20">
      <c r="A33" s="1" t="s">
        <v>57</v>
      </c>
      <c r="B33" s="1" t="s">
        <v>612</v>
      </c>
      <c r="C33" s="1" t="s">
        <v>644</v>
      </c>
      <c r="D33" s="1" t="s">
        <v>652</v>
      </c>
      <c r="E33" s="1" t="s">
        <v>673</v>
      </c>
      <c r="F33" s="1" t="s">
        <v>831</v>
      </c>
      <c r="G33" s="1" t="s">
        <v>854</v>
      </c>
      <c r="H33" s="1">
        <v>-77.4208158</v>
      </c>
      <c r="I33" s="1">
        <v>37.52514666</v>
      </c>
      <c r="J33" s="1">
        <f>HYPERLINK("https://waterdata.usgs.gov/nwis/nwismap/?site_no=02037705&amp;agency_cd=USGS", "US02037705")</f>
        <v>0</v>
      </c>
      <c r="K33" s="1" t="s">
        <v>861</v>
      </c>
      <c r="L33" s="1" t="s">
        <v>867</v>
      </c>
      <c r="M33" s="1">
        <v>3982078</v>
      </c>
      <c r="N33" s="1">
        <v>0</v>
      </c>
      <c r="O33" s="1" t="s">
        <v>869</v>
      </c>
      <c r="P33" s="1" t="s">
        <v>873</v>
      </c>
      <c r="Q33" s="1">
        <v>1.457</v>
      </c>
      <c r="R33" s="1">
        <v>-2.172</v>
      </c>
      <c r="S33" s="2">
        <f>HYPERLINK("https://vdatum.noaa.gov/vdatumweb/api/convert?s_x=-77.4208158&amp;s_y=37.52514666&amp;s_z=0.0&amp;region=chesapeak_delaware&amp;s_h_frame=NAD83_2011&amp;s_coor=geo&amp;s_v_frame=NAVD88&amp;s_v_unit=us_ft&amp;t_h_frame=IGS14&amp;t_coor=geo&amp;t_v_frame=MLLW&amp;t_v_unit=us_ft", "NAVD88 to MLLW")</f>
        <v>0</v>
      </c>
      <c r="T33" s="2">
        <f>HYPERLINK("https://vdatum.noaa.gov/vdatumweb/api/convert?s_x=-77.4208158&amp;s_y=37.52514666&amp;s_z=0.0&amp;region=chesapeak_delaware&amp;s_h_frame=NAD83_2011&amp;s_coor=geo&amp;s_v_frame=NAVD88&amp;s_v_unit=us_ft&amp;t_h_frame=IGS14&amp;t_coor=geo&amp;t_v_frame=MHHW&amp;t_v_unit=us_ft", "NAVD88 to MHHW")</f>
        <v>0</v>
      </c>
    </row>
    <row r="34" spans="1:20">
      <c r="A34" s="1" t="s">
        <v>58</v>
      </c>
      <c r="B34" s="1" t="s">
        <v>612</v>
      </c>
      <c r="D34" s="1" t="s">
        <v>652</v>
      </c>
      <c r="E34" s="1" t="s">
        <v>668</v>
      </c>
      <c r="F34" s="1" t="s">
        <v>831</v>
      </c>
      <c r="G34" s="1" t="s">
        <v>854</v>
      </c>
      <c r="H34" s="1">
        <v>-76.3095</v>
      </c>
      <c r="I34" s="1">
        <v>36.862</v>
      </c>
      <c r="J34" s="1">
        <f>HYPERLINK("https://waterdata.usgs.gov/nwis/nwismap/?site_no=0204288831&amp;agency_cd=USGS", "US0204288831")</f>
        <v>0</v>
      </c>
      <c r="K34" s="1" t="s">
        <v>860</v>
      </c>
      <c r="L34" s="1" t="s">
        <v>867</v>
      </c>
      <c r="M34" s="1">
        <v>9321857</v>
      </c>
      <c r="N34" s="1">
        <v>0</v>
      </c>
      <c r="O34" s="1" t="s">
        <v>869</v>
      </c>
      <c r="P34" s="1" t="s">
        <v>873</v>
      </c>
      <c r="Q34" s="1">
        <v>1.706</v>
      </c>
      <c r="R34" s="1">
        <v>-1.339</v>
      </c>
      <c r="S34" s="2">
        <f>HYPERLINK("https://vdatum.noaa.gov/vdatumweb/api/convert?s_x=-76.3095&amp;s_y=36.862&amp;s_z=0.0&amp;region=chesapeak_delaware&amp;s_h_frame=NAD83_2011&amp;s_coor=geo&amp;s_v_frame=NAVD88&amp;s_v_unit=us_ft&amp;t_h_frame=IGS14&amp;t_coor=geo&amp;t_v_frame=MLLW&amp;t_v_unit=us_ft", "NAVD88 to MLLW")</f>
        <v>0</v>
      </c>
      <c r="T34" s="2">
        <f>HYPERLINK("https://vdatum.noaa.gov/vdatumweb/api/convert?s_x=-76.3095&amp;s_y=36.862&amp;s_z=0.0&amp;region=chesapeak_delaware&amp;s_h_frame=NAD83_2011&amp;s_coor=geo&amp;s_v_frame=NAVD88&amp;s_v_unit=us_ft&amp;t_h_frame=IGS14&amp;t_coor=geo&amp;t_v_frame=MHHW&amp;t_v_unit=us_ft", "NAVD88 to MHHW")</f>
        <v>0</v>
      </c>
    </row>
    <row r="35" spans="1:20">
      <c r="A35" s="1" t="s">
        <v>59</v>
      </c>
      <c r="B35" s="1" t="s">
        <v>612</v>
      </c>
      <c r="C35" s="1" t="s">
        <v>644</v>
      </c>
      <c r="D35" s="1" t="s">
        <v>652</v>
      </c>
      <c r="H35" s="1">
        <v>-76.33674999999999</v>
      </c>
      <c r="I35" s="1">
        <v>37.03238889</v>
      </c>
      <c r="J35" s="1">
        <f>HYPERLINK("https://waterdata.usgs.gov/nwis/nwismap/?site_no=0204289985&amp;agency_cd=USGS", "US0204289985")</f>
        <v>0</v>
      </c>
      <c r="K35" s="1" t="s">
        <v>860</v>
      </c>
      <c r="L35" s="1" t="s">
        <v>867</v>
      </c>
      <c r="M35" s="1">
        <v>9120773</v>
      </c>
      <c r="N35" s="1">
        <v>0</v>
      </c>
      <c r="O35" s="1" t="s">
        <v>869</v>
      </c>
      <c r="P35" s="1" t="s">
        <v>873</v>
      </c>
      <c r="Q35" s="1">
        <v>1.604</v>
      </c>
      <c r="R35" s="1">
        <v>-1.214</v>
      </c>
      <c r="S35" s="2">
        <f>HYPERLINK("https://vdatum.noaa.gov/vdatumweb/api/convert?s_x=-76.33675&amp;s_y=37.03238889&amp;s_z=0.0&amp;region=chesapeak_delaware&amp;s_h_frame=NAD83_2011&amp;s_coor=geo&amp;s_v_frame=NAVD88&amp;s_v_unit=us_ft&amp;t_h_frame=IGS14&amp;t_coor=geo&amp;t_v_frame=MLLW&amp;t_v_unit=us_ft", "NAVD88 to MLLW")</f>
        <v>0</v>
      </c>
      <c r="T35" s="2">
        <f>HYPERLINK("https://vdatum.noaa.gov/vdatumweb/api/convert?s_x=-76.33675&amp;s_y=37.03238889&amp;s_z=0.0&amp;region=chesapeak_delaware&amp;s_h_frame=NAD83_2011&amp;s_coor=geo&amp;s_v_frame=NAVD88&amp;s_v_unit=us_ft&amp;t_h_frame=IGS14&amp;t_coor=geo&amp;t_v_frame=MHHW&amp;t_v_unit=us_ft", "NAVD88 to MHHW")</f>
        <v>0</v>
      </c>
    </row>
    <row r="36" spans="1:20">
      <c r="A36" s="1" t="s">
        <v>60</v>
      </c>
      <c r="B36" s="1" t="s">
        <v>612</v>
      </c>
      <c r="C36" s="1" t="s">
        <v>644</v>
      </c>
      <c r="D36" s="1" t="s">
        <v>652</v>
      </c>
      <c r="H36" s="1">
        <v>-76.0955833</v>
      </c>
      <c r="I36" s="1">
        <v>36.9066111</v>
      </c>
      <c r="J36" s="1">
        <f>HYPERLINK("https://waterdata.usgs.gov/nwis/nwismap/?site_no=0204292275&amp;agency_cd=USGS", "US0204292275")</f>
        <v>0</v>
      </c>
      <c r="K36" s="1" t="s">
        <v>860</v>
      </c>
      <c r="L36" s="1" t="s">
        <v>867</v>
      </c>
      <c r="M36" s="1">
        <v>5895537</v>
      </c>
      <c r="N36" s="1">
        <v>0</v>
      </c>
      <c r="O36" s="1" t="s">
        <v>869</v>
      </c>
      <c r="P36" s="1" t="s">
        <v>873</v>
      </c>
      <c r="Q36" s="1">
        <v>1.798</v>
      </c>
      <c r="R36" s="1">
        <v>-1.083</v>
      </c>
      <c r="S36" s="2">
        <f>HYPERLINK("https://vdatum.noaa.gov/vdatumweb/api/convert?s_x=-76.0955833&amp;s_y=36.9066111&amp;s_z=0.0&amp;region=chesapeak_delaware&amp;s_h_frame=NAD83_2011&amp;s_coor=geo&amp;s_v_frame=NAVD88&amp;s_v_unit=us_ft&amp;t_h_frame=IGS14&amp;t_coor=geo&amp;t_v_frame=MLLW&amp;t_v_unit=us_ft", "NAVD88 to MLLW")</f>
        <v>0</v>
      </c>
      <c r="T36" s="2">
        <f>HYPERLINK("https://vdatum.noaa.gov/vdatumweb/api/convert?s_x=-76.0955833&amp;s_y=36.9066111&amp;s_z=0.0&amp;region=chesapeak_delaware&amp;s_h_frame=NAD83_2011&amp;s_coor=geo&amp;s_v_frame=NAVD88&amp;s_v_unit=us_ft&amp;t_h_frame=IGS14&amp;t_coor=geo&amp;t_v_frame=MHHW&amp;t_v_unit=us_ft", "NAVD88 to MHHW")</f>
        <v>0</v>
      </c>
    </row>
    <row r="37" spans="1:20">
      <c r="A37" s="1" t="s">
        <v>61</v>
      </c>
      <c r="B37" s="1" t="s">
        <v>612</v>
      </c>
      <c r="C37" s="1" t="s">
        <v>645</v>
      </c>
      <c r="D37" s="1" t="s">
        <v>652</v>
      </c>
      <c r="E37" s="1" t="s">
        <v>674</v>
      </c>
      <c r="F37" s="1" t="s">
        <v>831</v>
      </c>
      <c r="G37" s="1" t="s">
        <v>854</v>
      </c>
      <c r="H37" s="1">
        <v>-75.98399999999999</v>
      </c>
      <c r="I37" s="1">
        <v>36.67980556</v>
      </c>
      <c r="J37" s="1">
        <f>HYPERLINK("https://waterdata.usgs.gov/nwis/nwismap/?site_no=0204300267&amp;agency_cd=USGS", "US0204300267")</f>
        <v>0</v>
      </c>
      <c r="K37" s="1" t="s">
        <v>860</v>
      </c>
      <c r="L37" s="1" t="s">
        <v>867</v>
      </c>
      <c r="M37" s="1">
        <v>6001152</v>
      </c>
      <c r="N37" s="1">
        <v>0</v>
      </c>
      <c r="O37" s="1" t="s">
        <v>869</v>
      </c>
      <c r="P37" s="1" t="s">
        <v>874</v>
      </c>
      <c r="Q37" s="1">
        <v>-999999</v>
      </c>
      <c r="R37" s="1">
        <v>-999999</v>
      </c>
      <c r="S37" s="2">
        <f>HYPERLINK("https://vdatum.noaa.gov/vdatumweb/api/convert?s_x=-75.984&amp;s_y=36.67980556&amp;s_z=0.0&amp;region=contiguous&amp;s_h_frame=NAD83_2011&amp;s_coor=geo&amp;s_v_frame=NAVD88&amp;s_v_unit=us_ft&amp;t_h_frame=NAD83_2011&amp;t_coor=geo&amp;t_v_frame=MLLW&amp;t_v_unit=us_ft", "Missing")</f>
        <v>0</v>
      </c>
      <c r="T37" s="2">
        <f>HYPERLINK("https://vdatum.noaa.gov/vdatumweb/api/convert?s_x=-75.984&amp;s_y=36.67980556&amp;s_z=0.0&amp;region=contiguous&amp;s_h_frame=NAD83_2011&amp;s_coor=geo&amp;s_v_frame=NAVD88&amp;s_v_unit=us_ft&amp;t_h_frame=NAD83_2011&amp;t_coor=geo&amp;t_v_frame=MHHW&amp;t_v_unit=us_ft", "Missing")</f>
        <v>0</v>
      </c>
    </row>
    <row r="38" spans="1:20">
      <c r="A38" s="1" t="s">
        <v>62</v>
      </c>
      <c r="B38" s="1" t="s">
        <v>612</v>
      </c>
      <c r="C38" s="1" t="s">
        <v>645</v>
      </c>
      <c r="D38" s="1" t="s">
        <v>652</v>
      </c>
      <c r="E38" s="1" t="s">
        <v>674</v>
      </c>
      <c r="F38" s="1" t="s">
        <v>831</v>
      </c>
      <c r="G38" s="1" t="s">
        <v>854</v>
      </c>
      <c r="H38" s="1">
        <v>-76.0463333</v>
      </c>
      <c r="I38" s="1">
        <v>36.61816667</v>
      </c>
      <c r="J38" s="1">
        <f>HYPERLINK("https://waterdata.usgs.gov/nwis/nwismap/?site_no=02043269&amp;agency_cd=USGS", "US02043269")</f>
        <v>0</v>
      </c>
      <c r="K38" s="1" t="s">
        <v>860</v>
      </c>
      <c r="L38" s="1" t="s">
        <v>867</v>
      </c>
      <c r="M38" s="1">
        <v>8328996</v>
      </c>
      <c r="N38" s="1">
        <v>0</v>
      </c>
      <c r="O38" s="1" t="s">
        <v>869</v>
      </c>
      <c r="P38" s="1" t="s">
        <v>874</v>
      </c>
      <c r="Q38" s="1">
        <v>-999999</v>
      </c>
      <c r="R38" s="1">
        <v>-999999</v>
      </c>
      <c r="S38" s="2">
        <f>HYPERLINK("https://vdatum.noaa.gov/vdatumweb/api/convert?s_x=-76.0463333&amp;s_y=36.61816667&amp;s_z=0.0&amp;region=contiguous&amp;s_h_frame=NAD83_2011&amp;s_coor=geo&amp;s_v_frame=NAVD88&amp;s_v_unit=us_ft&amp;t_h_frame=NAD83_2011&amp;t_coor=geo&amp;t_v_frame=MLLW&amp;t_v_unit=us_ft", "Missing")</f>
        <v>0</v>
      </c>
      <c r="T38" s="2">
        <f>HYPERLINK("https://vdatum.noaa.gov/vdatumweb/api/convert?s_x=-76.0463333&amp;s_y=36.61816667&amp;s_z=0.0&amp;region=contiguous&amp;s_h_frame=NAD83_2011&amp;s_coor=geo&amp;s_v_frame=NAVD88&amp;s_v_unit=us_ft&amp;t_h_frame=NAD83_2011&amp;t_coor=geo&amp;t_v_frame=MHHW&amp;t_v_unit=us_ft", "Missing")</f>
        <v>0</v>
      </c>
    </row>
    <row r="39" spans="1:20">
      <c r="A39" s="1" t="s">
        <v>63</v>
      </c>
      <c r="B39" s="1" t="s">
        <v>612</v>
      </c>
      <c r="D39" s="1" t="s">
        <v>652</v>
      </c>
      <c r="H39" s="1">
        <v>-75.83444262</v>
      </c>
      <c r="I39" s="1">
        <v>36.37443714</v>
      </c>
      <c r="J39" s="1">
        <f>HYPERLINK("https://waterdata.usgs.gov/nwis/nwismap/?site_no=02043433&amp;agency_cd=USGS", "US02043433")</f>
        <v>0</v>
      </c>
      <c r="K39" s="1" t="s">
        <v>861</v>
      </c>
      <c r="L39" s="1" t="s">
        <v>867</v>
      </c>
      <c r="M39" s="1">
        <v>3482721</v>
      </c>
      <c r="N39" s="1">
        <v>0</v>
      </c>
      <c r="O39" s="1" t="s">
        <v>869</v>
      </c>
      <c r="P39" s="1" t="s">
        <v>874</v>
      </c>
      <c r="Q39" s="1">
        <v>0.125</v>
      </c>
      <c r="R39" s="1">
        <v>0.125</v>
      </c>
      <c r="S39" s="2">
        <f>HYPERLINK("https://vdatum.noaa.gov/vdatumweb/api/convert?s_x=-75.83444262&amp;s_y=36.37443714&amp;s_z=0.0&amp;region=contiguous&amp;s_h_frame=NAD83_2011&amp;s_coor=geo&amp;s_v_frame=NAVD88&amp;s_v_unit=us_ft&amp;t_h_frame=NAD83_2011&amp;t_coor=geo&amp;t_v_frame=MLLW&amp;t_v_unit=us_ft", "NAVD88 to MLLW")</f>
        <v>0</v>
      </c>
      <c r="T39" s="2">
        <f>HYPERLINK("https://vdatum.noaa.gov/vdatumweb/api/convert?s_x=-75.83444262&amp;s_y=36.37443714&amp;s_z=0.0&amp;region=contiguous&amp;s_h_frame=NAD83_2011&amp;s_coor=geo&amp;s_v_frame=NAVD88&amp;s_v_unit=us_ft&amp;t_h_frame=NAD83_2011&amp;t_coor=geo&amp;t_v_frame=MHHW&amp;t_v_unit=us_ft", "NAVD88 to MHHW")</f>
        <v>0</v>
      </c>
    </row>
    <row r="40" spans="1:20">
      <c r="A40" s="1" t="s">
        <v>64</v>
      </c>
      <c r="B40" s="1" t="s">
        <v>612</v>
      </c>
      <c r="C40" s="1" t="s">
        <v>645</v>
      </c>
      <c r="D40" s="1" t="s">
        <v>652</v>
      </c>
      <c r="E40" s="1" t="s">
        <v>675</v>
      </c>
      <c r="F40" s="1" t="s">
        <v>832</v>
      </c>
      <c r="G40" s="1" t="s">
        <v>854</v>
      </c>
      <c r="H40" s="1">
        <v>-76.72277575</v>
      </c>
      <c r="I40" s="1">
        <v>35.91499283</v>
      </c>
      <c r="J40" s="1">
        <f>HYPERLINK("https://waterdata.usgs.gov/nwis/nwismap/?site_no=0208114150&amp;agency_cd=USGS", "US0208114150")</f>
        <v>0</v>
      </c>
      <c r="K40" s="1" t="s">
        <v>861</v>
      </c>
      <c r="L40" s="1" t="s">
        <v>867</v>
      </c>
      <c r="M40" s="1">
        <v>7161859</v>
      </c>
      <c r="N40" s="1">
        <v>-0.334</v>
      </c>
      <c r="O40" s="1" t="s">
        <v>869</v>
      </c>
      <c r="P40" s="1" t="s">
        <v>874</v>
      </c>
      <c r="Q40" s="1">
        <v>-999999</v>
      </c>
      <c r="R40" s="1">
        <v>-999999</v>
      </c>
      <c r="S40" s="2">
        <f>HYPERLINK("https://vdatum.noaa.gov/vdatumweb/api/convert?s_x=-76.72277575&amp;s_y=35.91499283&amp;s_z=0.0&amp;region=contiguous&amp;s_h_frame=NAD83_2011&amp;s_coor=geo&amp;s_v_frame=NAVD88&amp;s_v_unit=us_ft&amp;t_h_frame=NAD83_2011&amp;t_coor=geo&amp;t_v_frame=MLLW&amp;t_v_unit=us_ft", "Missing")</f>
        <v>0</v>
      </c>
      <c r="T40" s="2">
        <f>HYPERLINK("https://vdatum.noaa.gov/vdatumweb/api/convert?s_x=-76.72277575&amp;s_y=35.91499283&amp;s_z=0.0&amp;region=contiguous&amp;s_h_frame=NAD83_2011&amp;s_coor=geo&amp;s_v_frame=NAVD88&amp;s_v_unit=us_ft&amp;t_h_frame=NAD83_2011&amp;t_coor=geo&amp;t_v_frame=MHHW&amp;t_v_unit=us_ft", "Missing")</f>
        <v>0</v>
      </c>
    </row>
    <row r="41" spans="1:20">
      <c r="A41" s="1" t="s">
        <v>65</v>
      </c>
      <c r="B41" s="1" t="s">
        <v>613</v>
      </c>
      <c r="C41" s="1" t="s">
        <v>646</v>
      </c>
      <c r="D41" s="1" t="s">
        <v>652</v>
      </c>
      <c r="E41" s="1" t="s">
        <v>676</v>
      </c>
      <c r="F41" s="1" t="s">
        <v>833</v>
      </c>
      <c r="G41" s="1" t="s">
        <v>854</v>
      </c>
      <c r="H41" s="1">
        <v>-73.7475</v>
      </c>
      <c r="I41" s="1">
        <v>42.64788889</v>
      </c>
      <c r="J41" s="1">
        <f>HYPERLINK("https://waterdata.usgs.gov/nwis/nwismap/?site_no=01359139&amp;agency_cd=USGS", "US01359139")</f>
        <v>0</v>
      </c>
      <c r="K41" s="1" t="s">
        <v>861</v>
      </c>
      <c r="L41" s="1" t="s">
        <v>867</v>
      </c>
      <c r="M41" s="1">
        <v>2220498</v>
      </c>
      <c r="N41" s="1">
        <v>-0.26</v>
      </c>
      <c r="O41" s="1" t="s">
        <v>869</v>
      </c>
      <c r="P41" s="1" t="s">
        <v>874</v>
      </c>
      <c r="Q41" s="1">
        <v>1.835</v>
      </c>
      <c r="R41" s="1">
        <v>-3.808</v>
      </c>
      <c r="S41" s="2">
        <f>HYPERLINK("https://vdatum.noaa.gov/vdatumweb/api/convert?s_x=-73.7475&amp;s_y=42.64788889&amp;s_z=0.0&amp;region=contiguous&amp;s_h_frame=NAD83_2011&amp;s_coor=geo&amp;s_v_frame=NAVD88&amp;s_v_unit=us_ft&amp;t_h_frame=NAD83_2011&amp;t_coor=geo&amp;t_v_frame=MLLW&amp;t_v_unit=us_ft", "NAVD88 to MLLW")</f>
        <v>0</v>
      </c>
      <c r="T41" s="2">
        <f>HYPERLINK("https://vdatum.noaa.gov/vdatumweb/api/convert?s_x=-73.7475&amp;s_y=42.64788889&amp;s_z=0.0&amp;region=contiguous&amp;s_h_frame=NAD83_2011&amp;s_coor=geo&amp;s_v_frame=NAVD88&amp;s_v_unit=us_ft&amp;t_h_frame=NAD83_2011&amp;t_coor=geo&amp;t_v_frame=MHHW&amp;t_v_unit=us_ft", "NAVD88 to MHHW")</f>
        <v>0</v>
      </c>
    </row>
    <row r="42" spans="1:20">
      <c r="A42" s="1" t="s">
        <v>66</v>
      </c>
      <c r="B42" s="1" t="s">
        <v>613</v>
      </c>
      <c r="C42" s="1" t="s">
        <v>646</v>
      </c>
      <c r="D42" s="1" t="s">
        <v>652</v>
      </c>
      <c r="E42" s="1" t="s">
        <v>677</v>
      </c>
      <c r="F42" s="1" t="s">
        <v>833</v>
      </c>
      <c r="G42" s="1" t="s">
        <v>854</v>
      </c>
      <c r="H42" s="1">
        <v>-73.94069299</v>
      </c>
      <c r="I42" s="1">
        <v>41.72176015</v>
      </c>
      <c r="J42" s="1">
        <f>HYPERLINK("https://waterdata.usgs.gov/nwis/nwismap/?site_no=01372043&amp;agency_cd=USGS", "US01372043")</f>
        <v>0</v>
      </c>
      <c r="K42" s="1" t="s">
        <v>861</v>
      </c>
      <c r="L42" s="1" t="s">
        <v>867</v>
      </c>
      <c r="M42" s="1">
        <v>2415174</v>
      </c>
      <c r="N42" s="1">
        <v>-0.26</v>
      </c>
      <c r="O42" s="1" t="s">
        <v>869</v>
      </c>
      <c r="P42" s="1" t="s">
        <v>874</v>
      </c>
      <c r="Q42" s="1">
        <v>1.685</v>
      </c>
      <c r="R42" s="1">
        <v>-2.197</v>
      </c>
      <c r="S42" s="2">
        <f>HYPERLINK("https://vdatum.noaa.gov/vdatumweb/api/convert?s_x=-73.94069299&amp;s_y=41.72176015&amp;s_z=0.0&amp;region=contiguous&amp;s_h_frame=NAD83_2011&amp;s_coor=geo&amp;s_v_frame=NAVD88&amp;s_v_unit=us_ft&amp;t_h_frame=NAD83_2011&amp;t_coor=geo&amp;t_v_frame=MLLW&amp;t_v_unit=us_ft", "NAVD88 to MLLW")</f>
        <v>0</v>
      </c>
      <c r="T42" s="2">
        <f>HYPERLINK("https://vdatum.noaa.gov/vdatumweb/api/convert?s_x=-73.94069299&amp;s_y=41.72176015&amp;s_z=0.0&amp;region=contiguous&amp;s_h_frame=NAD83_2011&amp;s_coor=geo&amp;s_v_frame=NAVD88&amp;s_v_unit=us_ft&amp;t_h_frame=NAD83_2011&amp;t_coor=geo&amp;t_v_frame=MHHW&amp;t_v_unit=us_ft", "NAVD88 to MHHW")</f>
        <v>0</v>
      </c>
    </row>
    <row r="43" spans="1:20">
      <c r="A43" s="1" t="s">
        <v>67</v>
      </c>
      <c r="B43" s="1" t="s">
        <v>614</v>
      </c>
      <c r="C43" s="1" t="s">
        <v>646</v>
      </c>
      <c r="D43" s="1" t="s">
        <v>652</v>
      </c>
      <c r="E43" s="1" t="s">
        <v>678</v>
      </c>
      <c r="F43" s="1" t="s">
        <v>834</v>
      </c>
      <c r="G43" s="1" t="s">
        <v>854</v>
      </c>
      <c r="H43" s="1">
        <v>-71.0767</v>
      </c>
      <c r="I43" s="1">
        <v>42.7633</v>
      </c>
      <c r="J43" s="1">
        <f>HYPERLINK("https://tidesandcurrents.noaa.gov/stationhome.html?id=8440889", "8440889")</f>
        <v>0</v>
      </c>
      <c r="K43" s="1" t="s">
        <v>861</v>
      </c>
      <c r="L43" s="1" t="s">
        <v>866</v>
      </c>
      <c r="M43" s="1">
        <v>3000936</v>
      </c>
      <c r="N43" s="1">
        <v>0</v>
      </c>
      <c r="O43" s="1" t="s">
        <v>869</v>
      </c>
      <c r="P43" s="1" t="s">
        <v>874</v>
      </c>
      <c r="Q43" s="1">
        <v>-999999</v>
      </c>
      <c r="R43" s="1">
        <v>-999999</v>
      </c>
      <c r="S43" s="2">
        <f>HYPERLINK("https://vdatum.noaa.gov/vdatumweb/api/convert?s_x=-71.0767&amp;s_y=42.7633&amp;s_z=0.0&amp;region=contiguous&amp;s_h_frame=NAD83_2011&amp;s_coor=geo&amp;s_v_frame=NAVD88&amp;s_v_unit=us_ft&amp;t_h_frame=NAD83_2011&amp;t_coor=geo&amp;t_v_frame=MLLW&amp;t_v_unit=us_ft", "Missing")</f>
        <v>0</v>
      </c>
      <c r="T43" s="2">
        <f>HYPERLINK("https://vdatum.noaa.gov/vdatumweb/api/convert?s_x=-71.0767&amp;s_y=42.7633&amp;s_z=0.0&amp;region=contiguous&amp;s_h_frame=NAD83_2011&amp;s_coor=geo&amp;s_v_frame=NAVD88&amp;s_v_unit=us_ft&amp;t_h_frame=NAD83_2011&amp;t_coor=geo&amp;t_v_frame=MHHW&amp;t_v_unit=us_ft", "Missing")</f>
        <v>0</v>
      </c>
    </row>
    <row r="44" spans="1:20">
      <c r="A44" s="1" t="s">
        <v>68</v>
      </c>
      <c r="B44" s="1" t="s">
        <v>614</v>
      </c>
      <c r="D44" s="1" t="s">
        <v>652</v>
      </c>
      <c r="H44" s="1">
        <v>-70.66</v>
      </c>
      <c r="I44" s="1">
        <v>42.61</v>
      </c>
      <c r="J44" s="1">
        <f>HYPERLINK("https://tidesandcurrents.noaa.gov/stationhome.html?id=8441841", "8441841")</f>
        <v>0</v>
      </c>
      <c r="K44" s="1" t="s">
        <v>860</v>
      </c>
      <c r="L44" s="1" t="s">
        <v>866</v>
      </c>
      <c r="M44" s="1">
        <v>5102912</v>
      </c>
      <c r="N44" s="1">
        <v>0</v>
      </c>
      <c r="O44" s="1" t="s">
        <v>869</v>
      </c>
      <c r="P44" s="1" t="s">
        <v>874</v>
      </c>
      <c r="Q44" s="1">
        <v>4.936</v>
      </c>
      <c r="R44" s="1">
        <v>-4.634</v>
      </c>
      <c r="S44" s="2">
        <f>HYPERLINK("https://vdatum.noaa.gov/vdatumweb/api/convert?s_x=-70.66&amp;s_y=42.61&amp;s_z=0.0&amp;region=contiguous&amp;s_h_frame=NAD83_2011&amp;s_coor=geo&amp;s_v_frame=NAVD88&amp;s_v_unit=us_ft&amp;t_h_frame=NAD83_2011&amp;t_coor=geo&amp;t_v_frame=MLLW&amp;t_v_unit=us_ft", "NAVD88 to MLLW")</f>
        <v>0</v>
      </c>
      <c r="T44" s="2">
        <f>HYPERLINK("https://vdatum.noaa.gov/vdatumweb/api/convert?s_x=-70.66&amp;s_y=42.61&amp;s_z=0.0&amp;region=contiguous&amp;s_h_frame=NAD83_2011&amp;s_coor=geo&amp;s_v_frame=NAVD88&amp;s_v_unit=us_ft&amp;t_h_frame=NAD83_2011&amp;t_coor=geo&amp;t_v_frame=MHHW&amp;t_v_unit=us_ft", "NAVD88 to MHHW")</f>
        <v>0</v>
      </c>
    </row>
    <row r="45" spans="1:20">
      <c r="A45" s="1" t="s">
        <v>69</v>
      </c>
      <c r="B45" s="1" t="s">
        <v>614</v>
      </c>
      <c r="C45" s="1" t="s">
        <v>646</v>
      </c>
      <c r="D45" s="1" t="s">
        <v>652</v>
      </c>
      <c r="E45" s="1" t="s">
        <v>679</v>
      </c>
      <c r="F45" s="1" t="s">
        <v>834</v>
      </c>
      <c r="G45" s="1" t="s">
        <v>854</v>
      </c>
      <c r="H45" s="1">
        <v>-71.0767</v>
      </c>
      <c r="I45" s="1">
        <v>42.395</v>
      </c>
      <c r="J45" s="1">
        <f>HYPERLINK("https://tidesandcurrents.noaa.gov/stationhome.html?id=8443662", "8443662")</f>
        <v>0</v>
      </c>
      <c r="K45" s="1" t="s">
        <v>861</v>
      </c>
      <c r="L45" s="1" t="s">
        <v>866</v>
      </c>
      <c r="M45" s="1">
        <v>2818784</v>
      </c>
      <c r="N45" s="1">
        <v>-0.093</v>
      </c>
      <c r="O45" s="1" t="s">
        <v>869</v>
      </c>
      <c r="P45" s="1" t="s">
        <v>874</v>
      </c>
      <c r="Q45" s="1">
        <v>5.547</v>
      </c>
      <c r="R45" s="1">
        <v>-4.786</v>
      </c>
      <c r="S45" s="2">
        <f>HYPERLINK("https://vdatum.noaa.gov/vdatumweb/api/convert?s_x=-71.0767&amp;s_y=42.395&amp;s_z=0.0&amp;region=contiguous&amp;s_h_frame=NAD83_2011&amp;s_coor=geo&amp;s_v_frame=NAVD88&amp;s_v_unit=us_ft&amp;t_h_frame=NAD83_2011&amp;t_coor=geo&amp;t_v_frame=MLLW&amp;t_v_unit=us_ft", "NAVD88 to MLLW")</f>
        <v>0</v>
      </c>
      <c r="T45" s="2">
        <f>HYPERLINK("https://vdatum.noaa.gov/vdatumweb/api/convert?s_x=-71.0767&amp;s_y=42.395&amp;s_z=0.0&amp;region=contiguous&amp;s_h_frame=NAD83_2011&amp;s_coor=geo&amp;s_v_frame=NAVD88&amp;s_v_unit=us_ft&amp;t_h_frame=NAD83_2011&amp;t_coor=geo&amp;t_v_frame=MHHW&amp;t_v_unit=us_ft", "NAVD88 to MHHW")</f>
        <v>0</v>
      </c>
    </row>
    <row r="46" spans="1:20">
      <c r="A46" s="1" t="s">
        <v>70</v>
      </c>
      <c r="B46" s="1" t="s">
        <v>614</v>
      </c>
      <c r="D46" s="1" t="s">
        <v>652</v>
      </c>
      <c r="H46" s="1">
        <v>-71.05029999999999</v>
      </c>
      <c r="I46" s="1">
        <v>42.3539</v>
      </c>
      <c r="J46" s="1">
        <f>HYPERLINK("https://tidesandcurrents.noaa.gov/stationhome.html?id=8443970", "8443970")</f>
        <v>0</v>
      </c>
      <c r="K46" s="1" t="s">
        <v>860</v>
      </c>
      <c r="L46" s="1" t="s">
        <v>866</v>
      </c>
      <c r="M46" s="1">
        <v>4441938</v>
      </c>
      <c r="N46" s="1">
        <v>0</v>
      </c>
      <c r="O46" s="1" t="s">
        <v>869</v>
      </c>
      <c r="P46" s="1" t="s">
        <v>874</v>
      </c>
      <c r="Q46" s="1">
        <v>5.508</v>
      </c>
      <c r="R46" s="1">
        <v>-4.762</v>
      </c>
      <c r="S46" s="2">
        <f>HYPERLINK("https://vdatum.noaa.gov/vdatumweb/api/convert?s_x=-71.0503&amp;s_y=42.3539&amp;s_z=0.0&amp;region=contiguous&amp;s_h_frame=NAD83_2011&amp;s_coor=geo&amp;s_v_frame=NAVD88&amp;s_v_unit=us_ft&amp;t_h_frame=NAD83_2011&amp;t_coor=geo&amp;t_v_frame=MLLW&amp;t_v_unit=us_ft", "NAVD88 to MLLW")</f>
        <v>0</v>
      </c>
      <c r="T46" s="2">
        <f>HYPERLINK("https://vdatum.noaa.gov/vdatumweb/api/convert?s_x=-71.0503&amp;s_y=42.3539&amp;s_z=0.0&amp;region=contiguous&amp;s_h_frame=NAD83_2011&amp;s_coor=geo&amp;s_v_frame=NAVD88&amp;s_v_unit=us_ft&amp;t_h_frame=NAD83_2011&amp;t_coor=geo&amp;t_v_frame=MHHW&amp;t_v_unit=us_ft", "NAVD88 to MHHW")</f>
        <v>0</v>
      </c>
    </row>
    <row r="47" spans="1:20">
      <c r="A47" s="1" t="s">
        <v>71</v>
      </c>
      <c r="B47" s="1" t="s">
        <v>614</v>
      </c>
      <c r="C47" s="1" t="s">
        <v>646</v>
      </c>
      <c r="D47" s="1" t="s">
        <v>652</v>
      </c>
      <c r="E47" s="1" t="s">
        <v>680</v>
      </c>
      <c r="F47" s="1" t="s">
        <v>834</v>
      </c>
      <c r="G47" s="1" t="s">
        <v>854</v>
      </c>
      <c r="H47" s="1">
        <v>-70.72669999999999</v>
      </c>
      <c r="I47" s="1">
        <v>42.2017</v>
      </c>
      <c r="J47" s="1">
        <f>HYPERLINK("https://tidesandcurrents.noaa.gov/stationhome.html?id=8445138", "8445138")</f>
        <v>0</v>
      </c>
      <c r="K47" s="1" t="s">
        <v>860</v>
      </c>
      <c r="L47" s="1" t="s">
        <v>866</v>
      </c>
      <c r="M47" s="1">
        <v>3359748</v>
      </c>
      <c r="N47" s="1">
        <v>-0.153</v>
      </c>
      <c r="O47" s="1" t="s">
        <v>869</v>
      </c>
      <c r="P47" s="1" t="s">
        <v>874</v>
      </c>
      <c r="Q47" s="1">
        <v>5.404</v>
      </c>
      <c r="R47" s="1">
        <v>-4.339</v>
      </c>
      <c r="S47" s="2">
        <f>HYPERLINK("https://vdatum.noaa.gov/vdatumweb/api/convert?s_x=-70.7267&amp;s_y=42.2017&amp;s_z=0.0&amp;region=contiguous&amp;s_h_frame=NAD83_2011&amp;s_coor=geo&amp;s_v_frame=NAVD88&amp;s_v_unit=us_ft&amp;t_h_frame=NAD83_2011&amp;t_coor=geo&amp;t_v_frame=MLLW&amp;t_v_unit=us_ft", "NAVD88 to MLLW")</f>
        <v>0</v>
      </c>
      <c r="T47" s="2">
        <f>HYPERLINK("https://vdatum.noaa.gov/vdatumweb/api/convert?s_x=-70.7267&amp;s_y=42.2017&amp;s_z=0.0&amp;region=contiguous&amp;s_h_frame=NAD83_2011&amp;s_coor=geo&amp;s_v_frame=NAVD88&amp;s_v_unit=us_ft&amp;t_h_frame=NAD83_2011&amp;t_coor=geo&amp;t_v_frame=MHHW&amp;t_v_unit=us_ft", "NAVD88 to MHHW")</f>
        <v>0</v>
      </c>
    </row>
    <row r="48" spans="1:20">
      <c r="A48" s="1" t="s">
        <v>72</v>
      </c>
      <c r="B48" s="1" t="s">
        <v>614</v>
      </c>
      <c r="C48" s="1" t="s">
        <v>646</v>
      </c>
      <c r="D48" s="1" t="s">
        <v>652</v>
      </c>
      <c r="H48" s="1">
        <v>-70.18219999999999</v>
      </c>
      <c r="I48" s="1">
        <v>42.04959</v>
      </c>
      <c r="J48" s="1">
        <f>HYPERLINK("https://tidesandcurrents.noaa.gov/stationhome.html?id=8446121", "8446121")</f>
        <v>0</v>
      </c>
      <c r="K48" s="1" t="s">
        <v>860</v>
      </c>
      <c r="L48" s="1" t="s">
        <v>866</v>
      </c>
      <c r="M48" s="1">
        <v>4581194</v>
      </c>
      <c r="N48" s="1">
        <v>-0.131</v>
      </c>
      <c r="O48" s="1" t="s">
        <v>869</v>
      </c>
      <c r="P48" s="1" t="s">
        <v>874</v>
      </c>
      <c r="Q48" s="1">
        <v>5.463</v>
      </c>
      <c r="R48" s="1">
        <v>-4.616</v>
      </c>
      <c r="S48" s="2">
        <f>HYPERLINK("https://vdatum.noaa.gov/vdatumweb/api/convert?s_x=-70.1822&amp;s_y=42.04959&amp;s_z=0.0&amp;region=contiguous&amp;s_h_frame=NAD83_2011&amp;s_coor=geo&amp;s_v_frame=NAVD88&amp;s_v_unit=us_ft&amp;t_h_frame=NAD83_2011&amp;t_coor=geo&amp;t_v_frame=MLLW&amp;t_v_unit=us_ft", "NAVD88 to MLLW")</f>
        <v>0</v>
      </c>
      <c r="T48" s="2">
        <f>HYPERLINK("https://vdatum.noaa.gov/vdatumweb/api/convert?s_x=-70.1822&amp;s_y=42.04959&amp;s_z=0.0&amp;region=contiguous&amp;s_h_frame=NAD83_2011&amp;s_coor=geo&amp;s_v_frame=NAVD88&amp;s_v_unit=us_ft&amp;t_h_frame=NAD83_2011&amp;t_coor=geo&amp;t_v_frame=MHHW&amp;t_v_unit=us_ft", "NAVD88 to MHHW")</f>
        <v>0</v>
      </c>
    </row>
    <row r="49" spans="1:20">
      <c r="A49" s="1" t="s">
        <v>73</v>
      </c>
      <c r="B49" s="1" t="s">
        <v>614</v>
      </c>
      <c r="C49" s="1" t="s">
        <v>646</v>
      </c>
      <c r="D49" s="1" t="s">
        <v>652</v>
      </c>
      <c r="E49" s="1" t="s">
        <v>681</v>
      </c>
      <c r="F49" s="1" t="s">
        <v>834</v>
      </c>
      <c r="G49" s="1" t="s">
        <v>854</v>
      </c>
      <c r="H49" s="1">
        <v>-70.155</v>
      </c>
      <c r="I49" s="1">
        <v>41.7517</v>
      </c>
      <c r="J49" s="1">
        <f>HYPERLINK("https://tidesandcurrents.noaa.gov/stationhome.html?id=8447241", "8447241")</f>
        <v>0</v>
      </c>
      <c r="K49" s="1" t="s">
        <v>860</v>
      </c>
      <c r="L49" s="1" t="s">
        <v>866</v>
      </c>
      <c r="M49" s="1">
        <v>4302206</v>
      </c>
      <c r="N49" s="1">
        <v>-0.165</v>
      </c>
      <c r="O49" s="1" t="s">
        <v>869</v>
      </c>
      <c r="P49" s="1" t="s">
        <v>874</v>
      </c>
      <c r="Q49" s="1">
        <v>5.773</v>
      </c>
      <c r="R49" s="1">
        <v>-4.693</v>
      </c>
      <c r="S49" s="2">
        <f>HYPERLINK("https://vdatum.noaa.gov/vdatumweb/api/convert?s_x=-70.155&amp;s_y=41.7517&amp;s_z=0.0&amp;region=contiguous&amp;s_h_frame=NAD83_2011&amp;s_coor=geo&amp;s_v_frame=NAVD88&amp;s_v_unit=us_ft&amp;t_h_frame=NAD83_2011&amp;t_coor=geo&amp;t_v_frame=MLLW&amp;t_v_unit=us_ft", "NAVD88 to MLLW")</f>
        <v>0</v>
      </c>
      <c r="T49" s="2">
        <f>HYPERLINK("https://vdatum.noaa.gov/vdatumweb/api/convert?s_x=-70.155&amp;s_y=41.7517&amp;s_z=0.0&amp;region=contiguous&amp;s_h_frame=NAD83_2011&amp;s_coor=geo&amp;s_v_frame=NAVD88&amp;s_v_unit=us_ft&amp;t_h_frame=NAD83_2011&amp;t_coor=geo&amp;t_v_frame=MHHW&amp;t_v_unit=us_ft", "NAVD88 to MHHW")</f>
        <v>0</v>
      </c>
    </row>
    <row r="50" spans="1:20">
      <c r="A50" s="1" t="s">
        <v>74</v>
      </c>
      <c r="B50" s="1" t="s">
        <v>614</v>
      </c>
      <c r="D50" s="1" t="s">
        <v>652</v>
      </c>
      <c r="E50" s="1" t="s">
        <v>681</v>
      </c>
      <c r="F50" s="1" t="s">
        <v>834</v>
      </c>
      <c r="G50" s="1" t="s">
        <v>854</v>
      </c>
      <c r="H50" s="1">
        <v>-70.5933</v>
      </c>
      <c r="I50" s="1">
        <v>41.745</v>
      </c>
      <c r="J50" s="1">
        <f>HYPERLINK("https://tidesandcurrents.noaa.gov/stationhome.html?id=8447259", "8447259")</f>
        <v>0</v>
      </c>
      <c r="K50" s="1" t="s">
        <v>861</v>
      </c>
      <c r="L50" s="1" t="s">
        <v>866</v>
      </c>
      <c r="M50" s="1">
        <v>4582291</v>
      </c>
      <c r="N50" s="1">
        <v>-0.174</v>
      </c>
      <c r="O50" s="1" t="s">
        <v>869</v>
      </c>
      <c r="P50" s="1" t="s">
        <v>874</v>
      </c>
      <c r="Q50" s="1">
        <v>3.064</v>
      </c>
      <c r="R50" s="1">
        <v>-1.891</v>
      </c>
      <c r="S50" s="2">
        <f>HYPERLINK("https://vdatum.noaa.gov/vdatumweb/api/convert?s_x=-70.5933&amp;s_y=41.745&amp;s_z=0.0&amp;region=contiguous&amp;s_h_frame=NAD83_2011&amp;s_coor=geo&amp;s_v_frame=NAVD88&amp;s_v_unit=us_ft&amp;t_h_frame=NAD83_2011&amp;t_coor=geo&amp;t_v_frame=MLLW&amp;t_v_unit=us_ft", "NAVD88 to MLLW")</f>
        <v>0</v>
      </c>
      <c r="T50" s="2">
        <f>HYPERLINK("https://vdatum.noaa.gov/vdatumweb/api/convert?s_x=-70.5933&amp;s_y=41.745&amp;s_z=0.0&amp;region=contiguous&amp;s_h_frame=NAD83_2011&amp;s_coor=geo&amp;s_v_frame=NAVD88&amp;s_v_unit=us_ft&amp;t_h_frame=NAD83_2011&amp;t_coor=geo&amp;t_v_frame=MHHW&amp;t_v_unit=us_ft", "NAVD88 to MHHW")</f>
        <v>0</v>
      </c>
    </row>
    <row r="51" spans="1:20">
      <c r="A51" s="1" t="s">
        <v>75</v>
      </c>
      <c r="B51" s="1" t="s">
        <v>614</v>
      </c>
      <c r="C51" s="1" t="s">
        <v>646</v>
      </c>
      <c r="D51" s="1" t="s">
        <v>652</v>
      </c>
      <c r="E51" s="1" t="s">
        <v>682</v>
      </c>
      <c r="F51" s="1" t="s">
        <v>834</v>
      </c>
      <c r="G51" s="1" t="s">
        <v>854</v>
      </c>
      <c r="H51" s="1">
        <v>-71.1641</v>
      </c>
      <c r="I51" s="1">
        <v>41.7043</v>
      </c>
      <c r="J51" s="1">
        <f>HYPERLINK("https://tidesandcurrents.noaa.gov/stationhome.html?id=8447386", "8447386")</f>
        <v>0</v>
      </c>
      <c r="K51" s="1" t="s">
        <v>860</v>
      </c>
      <c r="L51" s="1" t="s">
        <v>866</v>
      </c>
      <c r="M51" s="1">
        <v>2447756</v>
      </c>
      <c r="N51" s="1">
        <v>0</v>
      </c>
      <c r="O51" s="1" t="s">
        <v>869</v>
      </c>
      <c r="P51" s="1" t="s">
        <v>874</v>
      </c>
      <c r="Q51" s="1">
        <v>2.424</v>
      </c>
      <c r="R51" s="1">
        <v>-2.35</v>
      </c>
      <c r="S51" s="2">
        <f>HYPERLINK("https://vdatum.noaa.gov/vdatumweb/api/convert?s_x=-71.1641&amp;s_y=41.7043&amp;s_z=0.0&amp;region=contiguous&amp;s_h_frame=NAD83_2011&amp;s_coor=geo&amp;s_v_frame=NAVD88&amp;s_v_unit=us_ft&amp;t_h_frame=NAD83_2011&amp;t_coor=geo&amp;t_v_frame=MLLW&amp;t_v_unit=us_ft", "NAVD88 to MLLW")</f>
        <v>0</v>
      </c>
      <c r="T51" s="2">
        <f>HYPERLINK("https://vdatum.noaa.gov/vdatumweb/api/convert?s_x=-71.1641&amp;s_y=41.7043&amp;s_z=0.0&amp;region=contiguous&amp;s_h_frame=NAD83_2011&amp;s_coor=geo&amp;s_v_frame=NAVD88&amp;s_v_unit=us_ft&amp;t_h_frame=NAD83_2011&amp;t_coor=geo&amp;t_v_frame=MHHW&amp;t_v_unit=us_ft", "NAVD88 to MHHW")</f>
        <v>0</v>
      </c>
    </row>
    <row r="52" spans="1:20">
      <c r="A52" s="1" t="s">
        <v>76</v>
      </c>
      <c r="B52" s="1" t="s">
        <v>614</v>
      </c>
      <c r="C52" s="1" t="s">
        <v>646</v>
      </c>
      <c r="D52" s="1" t="s">
        <v>652</v>
      </c>
      <c r="H52" s="1">
        <v>-69.9508</v>
      </c>
      <c r="I52" s="1">
        <v>41.68806</v>
      </c>
      <c r="J52" s="1">
        <f>HYPERLINK("https://tidesandcurrents.noaa.gov/stationhome.html?id=8447435", "8447435")</f>
        <v>0</v>
      </c>
      <c r="K52" s="1" t="s">
        <v>860</v>
      </c>
      <c r="L52" s="1" t="s">
        <v>866</v>
      </c>
      <c r="M52" s="1">
        <v>4582914</v>
      </c>
      <c r="N52" s="1">
        <v>0</v>
      </c>
      <c r="O52" s="1" t="s">
        <v>869</v>
      </c>
      <c r="P52" s="1" t="s">
        <v>874</v>
      </c>
      <c r="Q52" s="1">
        <v>3.372</v>
      </c>
      <c r="R52" s="1">
        <v>-3.102</v>
      </c>
      <c r="S52" s="2">
        <f>HYPERLINK("https://vdatum.noaa.gov/vdatumweb/api/convert?s_x=-69.9508&amp;s_y=41.68806&amp;s_z=0.0&amp;region=contiguous&amp;s_h_frame=NAD83_2011&amp;s_coor=geo&amp;s_v_frame=NAVD88&amp;s_v_unit=us_ft&amp;t_h_frame=NAD83_2011&amp;t_coor=geo&amp;t_v_frame=MLLW&amp;t_v_unit=us_ft", "NAVD88 to MLLW")</f>
        <v>0</v>
      </c>
      <c r="T52" s="2">
        <f>HYPERLINK("https://vdatum.noaa.gov/vdatumweb/api/convert?s_x=-69.9508&amp;s_y=41.68806&amp;s_z=0.0&amp;region=contiguous&amp;s_h_frame=NAD83_2011&amp;s_coor=geo&amp;s_v_frame=NAVD88&amp;s_v_unit=us_ft&amp;t_h_frame=NAD83_2011&amp;t_coor=geo&amp;t_v_frame=MHHW&amp;t_v_unit=us_ft", "NAVD88 to MHHW")</f>
        <v>0</v>
      </c>
    </row>
    <row r="53" spans="1:20">
      <c r="A53" s="1" t="s">
        <v>77</v>
      </c>
      <c r="B53" s="1" t="s">
        <v>614</v>
      </c>
      <c r="D53" s="1" t="s">
        <v>652</v>
      </c>
      <c r="E53" s="1" t="s">
        <v>682</v>
      </c>
      <c r="F53" s="1" t="s">
        <v>834</v>
      </c>
      <c r="G53" s="1" t="s">
        <v>854</v>
      </c>
      <c r="H53" s="1">
        <v>-70.90000000000001</v>
      </c>
      <c r="I53" s="1">
        <v>41.5933</v>
      </c>
      <c r="J53" s="1">
        <f>HYPERLINK("https://tidesandcurrents.noaa.gov/stationhome.html?id=8447712", "8447712")</f>
        <v>0</v>
      </c>
      <c r="K53" s="1" t="s">
        <v>860</v>
      </c>
      <c r="L53" s="1" t="s">
        <v>866</v>
      </c>
      <c r="M53" s="1">
        <v>5583331</v>
      </c>
      <c r="N53" s="1">
        <v>0</v>
      </c>
      <c r="O53" s="1" t="s">
        <v>869</v>
      </c>
      <c r="P53" s="1" t="s">
        <v>874</v>
      </c>
      <c r="Q53" s="1">
        <v>1.965</v>
      </c>
      <c r="R53" s="1">
        <v>-1.99</v>
      </c>
      <c r="S53" s="2">
        <f>HYPERLINK("https://vdatum.noaa.gov/vdatumweb/api/convert?s_x=-70.9&amp;s_y=41.5933&amp;s_z=0.0&amp;region=contiguous&amp;s_h_frame=NAD83_2011&amp;s_coor=geo&amp;s_v_frame=NAVD88&amp;s_v_unit=us_ft&amp;t_h_frame=NAD83_2011&amp;t_coor=geo&amp;t_v_frame=MLLW&amp;t_v_unit=us_ft", "NAVD88 to MLLW")</f>
        <v>0</v>
      </c>
      <c r="T53" s="2">
        <f>HYPERLINK("https://vdatum.noaa.gov/vdatumweb/api/convert?s_x=-70.9&amp;s_y=41.5933&amp;s_z=0.0&amp;region=contiguous&amp;s_h_frame=NAD83_2011&amp;s_coor=geo&amp;s_v_frame=NAVD88&amp;s_v_unit=us_ft&amp;t_h_frame=NAD83_2011&amp;t_coor=geo&amp;t_v_frame=MHHW&amp;t_v_unit=us_ft", "NAVD88 to MHHW")</f>
        <v>0</v>
      </c>
    </row>
    <row r="54" spans="1:20">
      <c r="A54" s="1" t="s">
        <v>78</v>
      </c>
      <c r="B54" s="1" t="s">
        <v>614</v>
      </c>
      <c r="C54" s="1" t="s">
        <v>646</v>
      </c>
      <c r="D54" s="1" t="s">
        <v>652</v>
      </c>
      <c r="H54" s="1">
        <v>-70.46333</v>
      </c>
      <c r="I54" s="1">
        <v>41.586666</v>
      </c>
      <c r="J54" s="1">
        <f>HYPERLINK("https://tidesandcurrents.noaa.gov/stationhome.html?id=8447742", "8447742")</f>
        <v>0</v>
      </c>
      <c r="K54" s="1" t="s">
        <v>862</v>
      </c>
      <c r="L54" s="1" t="s">
        <v>866</v>
      </c>
      <c r="M54" s="1">
        <v>7417905</v>
      </c>
      <c r="N54" s="1">
        <v>0</v>
      </c>
      <c r="O54" s="1" t="s">
        <v>869</v>
      </c>
      <c r="P54" s="1" t="s">
        <v>874</v>
      </c>
      <c r="Q54" s="1">
        <v>1.881</v>
      </c>
      <c r="R54" s="1">
        <v>-1.293</v>
      </c>
      <c r="S54" s="2">
        <f>HYPERLINK("https://vdatum.noaa.gov/vdatumweb/api/convert?s_x=-70.46333&amp;s_y=41.586666&amp;s_z=0.0&amp;region=contiguous&amp;s_h_frame=NAD83_2011&amp;s_coor=geo&amp;s_v_frame=NAVD88&amp;s_v_unit=us_ft&amp;t_h_frame=NAD83_2011&amp;t_coor=geo&amp;t_v_frame=MLLW&amp;t_v_unit=us_ft", "NAVD88 to MLLW")</f>
        <v>0</v>
      </c>
      <c r="T54" s="2">
        <f>HYPERLINK("https://vdatum.noaa.gov/vdatumweb/api/convert?s_x=-70.46333&amp;s_y=41.586666&amp;s_z=0.0&amp;region=contiguous&amp;s_h_frame=NAD83_2011&amp;s_coor=geo&amp;s_v_frame=NAVD88&amp;s_v_unit=us_ft&amp;t_h_frame=NAD83_2011&amp;t_coor=geo&amp;t_v_frame=MHHW&amp;t_v_unit=us_ft", "NAVD88 to MHHW")</f>
        <v>0</v>
      </c>
    </row>
    <row r="55" spans="1:20">
      <c r="A55" s="1" t="s">
        <v>79</v>
      </c>
      <c r="B55" s="1" t="s">
        <v>614</v>
      </c>
      <c r="C55" s="1" t="s">
        <v>646</v>
      </c>
      <c r="D55" s="1" t="s">
        <v>652</v>
      </c>
      <c r="H55" s="1">
        <v>-70.6711</v>
      </c>
      <c r="I55" s="1">
        <v>41.52361</v>
      </c>
      <c r="J55" s="1">
        <f>HYPERLINK("https://tidesandcurrents.noaa.gov/stationhome.html?id=8447930", "8447930")</f>
        <v>0</v>
      </c>
      <c r="K55" s="1" t="s">
        <v>860</v>
      </c>
      <c r="L55" s="1" t="s">
        <v>866</v>
      </c>
      <c r="M55" s="1">
        <v>7417219</v>
      </c>
      <c r="N55" s="1">
        <v>0</v>
      </c>
      <c r="O55" s="1" t="s">
        <v>869</v>
      </c>
      <c r="P55" s="1" t="s">
        <v>874</v>
      </c>
      <c r="Q55" s="1">
        <v>1.359</v>
      </c>
      <c r="R55" s="1">
        <v>-0.848</v>
      </c>
      <c r="S55" s="2">
        <f>HYPERLINK("https://vdatum.noaa.gov/vdatumweb/api/convert?s_x=-70.6711&amp;s_y=41.52361&amp;s_z=0.0&amp;region=contiguous&amp;s_h_frame=NAD83_2011&amp;s_coor=geo&amp;s_v_frame=NAVD88&amp;s_v_unit=us_ft&amp;t_h_frame=NAD83_2011&amp;t_coor=geo&amp;t_v_frame=MLLW&amp;t_v_unit=us_ft", "NAVD88 to MLLW")</f>
        <v>0</v>
      </c>
      <c r="T55" s="2">
        <f>HYPERLINK("https://vdatum.noaa.gov/vdatumweb/api/convert?s_x=-70.6711&amp;s_y=41.52361&amp;s_z=0.0&amp;region=contiguous&amp;s_h_frame=NAD83_2011&amp;s_coor=geo&amp;s_v_frame=NAVD88&amp;s_v_unit=us_ft&amp;t_h_frame=NAD83_2011&amp;t_coor=geo&amp;t_v_frame=MHHW&amp;t_v_unit=us_ft", "NAVD88 to MHHW")</f>
        <v>0</v>
      </c>
    </row>
    <row r="56" spans="1:20">
      <c r="A56" s="1" t="s">
        <v>80</v>
      </c>
      <c r="B56" s="1" t="s">
        <v>614</v>
      </c>
      <c r="D56" s="1" t="s">
        <v>652</v>
      </c>
      <c r="E56" s="1" t="s">
        <v>683</v>
      </c>
      <c r="F56" s="1" t="s">
        <v>835</v>
      </c>
      <c r="G56" s="1" t="s">
        <v>854</v>
      </c>
      <c r="H56" s="1">
        <v>-71.3261</v>
      </c>
      <c r="I56" s="1">
        <v>41.50433</v>
      </c>
      <c r="J56" s="1">
        <f>HYPERLINK("https://tidesandcurrents.noaa.gov/stationhome.html?id=8452660", "8452660")</f>
        <v>0</v>
      </c>
      <c r="K56" s="1" t="s">
        <v>860</v>
      </c>
      <c r="L56" s="1" t="s">
        <v>866</v>
      </c>
      <c r="M56" s="1">
        <v>6592594</v>
      </c>
      <c r="N56" s="1">
        <v>0</v>
      </c>
      <c r="O56" s="1" t="s">
        <v>869</v>
      </c>
      <c r="P56" s="1" t="s">
        <v>874</v>
      </c>
      <c r="Q56" s="1">
        <v>2.038</v>
      </c>
      <c r="R56" s="1">
        <v>-1.806</v>
      </c>
      <c r="S56" s="2">
        <f>HYPERLINK("https://vdatum.noaa.gov/vdatumweb/api/convert?s_x=-71.3261&amp;s_y=41.50433&amp;s_z=0.0&amp;region=contiguous&amp;s_h_frame=NAD83_2011&amp;s_coor=geo&amp;s_v_frame=NAVD88&amp;s_v_unit=us_ft&amp;t_h_frame=NAD83_2011&amp;t_coor=geo&amp;t_v_frame=MLLW&amp;t_v_unit=us_ft", "NAVD88 to MLLW")</f>
        <v>0</v>
      </c>
      <c r="T56" s="2">
        <f>HYPERLINK("https://vdatum.noaa.gov/vdatumweb/api/convert?s_x=-71.3261&amp;s_y=41.50433&amp;s_z=0.0&amp;region=contiguous&amp;s_h_frame=NAD83_2011&amp;s_coor=geo&amp;s_v_frame=NAVD88&amp;s_v_unit=us_ft&amp;t_h_frame=NAD83_2011&amp;t_coor=geo&amp;t_v_frame=MHHW&amp;t_v_unit=us_ft", "NAVD88 to MHHW")</f>
        <v>0</v>
      </c>
    </row>
    <row r="57" spans="1:20">
      <c r="A57" s="1" t="s">
        <v>81</v>
      </c>
      <c r="B57" s="1" t="s">
        <v>614</v>
      </c>
      <c r="D57" s="1" t="s">
        <v>652</v>
      </c>
      <c r="H57" s="1">
        <v>-71.3433</v>
      </c>
      <c r="I57" s="1">
        <v>41.7167</v>
      </c>
      <c r="J57" s="1">
        <f>HYPERLINK("https://tidesandcurrents.noaa.gov/stationhome.html?id=8452944", "8452944")</f>
        <v>0</v>
      </c>
      <c r="K57" s="1" t="s">
        <v>860</v>
      </c>
      <c r="L57" s="1" t="s">
        <v>866</v>
      </c>
      <c r="M57" s="1">
        <v>4851690</v>
      </c>
      <c r="N57" s="1">
        <v>-0.08599999999999999</v>
      </c>
      <c r="O57" s="1" t="s">
        <v>869</v>
      </c>
      <c r="P57" s="1" t="s">
        <v>874</v>
      </c>
      <c r="Q57" s="1">
        <v>2.392</v>
      </c>
      <c r="R57" s="1">
        <v>-2.197</v>
      </c>
      <c r="S57" s="2">
        <f>HYPERLINK("https://vdatum.noaa.gov/vdatumweb/api/convert?s_x=-71.3433&amp;s_y=41.7167&amp;s_z=0.0&amp;region=contiguous&amp;s_h_frame=NAD83_2011&amp;s_coor=geo&amp;s_v_frame=NAVD88&amp;s_v_unit=us_ft&amp;t_h_frame=NAD83_2011&amp;t_coor=geo&amp;t_v_frame=MLLW&amp;t_v_unit=us_ft", "NAVD88 to MLLW")</f>
        <v>0</v>
      </c>
      <c r="T57" s="2">
        <f>HYPERLINK("https://vdatum.noaa.gov/vdatumweb/api/convert?s_x=-71.3433&amp;s_y=41.7167&amp;s_z=0.0&amp;region=contiguous&amp;s_h_frame=NAD83_2011&amp;s_coor=geo&amp;s_v_frame=NAVD88&amp;s_v_unit=us_ft&amp;t_h_frame=NAD83_2011&amp;t_coor=geo&amp;t_v_frame=MHHW&amp;t_v_unit=us_ft", "NAVD88 to MHHW")</f>
        <v>0</v>
      </c>
    </row>
    <row r="58" spans="1:20">
      <c r="A58" s="1" t="s">
        <v>82</v>
      </c>
      <c r="B58" s="1" t="s">
        <v>614</v>
      </c>
      <c r="C58" s="1" t="s">
        <v>646</v>
      </c>
      <c r="D58" s="1" t="s">
        <v>652</v>
      </c>
      <c r="E58" s="1" t="s">
        <v>684</v>
      </c>
      <c r="F58" s="1" t="s">
        <v>835</v>
      </c>
      <c r="G58" s="1" t="s">
        <v>854</v>
      </c>
      <c r="H58" s="1">
        <v>-71.4012</v>
      </c>
      <c r="I58" s="1">
        <v>41.8071</v>
      </c>
      <c r="J58" s="1">
        <f>HYPERLINK("https://tidesandcurrents.noaa.gov/stationhome.html?id=8454000", "8454000")</f>
        <v>0</v>
      </c>
      <c r="K58" s="1" t="s">
        <v>860</v>
      </c>
      <c r="L58" s="1" t="s">
        <v>866</v>
      </c>
      <c r="M58" s="1">
        <v>2446534</v>
      </c>
      <c r="N58" s="1">
        <v>0</v>
      </c>
      <c r="O58" s="1" t="s">
        <v>869</v>
      </c>
      <c r="P58" s="1" t="s">
        <v>874</v>
      </c>
      <c r="Q58" s="1">
        <v>2.472</v>
      </c>
      <c r="R58" s="1">
        <v>-2.37</v>
      </c>
      <c r="S58" s="2">
        <f>HYPERLINK("https://vdatum.noaa.gov/vdatumweb/api/convert?s_x=-71.4012&amp;s_y=41.8071&amp;s_z=0.0&amp;region=contiguous&amp;s_h_frame=NAD83_2011&amp;s_coor=geo&amp;s_v_frame=NAVD88&amp;s_v_unit=us_ft&amp;t_h_frame=NAD83_2011&amp;t_coor=geo&amp;t_v_frame=MLLW&amp;t_v_unit=us_ft", "NAVD88 to MLLW")</f>
        <v>0</v>
      </c>
      <c r="T58" s="2">
        <f>HYPERLINK("https://vdatum.noaa.gov/vdatumweb/api/convert?s_x=-71.4012&amp;s_y=41.8071&amp;s_z=0.0&amp;region=contiguous&amp;s_h_frame=NAD83_2011&amp;s_coor=geo&amp;s_v_frame=NAVD88&amp;s_v_unit=us_ft&amp;t_h_frame=NAD83_2011&amp;t_coor=geo&amp;t_v_frame=MHHW&amp;t_v_unit=us_ft", "NAVD88 to MHHW")</f>
        <v>0</v>
      </c>
    </row>
    <row r="59" spans="1:20">
      <c r="A59" s="1" t="s">
        <v>83</v>
      </c>
      <c r="B59" s="1" t="s">
        <v>614</v>
      </c>
      <c r="D59" s="1" t="s">
        <v>652</v>
      </c>
      <c r="H59" s="1">
        <v>-71.41</v>
      </c>
      <c r="I59" s="1">
        <v>41.58694</v>
      </c>
      <c r="J59" s="1">
        <f>HYPERLINK("https://tidesandcurrents.noaa.gov/stationhome.html?id=8454049", "8454049")</f>
        <v>0</v>
      </c>
      <c r="K59" s="1" t="s">
        <v>860</v>
      </c>
      <c r="L59" s="1" t="s">
        <v>866</v>
      </c>
      <c r="M59" s="1">
        <v>3692179</v>
      </c>
      <c r="N59" s="1">
        <v>0</v>
      </c>
      <c r="O59" s="1" t="s">
        <v>869</v>
      </c>
      <c r="P59" s="1" t="s">
        <v>874</v>
      </c>
      <c r="Q59" s="1">
        <v>2.28</v>
      </c>
      <c r="R59" s="1">
        <v>-1.85</v>
      </c>
      <c r="S59" s="2">
        <f>HYPERLINK("https://vdatum.noaa.gov/vdatumweb/api/convert?s_x=-71.41&amp;s_y=41.58694&amp;s_z=0.0&amp;region=contiguous&amp;s_h_frame=NAD83_2011&amp;s_coor=geo&amp;s_v_frame=NAVD88&amp;s_v_unit=us_ft&amp;t_h_frame=NAD83_2011&amp;t_coor=geo&amp;t_v_frame=MLLW&amp;t_v_unit=us_ft", "NAVD88 to MLLW")</f>
        <v>0</v>
      </c>
      <c r="T59" s="2">
        <f>HYPERLINK("https://vdatum.noaa.gov/vdatumweb/api/convert?s_x=-71.41&amp;s_y=41.58694&amp;s_z=0.0&amp;region=contiguous&amp;s_h_frame=NAD83_2011&amp;s_coor=geo&amp;s_v_frame=NAVD88&amp;s_v_unit=us_ft&amp;t_h_frame=NAD83_2011&amp;t_coor=geo&amp;t_v_frame=MHHW&amp;t_v_unit=us_ft", "NAVD88 to MHHW")</f>
        <v>0</v>
      </c>
    </row>
    <row r="60" spans="1:20">
      <c r="A60" s="1" t="s">
        <v>84</v>
      </c>
      <c r="B60" s="1" t="s">
        <v>614</v>
      </c>
      <c r="D60" s="1" t="s">
        <v>652</v>
      </c>
      <c r="H60" s="1">
        <v>-71.86</v>
      </c>
      <c r="I60" s="1">
        <v>41.305</v>
      </c>
      <c r="J60" s="1">
        <f>HYPERLINK("https://tidesandcurrents.noaa.gov/stationhome.html?id=8458694", "8458694")</f>
        <v>0</v>
      </c>
      <c r="K60" s="1" t="s">
        <v>860</v>
      </c>
      <c r="L60" s="1" t="s">
        <v>866</v>
      </c>
      <c r="M60" s="1">
        <v>4011255</v>
      </c>
      <c r="N60" s="1">
        <v>0</v>
      </c>
      <c r="O60" s="1" t="s">
        <v>869</v>
      </c>
      <c r="P60" s="1" t="s">
        <v>874</v>
      </c>
      <c r="Q60" s="1">
        <v>1.801</v>
      </c>
      <c r="R60" s="1">
        <v>-1.202</v>
      </c>
      <c r="S60" s="2">
        <f>HYPERLINK("https://vdatum.noaa.gov/vdatumweb/api/convert?s_x=-71.86&amp;s_y=41.305&amp;s_z=0.0&amp;region=contiguous&amp;s_h_frame=NAD83_2011&amp;s_coor=geo&amp;s_v_frame=NAVD88&amp;s_v_unit=us_ft&amp;t_h_frame=NAD83_2011&amp;t_coor=geo&amp;t_v_frame=MLLW&amp;t_v_unit=us_ft", "NAVD88 to MLLW")</f>
        <v>0</v>
      </c>
      <c r="T60" s="2">
        <f>HYPERLINK("https://vdatum.noaa.gov/vdatumweb/api/convert?s_x=-71.86&amp;s_y=41.305&amp;s_z=0.0&amp;region=contiguous&amp;s_h_frame=NAD83_2011&amp;s_coor=geo&amp;s_v_frame=NAVD88&amp;s_v_unit=us_ft&amp;t_h_frame=NAD83_2011&amp;t_coor=geo&amp;t_v_frame=MHHW&amp;t_v_unit=us_ft", "NAVD88 to MHHW")</f>
        <v>0</v>
      </c>
    </row>
    <row r="61" spans="1:20">
      <c r="A61" s="1" t="s">
        <v>85</v>
      </c>
      <c r="B61" s="1" t="s">
        <v>614</v>
      </c>
      <c r="C61" s="1" t="s">
        <v>646</v>
      </c>
      <c r="D61" s="1" t="s">
        <v>652</v>
      </c>
      <c r="E61" s="1" t="s">
        <v>678</v>
      </c>
      <c r="F61" s="1" t="s">
        <v>834</v>
      </c>
      <c r="G61" s="1" t="s">
        <v>854</v>
      </c>
      <c r="H61" s="1">
        <v>-70.87283001</v>
      </c>
      <c r="I61" s="1">
        <v>42.8156381</v>
      </c>
      <c r="J61" s="1">
        <f>HYPERLINK("https://waterdata.usgs.gov/nwis/nwismap/?site_no=01100870&amp;agency_cd=USGS", "US01100870")</f>
        <v>0</v>
      </c>
      <c r="K61" s="1" t="s">
        <v>861</v>
      </c>
      <c r="L61" s="1" t="s">
        <v>867</v>
      </c>
      <c r="M61" s="1">
        <v>2421213</v>
      </c>
      <c r="N61" s="1">
        <v>0</v>
      </c>
      <c r="O61" s="1" t="s">
        <v>869</v>
      </c>
      <c r="P61" s="1" t="s">
        <v>874</v>
      </c>
      <c r="Q61" s="1">
        <v>4.219</v>
      </c>
      <c r="R61" s="1">
        <v>-4.539</v>
      </c>
      <c r="S61" s="2">
        <f>HYPERLINK("https://vdatum.noaa.gov/vdatumweb/api/convert?s_x=-70.87283001&amp;s_y=42.8156381&amp;s_z=0.0&amp;region=contiguous&amp;s_h_frame=NAD83_2011&amp;s_coor=geo&amp;s_v_frame=NAVD88&amp;s_v_unit=us_ft&amp;t_h_frame=NAD83_2011&amp;t_coor=geo&amp;t_v_frame=MLLW&amp;t_v_unit=us_ft", "NAVD88 to MLLW")</f>
        <v>0</v>
      </c>
      <c r="T61" s="2">
        <f>HYPERLINK("https://vdatum.noaa.gov/vdatumweb/api/convert?s_x=-70.87283001&amp;s_y=42.8156381&amp;s_z=0.0&amp;region=contiguous&amp;s_h_frame=NAD83_2011&amp;s_coor=geo&amp;s_v_frame=NAVD88&amp;s_v_unit=us_ft&amp;t_h_frame=NAD83_2011&amp;t_coor=geo&amp;t_v_frame=MHHW&amp;t_v_unit=us_ft", "NAVD88 to MHHW")</f>
        <v>0</v>
      </c>
    </row>
    <row r="62" spans="1:20">
      <c r="A62" s="1" t="s">
        <v>86</v>
      </c>
      <c r="B62" s="1" t="s">
        <v>614</v>
      </c>
      <c r="C62" s="1" t="s">
        <v>646</v>
      </c>
      <c r="D62" s="1" t="s">
        <v>652</v>
      </c>
      <c r="E62" s="1" t="s">
        <v>685</v>
      </c>
      <c r="F62" s="1" t="s">
        <v>835</v>
      </c>
      <c r="G62" s="1" t="s">
        <v>854</v>
      </c>
      <c r="H62" s="1">
        <v>-71.83312391</v>
      </c>
      <c r="I62" s="1">
        <v>41.38370219</v>
      </c>
      <c r="J62" s="1">
        <f>HYPERLINK("https://waterdata.usgs.gov/nwis/nwismap/?site_no=01118500&amp;agency_cd=USGS", "US01118500")</f>
        <v>0</v>
      </c>
      <c r="K62" s="1" t="s">
        <v>861</v>
      </c>
      <c r="L62" s="1" t="s">
        <v>867</v>
      </c>
      <c r="M62" s="1">
        <v>2233516</v>
      </c>
      <c r="N62" s="1">
        <v>-0.82</v>
      </c>
      <c r="O62" s="1" t="s">
        <v>869</v>
      </c>
      <c r="P62" s="1" t="s">
        <v>874</v>
      </c>
      <c r="Q62" s="1">
        <v>1.848</v>
      </c>
      <c r="R62" s="1">
        <v>-1.287</v>
      </c>
      <c r="S62" s="2">
        <f>HYPERLINK("https://vdatum.noaa.gov/vdatumweb/api/convert?s_x=-71.83312391&amp;s_y=41.38370219&amp;s_z=0.0&amp;region=contiguous&amp;s_h_frame=NAD83_2011&amp;s_coor=geo&amp;s_v_frame=NAVD88&amp;s_v_unit=us_ft&amp;t_h_frame=NAD83_2011&amp;t_coor=geo&amp;t_v_frame=MLLW&amp;t_v_unit=us_ft", "NAVD88 to MLLW")</f>
        <v>0</v>
      </c>
      <c r="T62" s="2">
        <f>HYPERLINK("https://vdatum.noaa.gov/vdatumweb/api/convert?s_x=-71.83312391&amp;s_y=41.38370219&amp;s_z=0.0&amp;region=contiguous&amp;s_h_frame=NAD83_2011&amp;s_coor=geo&amp;s_v_frame=NAVD88&amp;s_v_unit=us_ft&amp;t_h_frame=NAD83_2011&amp;t_coor=geo&amp;t_v_frame=MHHW&amp;t_v_unit=us_ft", "NAVD88 to MHHW")</f>
        <v>0</v>
      </c>
    </row>
    <row r="63" spans="1:20">
      <c r="A63" s="1" t="s">
        <v>87</v>
      </c>
      <c r="B63" s="1" t="s">
        <v>615</v>
      </c>
      <c r="D63" s="1" t="s">
        <v>652</v>
      </c>
      <c r="H63" s="1">
        <v>-66.9829</v>
      </c>
      <c r="I63" s="1">
        <v>44.9046</v>
      </c>
      <c r="J63" s="1">
        <f>HYPERLINK("https://tidesandcurrents.noaa.gov/stationhome.html?id=8410140", "8410140")</f>
        <v>0</v>
      </c>
      <c r="K63" s="1" t="s">
        <v>860</v>
      </c>
      <c r="L63" s="1" t="s">
        <v>866</v>
      </c>
      <c r="M63" s="1">
        <v>3513131</v>
      </c>
      <c r="N63" s="1">
        <v>0</v>
      </c>
      <c r="O63" s="1" t="s">
        <v>869</v>
      </c>
      <c r="P63" s="1" t="s">
        <v>874</v>
      </c>
      <c r="Q63" s="1">
        <v>9.933</v>
      </c>
      <c r="R63" s="1">
        <v>-9.333</v>
      </c>
      <c r="S63" s="2">
        <f>HYPERLINK("https://vdatum.noaa.gov/vdatumweb/api/convert?s_x=-66.9829&amp;s_y=44.9046&amp;s_z=0.0&amp;region=contiguous&amp;s_h_frame=NAD83_2011&amp;s_coor=geo&amp;s_v_frame=NAVD88&amp;s_v_unit=us_ft&amp;t_h_frame=NAD83_2011&amp;t_coor=geo&amp;t_v_frame=MLLW&amp;t_v_unit=us_ft", "NAVD88 to MLLW")</f>
        <v>0</v>
      </c>
      <c r="T63" s="2">
        <f>HYPERLINK("https://vdatum.noaa.gov/vdatumweb/api/convert?s_x=-66.9829&amp;s_y=44.9046&amp;s_z=0.0&amp;region=contiguous&amp;s_h_frame=NAD83_2011&amp;s_coor=geo&amp;s_v_frame=NAVD88&amp;s_v_unit=us_ft&amp;t_h_frame=NAD83_2011&amp;t_coor=geo&amp;t_v_frame=MHHW&amp;t_v_unit=us_ft", "NAVD88 to MHHW")</f>
        <v>0</v>
      </c>
    </row>
    <row r="64" spans="1:20">
      <c r="A64" s="1" t="s">
        <v>88</v>
      </c>
      <c r="B64" s="1" t="s">
        <v>615</v>
      </c>
      <c r="D64" s="1" t="s">
        <v>652</v>
      </c>
      <c r="E64" s="1" t="s">
        <v>685</v>
      </c>
      <c r="F64" s="1" t="s">
        <v>836</v>
      </c>
      <c r="G64" s="1" t="s">
        <v>854</v>
      </c>
      <c r="H64" s="1">
        <v>-67.1447</v>
      </c>
      <c r="I64" s="1">
        <v>45.1284</v>
      </c>
      <c r="J64" s="1">
        <f>HYPERLINK("https://tidesandcurrents.noaa.gov/stationhome.html?id=8410834", "8410834")</f>
        <v>0</v>
      </c>
      <c r="K64" s="1" t="s">
        <v>861</v>
      </c>
      <c r="L64" s="1" t="s">
        <v>866</v>
      </c>
      <c r="M64" s="1">
        <v>2212482</v>
      </c>
      <c r="N64" s="1">
        <v>-3.96</v>
      </c>
      <c r="O64" s="1" t="s">
        <v>869</v>
      </c>
      <c r="P64" s="1" t="s">
        <v>874</v>
      </c>
      <c r="Q64" s="1">
        <v>-999999</v>
      </c>
      <c r="R64" s="1">
        <v>-999999</v>
      </c>
      <c r="S64" s="2">
        <f>HYPERLINK("https://vdatum.noaa.gov/vdatumweb/api/convert?s_x=-67.1447&amp;s_y=45.1284&amp;s_z=0.0&amp;region=contiguous&amp;s_h_frame=NAD83_2011&amp;s_coor=geo&amp;s_v_frame=NAVD88&amp;s_v_unit=us_ft&amp;t_h_frame=NAD83_2011&amp;t_coor=geo&amp;t_v_frame=MLLW&amp;t_v_unit=us_ft", "Missing")</f>
        <v>0</v>
      </c>
      <c r="T64" s="2">
        <f>HYPERLINK("https://vdatum.noaa.gov/vdatumweb/api/convert?s_x=-67.1447&amp;s_y=45.1284&amp;s_z=0.0&amp;region=contiguous&amp;s_h_frame=NAD83_2011&amp;s_coor=geo&amp;s_v_frame=NAVD88&amp;s_v_unit=us_ft&amp;t_h_frame=NAD83_2011&amp;t_coor=geo&amp;t_v_frame=MHHW&amp;t_v_unit=us_ft", "Missing")</f>
        <v>0</v>
      </c>
    </row>
    <row r="65" spans="1:20">
      <c r="A65" s="1" t="s">
        <v>89</v>
      </c>
      <c r="B65" s="1" t="s">
        <v>615</v>
      </c>
      <c r="C65" s="1" t="s">
        <v>646</v>
      </c>
      <c r="D65" s="1" t="s">
        <v>652</v>
      </c>
      <c r="E65" s="1" t="s">
        <v>685</v>
      </c>
      <c r="F65" s="1" t="s">
        <v>836</v>
      </c>
      <c r="G65" s="1" t="s">
        <v>854</v>
      </c>
      <c r="H65" s="1">
        <v>-67.2047</v>
      </c>
      <c r="I65" s="1">
        <v>44.65703</v>
      </c>
      <c r="J65" s="1">
        <f>HYPERLINK("https://tidesandcurrents.noaa.gov/stationhome.html?id=8411060", "8411060")</f>
        <v>0</v>
      </c>
      <c r="K65" s="1" t="s">
        <v>860</v>
      </c>
      <c r="L65" s="1" t="s">
        <v>866</v>
      </c>
      <c r="M65" s="1">
        <v>2224322</v>
      </c>
      <c r="N65" s="1">
        <v>0</v>
      </c>
      <c r="O65" s="1" t="s">
        <v>869</v>
      </c>
      <c r="P65" s="1" t="s">
        <v>874</v>
      </c>
      <c r="Q65" s="1">
        <v>7.692</v>
      </c>
      <c r="R65" s="1">
        <v>-7.078</v>
      </c>
      <c r="S65" s="2">
        <f>HYPERLINK("https://vdatum.noaa.gov/vdatumweb/api/convert?s_x=-67.2047&amp;s_y=44.65703&amp;s_z=0.0&amp;region=contiguous&amp;s_h_frame=NAD83_2011&amp;s_coor=geo&amp;s_v_frame=NAVD88&amp;s_v_unit=us_ft&amp;t_h_frame=NAD83_2011&amp;t_coor=geo&amp;t_v_frame=MLLW&amp;t_v_unit=us_ft", "NAVD88 to MLLW")</f>
        <v>0</v>
      </c>
      <c r="T65" s="2">
        <f>HYPERLINK("https://vdatum.noaa.gov/vdatumweb/api/convert?s_x=-67.2047&amp;s_y=44.65703&amp;s_z=0.0&amp;region=contiguous&amp;s_h_frame=NAD83_2011&amp;s_coor=geo&amp;s_v_frame=NAVD88&amp;s_v_unit=us_ft&amp;t_h_frame=NAD83_2011&amp;t_coor=geo&amp;t_v_frame=MHHW&amp;t_v_unit=us_ft", "NAVD88 to MHHW")</f>
        <v>0</v>
      </c>
    </row>
    <row r="66" spans="1:20">
      <c r="A66" s="1" t="s">
        <v>90</v>
      </c>
      <c r="B66" s="1" t="s">
        <v>615</v>
      </c>
      <c r="C66" s="1" t="s">
        <v>646</v>
      </c>
      <c r="D66" s="1" t="s">
        <v>652</v>
      </c>
      <c r="H66" s="1">
        <v>-67.4967</v>
      </c>
      <c r="I66" s="1">
        <v>44.615</v>
      </c>
      <c r="J66" s="1">
        <f>HYPERLINK("https://tidesandcurrents.noaa.gov/stationhome.html?id=8411696", "8411696")</f>
        <v>0</v>
      </c>
      <c r="K66" s="1" t="s">
        <v>861</v>
      </c>
      <c r="L66" s="1" t="s">
        <v>866</v>
      </c>
      <c r="M66" s="1">
        <v>3171646</v>
      </c>
      <c r="N66" s="1">
        <v>0</v>
      </c>
      <c r="O66" s="1" t="s">
        <v>869</v>
      </c>
      <c r="P66" s="1" t="s">
        <v>874</v>
      </c>
      <c r="Q66" s="1">
        <v>6.809</v>
      </c>
      <c r="R66" s="1">
        <v>-6.408</v>
      </c>
      <c r="S66" s="2">
        <f>HYPERLINK("https://vdatum.noaa.gov/vdatumweb/api/convert?s_x=-67.4967&amp;s_y=44.615&amp;s_z=0.0&amp;region=contiguous&amp;s_h_frame=NAD83_2011&amp;s_coor=geo&amp;s_v_frame=NAVD88&amp;s_v_unit=us_ft&amp;t_h_frame=NAD83_2011&amp;t_coor=geo&amp;t_v_frame=MLLW&amp;t_v_unit=us_ft", "NAVD88 to MLLW")</f>
        <v>0</v>
      </c>
      <c r="T66" s="2">
        <f>HYPERLINK("https://vdatum.noaa.gov/vdatumweb/api/convert?s_x=-67.4967&amp;s_y=44.615&amp;s_z=0.0&amp;region=contiguous&amp;s_h_frame=NAD83_2011&amp;s_coor=geo&amp;s_v_frame=NAVD88&amp;s_v_unit=us_ft&amp;t_h_frame=NAD83_2011&amp;t_coor=geo&amp;t_v_frame=MHHW&amp;t_v_unit=us_ft", "NAVD88 to MHHW")</f>
        <v>0</v>
      </c>
    </row>
    <row r="67" spans="1:20">
      <c r="A67" s="1" t="s">
        <v>91</v>
      </c>
      <c r="B67" s="1" t="s">
        <v>615</v>
      </c>
      <c r="C67" s="1" t="s">
        <v>646</v>
      </c>
      <c r="D67" s="1" t="s">
        <v>652</v>
      </c>
      <c r="E67" s="1" t="s">
        <v>685</v>
      </c>
      <c r="F67" s="1" t="s">
        <v>836</v>
      </c>
      <c r="G67" s="1" t="s">
        <v>854</v>
      </c>
      <c r="H67" s="1">
        <v>-67.875</v>
      </c>
      <c r="I67" s="1">
        <v>44.54</v>
      </c>
      <c r="J67" s="1">
        <f>HYPERLINK("https://tidesandcurrents.noaa.gov/stationhome.html?id=8412581", "8412581")</f>
        <v>0</v>
      </c>
      <c r="K67" s="1" t="s">
        <v>861</v>
      </c>
      <c r="L67" s="1" t="s">
        <v>866</v>
      </c>
      <c r="M67" s="1">
        <v>2990394</v>
      </c>
      <c r="N67" s="1">
        <v>0</v>
      </c>
      <c r="O67" s="1" t="s">
        <v>869</v>
      </c>
      <c r="P67" s="1" t="s">
        <v>874</v>
      </c>
      <c r="Q67" s="1">
        <v>6.253</v>
      </c>
      <c r="R67" s="1">
        <v>-5.866</v>
      </c>
      <c r="S67" s="2">
        <f>HYPERLINK("https://vdatum.noaa.gov/vdatumweb/api/convert?s_x=-67.875&amp;s_y=44.54&amp;s_z=0.0&amp;region=contiguous&amp;s_h_frame=NAD83_2011&amp;s_coor=geo&amp;s_v_frame=NAVD88&amp;s_v_unit=us_ft&amp;t_h_frame=NAD83_2011&amp;t_coor=geo&amp;t_v_frame=MLLW&amp;t_v_unit=us_ft", "NAVD88 to MLLW")</f>
        <v>0</v>
      </c>
      <c r="T67" s="2">
        <f>HYPERLINK("https://vdatum.noaa.gov/vdatumweb/api/convert?s_x=-67.875&amp;s_y=44.54&amp;s_z=0.0&amp;region=contiguous&amp;s_h_frame=NAD83_2011&amp;s_coor=geo&amp;s_v_frame=NAVD88&amp;s_v_unit=us_ft&amp;t_h_frame=NAD83_2011&amp;t_coor=geo&amp;t_v_frame=MHHW&amp;t_v_unit=us_ft", "NAVD88 to MHHW")</f>
        <v>0</v>
      </c>
    </row>
    <row r="68" spans="1:20">
      <c r="A68" s="1" t="s">
        <v>92</v>
      </c>
      <c r="B68" s="1" t="s">
        <v>615</v>
      </c>
      <c r="D68" s="1" t="s">
        <v>652</v>
      </c>
      <c r="H68" s="1">
        <v>-68.2043</v>
      </c>
      <c r="I68" s="1">
        <v>44.39219</v>
      </c>
      <c r="J68" s="1">
        <f>HYPERLINK("https://tidesandcurrents.noaa.gov/stationhome.html?id=8413320", "8413320")</f>
        <v>0</v>
      </c>
      <c r="K68" s="1" t="s">
        <v>860</v>
      </c>
      <c r="L68" s="1" t="s">
        <v>866</v>
      </c>
      <c r="M68" s="1">
        <v>6678151</v>
      </c>
      <c r="N68" s="1">
        <v>-0.08400000000000001</v>
      </c>
      <c r="O68" s="1" t="s">
        <v>869</v>
      </c>
      <c r="P68" s="1" t="s">
        <v>874</v>
      </c>
      <c r="Q68" s="1">
        <v>5.945</v>
      </c>
      <c r="R68" s="1">
        <v>-5.427</v>
      </c>
      <c r="S68" s="2">
        <f>HYPERLINK("https://vdatum.noaa.gov/vdatumweb/api/convert?s_x=-68.2043&amp;s_y=44.39219&amp;s_z=0.0&amp;region=contiguous&amp;s_h_frame=NAD83_2011&amp;s_coor=geo&amp;s_v_frame=NAVD88&amp;s_v_unit=us_ft&amp;t_h_frame=NAD83_2011&amp;t_coor=geo&amp;t_v_frame=MLLW&amp;t_v_unit=us_ft", "NAVD88 to MLLW")</f>
        <v>0</v>
      </c>
      <c r="T68" s="2">
        <f>HYPERLINK("https://vdatum.noaa.gov/vdatumweb/api/convert?s_x=-68.2043&amp;s_y=44.39219&amp;s_z=0.0&amp;region=contiguous&amp;s_h_frame=NAD83_2011&amp;s_coor=geo&amp;s_v_frame=NAVD88&amp;s_v_unit=us_ft&amp;t_h_frame=NAD83_2011&amp;t_coor=geo&amp;t_v_frame=MHHW&amp;t_v_unit=us_ft", "NAVD88 to MHHW")</f>
        <v>0</v>
      </c>
    </row>
    <row r="69" spans="1:20">
      <c r="A69" s="1" t="s">
        <v>93</v>
      </c>
      <c r="B69" s="1" t="s">
        <v>615</v>
      </c>
      <c r="D69" s="1" t="s">
        <v>652</v>
      </c>
      <c r="H69" s="1">
        <v>-68.68000000000001</v>
      </c>
      <c r="I69" s="1">
        <v>44.28</v>
      </c>
      <c r="J69" s="1" t="s">
        <v>859</v>
      </c>
      <c r="K69" s="1" t="s">
        <v>861</v>
      </c>
      <c r="L69" s="1" t="s">
        <v>859</v>
      </c>
      <c r="M69" s="1">
        <v>4435239</v>
      </c>
      <c r="N69" s="1">
        <v>0</v>
      </c>
      <c r="O69" s="1" t="s">
        <v>869</v>
      </c>
      <c r="P69" s="1" t="s">
        <v>874</v>
      </c>
      <c r="Q69" s="1">
        <v>5.774</v>
      </c>
      <c r="R69" s="1">
        <v>-5.104</v>
      </c>
      <c r="S69" s="2">
        <f>HYPERLINK("https://vdatum.noaa.gov/vdatumweb/api/convert?s_x=-68.68&amp;s_y=44.28&amp;s_z=0.0&amp;region=contiguous&amp;s_h_frame=NAD83_2011&amp;s_coor=geo&amp;s_v_frame=NAVD88&amp;s_v_unit=us_ft&amp;t_h_frame=NAD83_2011&amp;t_coor=geo&amp;t_v_frame=MLLW&amp;t_v_unit=us_ft", "NAVD88 to MLLW")</f>
        <v>0</v>
      </c>
      <c r="T69" s="2">
        <f>HYPERLINK("https://vdatum.noaa.gov/vdatumweb/api/convert?s_x=-68.68&amp;s_y=44.28&amp;s_z=0.0&amp;region=contiguous&amp;s_h_frame=NAD83_2011&amp;s_coor=geo&amp;s_v_frame=NAVD88&amp;s_v_unit=us_ft&amp;t_h_frame=NAD83_2011&amp;t_coor=geo&amp;t_v_frame=MHHW&amp;t_v_unit=us_ft", "NAVD88 to MHHW")</f>
        <v>0</v>
      </c>
    </row>
    <row r="70" spans="1:20">
      <c r="A70" s="1" t="s">
        <v>94</v>
      </c>
      <c r="B70" s="1" t="s">
        <v>615</v>
      </c>
      <c r="C70" s="1" t="s">
        <v>646</v>
      </c>
      <c r="D70" s="1" t="s">
        <v>652</v>
      </c>
      <c r="E70" s="1" t="s">
        <v>685</v>
      </c>
      <c r="F70" s="1" t="s">
        <v>836</v>
      </c>
      <c r="G70" s="1" t="s">
        <v>854</v>
      </c>
      <c r="H70" s="1">
        <v>-67.45</v>
      </c>
      <c r="I70" s="1">
        <v>44.72</v>
      </c>
      <c r="J70" s="1" t="s">
        <v>859</v>
      </c>
      <c r="K70" s="1" t="s">
        <v>861</v>
      </c>
      <c r="L70" s="1" t="s">
        <v>859</v>
      </c>
      <c r="M70" s="1">
        <v>2803550</v>
      </c>
      <c r="N70" s="1">
        <v>0</v>
      </c>
      <c r="O70" s="1" t="s">
        <v>869</v>
      </c>
      <c r="P70" s="1" t="s">
        <v>874</v>
      </c>
      <c r="Q70" s="1">
        <v>-999999</v>
      </c>
      <c r="R70" s="1">
        <v>-999999</v>
      </c>
      <c r="S70" s="2">
        <f>HYPERLINK("https://vdatum.noaa.gov/vdatumweb/api/convert?s_x=-67.45&amp;s_y=44.72&amp;s_z=0.0&amp;region=contiguous&amp;s_h_frame=NAD83_2011&amp;s_coor=geo&amp;s_v_frame=NAVD88&amp;s_v_unit=us_ft&amp;t_h_frame=NAD83_2011&amp;t_coor=geo&amp;t_v_frame=MLLW&amp;t_v_unit=us_ft", "Missing")</f>
        <v>0</v>
      </c>
      <c r="T70" s="2">
        <f>HYPERLINK("https://vdatum.noaa.gov/vdatumweb/api/convert?s_x=-67.45&amp;s_y=44.72&amp;s_z=0.0&amp;region=contiguous&amp;s_h_frame=NAD83_2011&amp;s_coor=geo&amp;s_v_frame=NAVD88&amp;s_v_unit=us_ft&amp;t_h_frame=NAD83_2011&amp;t_coor=geo&amp;t_v_frame=MHHW&amp;t_v_unit=us_ft", "Missing")</f>
        <v>0</v>
      </c>
    </row>
    <row r="71" spans="1:20">
      <c r="A71" s="1" t="s">
        <v>95</v>
      </c>
      <c r="B71" s="1" t="s">
        <v>615</v>
      </c>
      <c r="C71" s="1" t="s">
        <v>646</v>
      </c>
      <c r="D71" s="1" t="s">
        <v>652</v>
      </c>
      <c r="E71" s="1" t="s">
        <v>686</v>
      </c>
      <c r="F71" s="1" t="s">
        <v>836</v>
      </c>
      <c r="G71" s="1" t="s">
        <v>854</v>
      </c>
      <c r="H71" s="1">
        <v>-68.76777781</v>
      </c>
      <c r="I71" s="1">
        <v>44.7963797</v>
      </c>
      <c r="J71" s="1">
        <f>HYPERLINK("https://waterdata.usgs.gov/nwis/nwismap/?site_no=01037050&amp;agency_cd=USGS", "US01037050")</f>
        <v>0</v>
      </c>
      <c r="K71" s="1" t="s">
        <v>861</v>
      </c>
      <c r="L71" s="1" t="s">
        <v>867</v>
      </c>
      <c r="M71" s="1">
        <v>2223306</v>
      </c>
      <c r="N71" s="1">
        <v>0</v>
      </c>
      <c r="O71" s="1" t="s">
        <v>869</v>
      </c>
      <c r="P71" s="1" t="s">
        <v>874</v>
      </c>
      <c r="Q71" s="1">
        <v>-999999</v>
      </c>
      <c r="R71" s="1">
        <v>-999999</v>
      </c>
      <c r="S71" s="2">
        <f>HYPERLINK("https://vdatum.noaa.gov/vdatumweb/api/convert?s_x=-68.76777781&amp;s_y=44.7963797&amp;s_z=0.0&amp;region=contiguous&amp;s_h_frame=NAD83_2011&amp;s_coor=geo&amp;s_v_frame=NAVD88&amp;s_v_unit=us_ft&amp;t_h_frame=NAD83_2011&amp;t_coor=geo&amp;t_v_frame=MLLW&amp;t_v_unit=us_ft", "Missing")</f>
        <v>0</v>
      </c>
      <c r="T71" s="2">
        <f>HYPERLINK("https://vdatum.noaa.gov/vdatumweb/api/convert?s_x=-68.76777781&amp;s_y=44.7963797&amp;s_z=0.0&amp;region=contiguous&amp;s_h_frame=NAD83_2011&amp;s_coor=geo&amp;s_v_frame=NAVD88&amp;s_v_unit=us_ft&amp;t_h_frame=NAD83_2011&amp;t_coor=geo&amp;t_v_frame=MHHW&amp;t_v_unit=us_ft", "Missing")</f>
        <v>0</v>
      </c>
    </row>
    <row r="72" spans="1:20">
      <c r="A72" s="1" t="s">
        <v>96</v>
      </c>
      <c r="B72" s="1" t="s">
        <v>616</v>
      </c>
      <c r="D72" s="1" t="s">
        <v>652</v>
      </c>
      <c r="H72" s="1">
        <v>-79.92359999999999</v>
      </c>
      <c r="I72" s="1">
        <v>32.78083</v>
      </c>
      <c r="J72" s="1">
        <f>HYPERLINK("https://tidesandcurrents.noaa.gov/stationhome.html?id=8665530", "8665530")</f>
        <v>0</v>
      </c>
      <c r="K72" s="1" t="s">
        <v>860</v>
      </c>
      <c r="L72" s="1" t="s">
        <v>866</v>
      </c>
      <c r="M72" s="1">
        <v>8374863</v>
      </c>
      <c r="N72" s="1">
        <v>0</v>
      </c>
      <c r="O72" s="1" t="s">
        <v>869</v>
      </c>
      <c r="P72" s="1" t="s">
        <v>874</v>
      </c>
      <c r="Q72" s="1">
        <v>3.144</v>
      </c>
      <c r="R72" s="1">
        <v>-2.623</v>
      </c>
      <c r="S72" s="2">
        <f>HYPERLINK("https://vdatum.noaa.gov/vdatumweb/api/convert?s_x=-79.9236&amp;s_y=32.78083&amp;s_z=0.0&amp;region=contiguous&amp;s_h_frame=NAD83_2011&amp;s_coor=geo&amp;s_v_frame=NAVD88&amp;s_v_unit=us_ft&amp;t_h_frame=NAD83_2011&amp;t_coor=geo&amp;t_v_frame=MLLW&amp;t_v_unit=us_ft", "NAVD88 to MLLW")</f>
        <v>0</v>
      </c>
      <c r="T72" s="2">
        <f>HYPERLINK("https://vdatum.noaa.gov/vdatumweb/api/convert?s_x=-79.9236&amp;s_y=32.78083&amp;s_z=0.0&amp;region=contiguous&amp;s_h_frame=NAD83_2011&amp;s_coor=geo&amp;s_v_frame=NAVD88&amp;s_v_unit=us_ft&amp;t_h_frame=NAD83_2011&amp;t_coor=geo&amp;t_v_frame=MHHW&amp;t_v_unit=us_ft", "NAVD88 to MHHW")</f>
        <v>0</v>
      </c>
    </row>
    <row r="73" spans="1:20">
      <c r="A73" s="1" t="s">
        <v>97</v>
      </c>
      <c r="B73" s="1" t="s">
        <v>616</v>
      </c>
      <c r="C73" s="1" t="s">
        <v>645</v>
      </c>
      <c r="D73" s="1" t="s">
        <v>652</v>
      </c>
      <c r="E73" s="1" t="s">
        <v>687</v>
      </c>
      <c r="F73" s="1" t="s">
        <v>837</v>
      </c>
      <c r="G73" s="1" t="s">
        <v>854</v>
      </c>
      <c r="H73" s="1">
        <v>-80.1317</v>
      </c>
      <c r="I73" s="1">
        <v>32.6033</v>
      </c>
      <c r="J73" s="1">
        <f>HYPERLINK("https://tidesandcurrents.noaa.gov/stationhome.html?id=8667062", "8667062")</f>
        <v>0</v>
      </c>
      <c r="K73" s="1" t="s">
        <v>860</v>
      </c>
      <c r="L73" s="1" t="s">
        <v>866</v>
      </c>
      <c r="M73" s="1">
        <v>3067092</v>
      </c>
      <c r="N73" s="1">
        <v>0</v>
      </c>
      <c r="O73" s="1" t="s">
        <v>869</v>
      </c>
      <c r="P73" s="1" t="s">
        <v>874</v>
      </c>
      <c r="Q73" s="1">
        <v>3.273</v>
      </c>
      <c r="R73" s="1">
        <v>-2.88</v>
      </c>
      <c r="S73" s="2">
        <f>HYPERLINK("https://vdatum.noaa.gov/vdatumweb/api/convert?s_x=-80.1317&amp;s_y=32.6033&amp;s_z=0.0&amp;region=contiguous&amp;s_h_frame=NAD83_2011&amp;s_coor=geo&amp;s_v_frame=NAVD88&amp;s_v_unit=us_ft&amp;t_h_frame=NAD83_2011&amp;t_coor=geo&amp;t_v_frame=MLLW&amp;t_v_unit=us_ft", "NAVD88 to MLLW")</f>
        <v>0</v>
      </c>
      <c r="T73" s="2">
        <f>HYPERLINK("https://vdatum.noaa.gov/vdatumweb/api/convert?s_x=-80.1317&amp;s_y=32.6033&amp;s_z=0.0&amp;region=contiguous&amp;s_h_frame=NAD83_2011&amp;s_coor=geo&amp;s_v_frame=NAVD88&amp;s_v_unit=us_ft&amp;t_h_frame=NAD83_2011&amp;t_coor=geo&amp;t_v_frame=MHHW&amp;t_v_unit=us_ft", "NAVD88 to MHHW")</f>
        <v>0</v>
      </c>
    </row>
    <row r="74" spans="1:20">
      <c r="A74" s="1" t="s">
        <v>98</v>
      </c>
      <c r="B74" s="1" t="s">
        <v>616</v>
      </c>
      <c r="C74" s="1" t="s">
        <v>645</v>
      </c>
      <c r="D74" s="1" t="s">
        <v>652</v>
      </c>
      <c r="E74" s="1" t="s">
        <v>687</v>
      </c>
      <c r="F74" s="1" t="s">
        <v>837</v>
      </c>
      <c r="G74" s="1" t="s">
        <v>854</v>
      </c>
      <c r="H74" s="1">
        <v>-80.34</v>
      </c>
      <c r="I74" s="1">
        <v>32.54</v>
      </c>
      <c r="J74" s="1">
        <f>HYPERLINK("https://tidesandcurrents.noaa.gov/stationhome.html?id=8667425", "8667425")</f>
        <v>0</v>
      </c>
      <c r="K74" s="1" t="s">
        <v>860</v>
      </c>
      <c r="L74" s="1" t="s">
        <v>866</v>
      </c>
      <c r="M74" s="1">
        <v>6467635</v>
      </c>
      <c r="N74" s="1">
        <v>0</v>
      </c>
      <c r="O74" s="1" t="s">
        <v>869</v>
      </c>
      <c r="P74" s="1" t="s">
        <v>874</v>
      </c>
      <c r="Q74" s="1">
        <v>3.652</v>
      </c>
      <c r="R74" s="1">
        <v>-3.015</v>
      </c>
      <c r="S74" s="2">
        <f>HYPERLINK("https://vdatum.noaa.gov/vdatumweb/api/convert?s_x=-80.34&amp;s_y=32.54&amp;s_z=0.0&amp;region=contiguous&amp;s_h_frame=NAD83_2011&amp;s_coor=geo&amp;s_v_frame=NAVD88&amp;s_v_unit=us_ft&amp;t_h_frame=NAD83_2011&amp;t_coor=geo&amp;t_v_frame=MLLW&amp;t_v_unit=us_ft", "NAVD88 to MLLW")</f>
        <v>0</v>
      </c>
      <c r="T74" s="2">
        <f>HYPERLINK("https://vdatum.noaa.gov/vdatumweb/api/convert?s_x=-80.34&amp;s_y=32.54&amp;s_z=0.0&amp;region=contiguous&amp;s_h_frame=NAD83_2011&amp;s_coor=geo&amp;s_v_frame=NAVD88&amp;s_v_unit=us_ft&amp;t_h_frame=NAD83_2011&amp;t_coor=geo&amp;t_v_frame=MHHW&amp;t_v_unit=us_ft", "NAVD88 to MHHW")</f>
        <v>0</v>
      </c>
    </row>
    <row r="75" spans="1:20">
      <c r="A75" s="1" t="s">
        <v>99</v>
      </c>
      <c r="B75" s="1" t="s">
        <v>616</v>
      </c>
      <c r="D75" s="1" t="s">
        <v>652</v>
      </c>
      <c r="E75" s="1" t="s">
        <v>688</v>
      </c>
      <c r="F75" s="1" t="s">
        <v>837</v>
      </c>
      <c r="G75" s="1" t="s">
        <v>854</v>
      </c>
      <c r="H75" s="1">
        <v>-80.7367</v>
      </c>
      <c r="I75" s="1">
        <v>32.2667</v>
      </c>
      <c r="J75" s="1">
        <f>HYPERLINK("https://tidesandcurrents.noaa.gov/stationhome.html?id=8668918", "8668918")</f>
        <v>0</v>
      </c>
      <c r="K75" s="1" t="s">
        <v>861</v>
      </c>
      <c r="L75" s="1" t="s">
        <v>866</v>
      </c>
      <c r="M75" s="1">
        <v>5637449</v>
      </c>
      <c r="N75" s="1">
        <v>0</v>
      </c>
      <c r="O75" s="1" t="s">
        <v>869</v>
      </c>
      <c r="P75" s="1" t="s">
        <v>874</v>
      </c>
      <c r="Q75" s="1">
        <v>4.088</v>
      </c>
      <c r="R75" s="1">
        <v>-3.301</v>
      </c>
      <c r="S75" s="2">
        <f>HYPERLINK("https://vdatum.noaa.gov/vdatumweb/api/convert?s_x=-80.7367&amp;s_y=32.2667&amp;s_z=0.0&amp;region=contiguous&amp;s_h_frame=NAD83_2011&amp;s_coor=geo&amp;s_v_frame=NAVD88&amp;s_v_unit=us_ft&amp;t_h_frame=NAD83_2011&amp;t_coor=geo&amp;t_v_frame=MLLW&amp;t_v_unit=us_ft", "NAVD88 to MLLW")</f>
        <v>0</v>
      </c>
      <c r="T75" s="2">
        <f>HYPERLINK("https://vdatum.noaa.gov/vdatumweb/api/convert?s_x=-80.7367&amp;s_y=32.2667&amp;s_z=0.0&amp;region=contiguous&amp;s_h_frame=NAD83_2011&amp;s_coor=geo&amp;s_v_frame=NAVD88&amp;s_v_unit=us_ft&amp;t_h_frame=NAD83_2011&amp;t_coor=geo&amp;t_v_frame=MHHW&amp;t_v_unit=us_ft", "NAVD88 to MHHW")</f>
        <v>0</v>
      </c>
    </row>
    <row r="76" spans="1:20">
      <c r="A76" s="1" t="s">
        <v>100</v>
      </c>
      <c r="B76" s="1" t="s">
        <v>616</v>
      </c>
      <c r="D76" s="1" t="s">
        <v>652</v>
      </c>
      <c r="E76" s="1" t="s">
        <v>689</v>
      </c>
      <c r="F76" s="1" t="s">
        <v>837</v>
      </c>
      <c r="G76" s="1" t="s">
        <v>854</v>
      </c>
      <c r="H76" s="1">
        <v>-80.90170000000001</v>
      </c>
      <c r="I76" s="1">
        <v>32.0367</v>
      </c>
      <c r="J76" s="1">
        <f>HYPERLINK("https://tidesandcurrents.noaa.gov/stationhome.html?id=8670870", "8670870")</f>
        <v>0</v>
      </c>
      <c r="K76" s="1" t="s">
        <v>860</v>
      </c>
      <c r="L76" s="1" t="s">
        <v>866</v>
      </c>
      <c r="M76" s="1">
        <v>5406555</v>
      </c>
      <c r="N76" s="1">
        <v>0</v>
      </c>
      <c r="O76" s="1" t="s">
        <v>869</v>
      </c>
      <c r="P76" s="1" t="s">
        <v>874</v>
      </c>
      <c r="Q76" s="1">
        <v>4.049</v>
      </c>
      <c r="R76" s="1">
        <v>-3.457</v>
      </c>
      <c r="S76" s="2">
        <f>HYPERLINK("https://vdatum.noaa.gov/vdatumweb/api/convert?s_x=-80.9017&amp;s_y=32.0367&amp;s_z=0.0&amp;region=contiguous&amp;s_h_frame=NAD83_2011&amp;s_coor=geo&amp;s_v_frame=NAVD88&amp;s_v_unit=us_ft&amp;t_h_frame=NAD83_2011&amp;t_coor=geo&amp;t_v_frame=MLLW&amp;t_v_unit=us_ft", "NAVD88 to MLLW")</f>
        <v>0</v>
      </c>
      <c r="T76" s="2">
        <f>HYPERLINK("https://vdatum.noaa.gov/vdatumweb/api/convert?s_x=-80.9017&amp;s_y=32.0367&amp;s_z=0.0&amp;region=contiguous&amp;s_h_frame=NAD83_2011&amp;s_coor=geo&amp;s_v_frame=NAVD88&amp;s_v_unit=us_ft&amp;t_h_frame=NAD83_2011&amp;t_coor=geo&amp;t_v_frame=MHHW&amp;t_v_unit=us_ft", "NAVD88 to MHHW")</f>
        <v>0</v>
      </c>
    </row>
    <row r="77" spans="1:20">
      <c r="A77" s="1" t="s">
        <v>101</v>
      </c>
      <c r="B77" s="1" t="s">
        <v>616</v>
      </c>
      <c r="C77" s="1" t="s">
        <v>645</v>
      </c>
      <c r="D77" s="1" t="s">
        <v>652</v>
      </c>
      <c r="E77" s="1" t="s">
        <v>690</v>
      </c>
      <c r="F77" s="1" t="s">
        <v>838</v>
      </c>
      <c r="G77" s="1" t="s">
        <v>854</v>
      </c>
      <c r="H77" s="1">
        <v>-81.34332999999999</v>
      </c>
      <c r="I77" s="1">
        <v>31.44666</v>
      </c>
      <c r="J77" s="1">
        <f>HYPERLINK("https://tidesandcurrents.noaa.gov/stationhome.html?id=8675245", "8675245")</f>
        <v>0</v>
      </c>
      <c r="K77" s="1" t="s">
        <v>861</v>
      </c>
      <c r="L77" s="1" t="s">
        <v>866</v>
      </c>
      <c r="M77" s="1">
        <v>8315678</v>
      </c>
      <c r="N77" s="1">
        <v>0</v>
      </c>
      <c r="O77" s="1" t="s">
        <v>869</v>
      </c>
      <c r="P77" s="1" t="s">
        <v>874</v>
      </c>
      <c r="Q77" s="1">
        <v>-999999</v>
      </c>
      <c r="R77" s="1">
        <v>-999999</v>
      </c>
      <c r="S77" s="2">
        <f>HYPERLINK("https://vdatum.noaa.gov/vdatumweb/api/convert?s_x=-81.34333&amp;s_y=31.44666&amp;s_z=0.0&amp;region=contiguous&amp;s_h_frame=NAD83_2011&amp;s_coor=geo&amp;s_v_frame=NAVD88&amp;s_v_unit=us_ft&amp;t_h_frame=NAD83_2011&amp;t_coor=geo&amp;t_v_frame=MLLW&amp;t_v_unit=us_ft", "Missing")</f>
        <v>0</v>
      </c>
      <c r="T77" s="2">
        <f>HYPERLINK("https://vdatum.noaa.gov/vdatumweb/api/convert?s_x=-81.34333&amp;s_y=31.44666&amp;s_z=0.0&amp;region=contiguous&amp;s_h_frame=NAD83_2011&amp;s_coor=geo&amp;s_v_frame=NAVD88&amp;s_v_unit=us_ft&amp;t_h_frame=NAD83_2011&amp;t_coor=geo&amp;t_v_frame=MHHW&amp;t_v_unit=us_ft", "Missing")</f>
        <v>0</v>
      </c>
    </row>
    <row r="78" spans="1:20">
      <c r="A78" s="1" t="s">
        <v>102</v>
      </c>
      <c r="B78" s="1" t="s">
        <v>616</v>
      </c>
      <c r="C78" s="1" t="s">
        <v>645</v>
      </c>
      <c r="D78" s="1" t="s">
        <v>652</v>
      </c>
      <c r="E78" s="1" t="s">
        <v>690</v>
      </c>
      <c r="F78" s="1" t="s">
        <v>838</v>
      </c>
      <c r="G78" s="1" t="s">
        <v>854</v>
      </c>
      <c r="H78" s="1">
        <v>-81.29000000000001</v>
      </c>
      <c r="I78" s="1">
        <v>31.42</v>
      </c>
      <c r="J78" s="1">
        <f>HYPERLINK("https://tidesandcurrents.noaa.gov/stationhome.html?id=8675365", "8675365")</f>
        <v>0</v>
      </c>
      <c r="K78" s="1" t="s">
        <v>860</v>
      </c>
      <c r="L78" s="1" t="s">
        <v>866</v>
      </c>
      <c r="M78" s="1">
        <v>5288303</v>
      </c>
      <c r="N78" s="1">
        <v>0</v>
      </c>
      <c r="O78" s="1" t="s">
        <v>869</v>
      </c>
      <c r="P78" s="1" t="s">
        <v>874</v>
      </c>
      <c r="Q78" s="1">
        <v>-999999</v>
      </c>
      <c r="R78" s="1">
        <v>-999999</v>
      </c>
      <c r="S78" s="2">
        <f>HYPERLINK("https://vdatum.noaa.gov/vdatumweb/api/convert?s_x=-81.29&amp;s_y=31.42&amp;s_z=0.0&amp;region=contiguous&amp;s_h_frame=NAD83_2011&amp;s_coor=geo&amp;s_v_frame=NAVD88&amp;s_v_unit=us_ft&amp;t_h_frame=NAD83_2011&amp;t_coor=geo&amp;t_v_frame=MLLW&amp;t_v_unit=us_ft", "Missing")</f>
        <v>0</v>
      </c>
      <c r="T78" s="2">
        <f>HYPERLINK("https://vdatum.noaa.gov/vdatumweb/api/convert?s_x=-81.29&amp;s_y=31.42&amp;s_z=0.0&amp;region=contiguous&amp;s_h_frame=NAD83_2011&amp;s_coor=geo&amp;s_v_frame=NAVD88&amp;s_v_unit=us_ft&amp;t_h_frame=NAD83_2011&amp;t_coor=geo&amp;t_v_frame=MHHW&amp;t_v_unit=us_ft", "Missing")</f>
        <v>0</v>
      </c>
    </row>
    <row r="79" spans="1:20">
      <c r="A79" s="1" t="s">
        <v>103</v>
      </c>
      <c r="B79" s="1" t="s">
        <v>616</v>
      </c>
      <c r="C79" s="1" t="s">
        <v>645</v>
      </c>
      <c r="D79" s="1" t="s">
        <v>652</v>
      </c>
      <c r="E79" s="1" t="s">
        <v>687</v>
      </c>
      <c r="F79" s="1" t="s">
        <v>837</v>
      </c>
      <c r="G79" s="1" t="s">
        <v>854</v>
      </c>
      <c r="H79" s="1">
        <v>-79.35422101</v>
      </c>
      <c r="I79" s="1">
        <v>33.15432787</v>
      </c>
      <c r="J79" s="1">
        <f>HYPERLINK("https://waterdata.usgs.gov/nwis/nwismap/?site_no=02171905&amp;agency_cd=USGS", "US02171905")</f>
        <v>0</v>
      </c>
      <c r="K79" s="1" t="s">
        <v>861</v>
      </c>
      <c r="L79" s="1" t="s">
        <v>867</v>
      </c>
      <c r="M79" s="1">
        <v>5762888</v>
      </c>
      <c r="N79" s="1">
        <v>-6.52</v>
      </c>
      <c r="O79" s="1" t="s">
        <v>869</v>
      </c>
      <c r="P79" s="1" t="s">
        <v>874</v>
      </c>
      <c r="Q79" s="1">
        <v>2.404</v>
      </c>
      <c r="R79" s="1">
        <v>-2.434</v>
      </c>
      <c r="S79" s="2">
        <f>HYPERLINK("https://vdatum.noaa.gov/vdatumweb/api/convert?s_x=-79.35422101&amp;s_y=33.15432787&amp;s_z=0.0&amp;region=contiguous&amp;s_h_frame=NAD83_2011&amp;s_coor=geo&amp;s_v_frame=NAVD88&amp;s_v_unit=us_ft&amp;t_h_frame=NAD83_2011&amp;t_coor=geo&amp;t_v_frame=MLLW&amp;t_v_unit=us_ft", "NAVD88 to MLLW")</f>
        <v>0</v>
      </c>
      <c r="T79" s="2">
        <f>HYPERLINK("https://vdatum.noaa.gov/vdatumweb/api/convert?s_x=-79.35422101&amp;s_y=33.15432787&amp;s_z=0.0&amp;region=contiguous&amp;s_h_frame=NAD83_2011&amp;s_coor=geo&amp;s_v_frame=NAVD88&amp;s_v_unit=us_ft&amp;t_h_frame=NAD83_2011&amp;t_coor=geo&amp;t_v_frame=MHHW&amp;t_v_unit=us_ft", "NAVD88 to MHHW")</f>
        <v>0</v>
      </c>
    </row>
    <row r="80" spans="1:20">
      <c r="A80" s="1" t="s">
        <v>104</v>
      </c>
      <c r="B80" s="1" t="s">
        <v>616</v>
      </c>
      <c r="C80" s="1" t="s">
        <v>645</v>
      </c>
      <c r="D80" s="1" t="s">
        <v>652</v>
      </c>
      <c r="E80" s="1" t="s">
        <v>691</v>
      </c>
      <c r="F80" s="1" t="s">
        <v>837</v>
      </c>
      <c r="G80" s="1" t="s">
        <v>854</v>
      </c>
      <c r="H80" s="1">
        <v>-79.96286164</v>
      </c>
      <c r="I80" s="1">
        <v>32.89044588</v>
      </c>
      <c r="J80" s="1">
        <f>HYPERLINK("https://waterdata.usgs.gov/nwis/nwismap/?site_no=021720677&amp;agency_cd=USGS", "US021720677")</f>
        <v>0</v>
      </c>
      <c r="K80" s="1" t="s">
        <v>861</v>
      </c>
      <c r="L80" s="1" t="s">
        <v>867</v>
      </c>
      <c r="M80" s="1">
        <v>7755989</v>
      </c>
      <c r="N80" s="1">
        <v>-3.21</v>
      </c>
      <c r="O80" s="1" t="s">
        <v>869</v>
      </c>
      <c r="P80" s="1" t="s">
        <v>874</v>
      </c>
      <c r="Q80" s="1">
        <v>3.027</v>
      </c>
      <c r="R80" s="1">
        <v>-2.874</v>
      </c>
      <c r="S80" s="2">
        <f>HYPERLINK("https://vdatum.noaa.gov/vdatumweb/api/convert?s_x=-79.96286164&amp;s_y=32.89044588&amp;s_z=0.0&amp;region=contiguous&amp;s_h_frame=NAD83_2011&amp;s_coor=geo&amp;s_v_frame=NAVD88&amp;s_v_unit=us_ft&amp;t_h_frame=NAD83_2011&amp;t_coor=geo&amp;t_v_frame=MLLW&amp;t_v_unit=us_ft", "NAVD88 to MLLW")</f>
        <v>0</v>
      </c>
      <c r="T80" s="2">
        <f>HYPERLINK("https://vdatum.noaa.gov/vdatumweb/api/convert?s_x=-79.96286164&amp;s_y=32.89044588&amp;s_z=0.0&amp;region=contiguous&amp;s_h_frame=NAD83_2011&amp;s_coor=geo&amp;s_v_frame=NAVD88&amp;s_v_unit=us_ft&amp;t_h_frame=NAD83_2011&amp;t_coor=geo&amp;t_v_frame=MHHW&amp;t_v_unit=us_ft", "NAVD88 to MHHW")</f>
        <v>0</v>
      </c>
    </row>
    <row r="81" spans="1:20">
      <c r="A81" s="1" t="s">
        <v>105</v>
      </c>
      <c r="B81" s="1" t="s">
        <v>616</v>
      </c>
      <c r="D81" s="1" t="s">
        <v>652</v>
      </c>
      <c r="E81" s="1" t="s">
        <v>687</v>
      </c>
      <c r="F81" s="1" t="s">
        <v>837</v>
      </c>
      <c r="G81" s="1" t="s">
        <v>854</v>
      </c>
      <c r="H81" s="1">
        <v>-79.89619346000001</v>
      </c>
      <c r="I81" s="1">
        <v>32.85905741</v>
      </c>
      <c r="J81" s="1">
        <f>HYPERLINK("https://waterdata.usgs.gov/nwis/nwismap/?site_no=021720698&amp;agency_cd=USGS", "US021720698")</f>
        <v>0</v>
      </c>
      <c r="K81" s="1" t="s">
        <v>861</v>
      </c>
      <c r="L81" s="1" t="s">
        <v>867</v>
      </c>
      <c r="M81" s="1">
        <v>7756052</v>
      </c>
      <c r="N81" s="1">
        <v>-5.54</v>
      </c>
      <c r="O81" s="1" t="s">
        <v>869</v>
      </c>
      <c r="P81" s="1" t="s">
        <v>874</v>
      </c>
      <c r="Q81" s="1">
        <v>3.223</v>
      </c>
      <c r="R81" s="1">
        <v>-2.871</v>
      </c>
      <c r="S81" s="2">
        <f>HYPERLINK("https://vdatum.noaa.gov/vdatumweb/api/convert?s_x=-79.89619346&amp;s_y=32.85905741&amp;s_z=0.0&amp;region=contiguous&amp;s_h_frame=NAD83_2011&amp;s_coor=geo&amp;s_v_frame=NAVD88&amp;s_v_unit=us_ft&amp;t_h_frame=NAD83_2011&amp;t_coor=geo&amp;t_v_frame=MLLW&amp;t_v_unit=us_ft", "NAVD88 to MLLW")</f>
        <v>0</v>
      </c>
      <c r="T81" s="2">
        <f>HYPERLINK("https://vdatum.noaa.gov/vdatumweb/api/convert?s_x=-79.89619346&amp;s_y=32.85905741&amp;s_z=0.0&amp;region=contiguous&amp;s_h_frame=NAD83_2011&amp;s_coor=geo&amp;s_v_frame=NAVD88&amp;s_v_unit=us_ft&amp;t_h_frame=NAD83_2011&amp;t_coor=geo&amp;t_v_frame=MHHW&amp;t_v_unit=us_ft", "NAVD88 to MHHW")</f>
        <v>0</v>
      </c>
    </row>
    <row r="82" spans="1:20">
      <c r="A82" s="1" t="s">
        <v>106</v>
      </c>
      <c r="B82" s="1" t="s">
        <v>616</v>
      </c>
      <c r="D82" s="1" t="s">
        <v>652</v>
      </c>
      <c r="H82" s="1">
        <v>-79.91008406</v>
      </c>
      <c r="I82" s="1">
        <v>32.80239197</v>
      </c>
      <c r="J82" s="1">
        <f>HYPERLINK("https://waterdata.usgs.gov/nwis/nwismap/?site_no=021720709&amp;agency_cd=USGS", "US021720709")</f>
        <v>0</v>
      </c>
      <c r="K82" s="1" t="s">
        <v>861</v>
      </c>
      <c r="L82" s="1" t="s">
        <v>867</v>
      </c>
      <c r="M82" s="1">
        <v>8374818</v>
      </c>
      <c r="N82" s="1">
        <v>-1.96</v>
      </c>
      <c r="O82" s="1" t="s">
        <v>869</v>
      </c>
      <c r="P82" s="1" t="s">
        <v>874</v>
      </c>
      <c r="Q82" s="1">
        <v>3.172</v>
      </c>
      <c r="R82" s="1">
        <v>-2.684</v>
      </c>
      <c r="S82" s="2">
        <f>HYPERLINK("https://vdatum.noaa.gov/vdatumweb/api/convert?s_x=-79.91008406&amp;s_y=32.80239197&amp;s_z=0.0&amp;region=contiguous&amp;s_h_frame=NAD83_2011&amp;s_coor=geo&amp;s_v_frame=NAVD88&amp;s_v_unit=us_ft&amp;t_h_frame=NAD83_2011&amp;t_coor=geo&amp;t_v_frame=MLLW&amp;t_v_unit=us_ft", "NAVD88 to MLLW")</f>
        <v>0</v>
      </c>
      <c r="T82" s="2">
        <f>HYPERLINK("https://vdatum.noaa.gov/vdatumweb/api/convert?s_x=-79.91008406&amp;s_y=32.80239197&amp;s_z=0.0&amp;region=contiguous&amp;s_h_frame=NAD83_2011&amp;s_coor=geo&amp;s_v_frame=NAVD88&amp;s_v_unit=us_ft&amp;t_h_frame=NAD83_2011&amp;t_coor=geo&amp;t_v_frame=MHHW&amp;t_v_unit=us_ft", "NAVD88 to MHHW")</f>
        <v>0</v>
      </c>
    </row>
    <row r="83" spans="1:20">
      <c r="A83" s="1" t="s">
        <v>107</v>
      </c>
      <c r="B83" s="1" t="s">
        <v>616</v>
      </c>
      <c r="C83" s="1" t="s">
        <v>645</v>
      </c>
      <c r="D83" s="1" t="s">
        <v>652</v>
      </c>
      <c r="E83" s="1" t="s">
        <v>687</v>
      </c>
      <c r="F83" s="1" t="s">
        <v>837</v>
      </c>
      <c r="G83" s="1" t="s">
        <v>854</v>
      </c>
      <c r="H83" s="1">
        <v>-80.02369852</v>
      </c>
      <c r="I83" s="1">
        <v>32.83461372</v>
      </c>
      <c r="J83" s="1">
        <f>HYPERLINK("https://waterdata.usgs.gov/nwis/nwismap/?site_no=021720869&amp;agency_cd=USGS", "US021720869")</f>
        <v>0</v>
      </c>
      <c r="K83" s="1" t="s">
        <v>861</v>
      </c>
      <c r="L83" s="1" t="s">
        <v>867</v>
      </c>
      <c r="M83" s="1">
        <v>8997121</v>
      </c>
      <c r="N83" s="1">
        <v>-2.61</v>
      </c>
      <c r="O83" s="1" t="s">
        <v>869</v>
      </c>
      <c r="P83" s="1" t="s">
        <v>874</v>
      </c>
      <c r="Q83" s="1">
        <v>3.412</v>
      </c>
      <c r="R83" s="1">
        <v>-2.814</v>
      </c>
      <c r="S83" s="2">
        <f>HYPERLINK("https://vdatum.noaa.gov/vdatumweb/api/convert?s_x=-80.02369852&amp;s_y=32.83461372&amp;s_z=0.0&amp;region=contiguous&amp;s_h_frame=NAD83_2011&amp;s_coor=geo&amp;s_v_frame=NAVD88&amp;s_v_unit=us_ft&amp;t_h_frame=NAD83_2011&amp;t_coor=geo&amp;t_v_frame=MLLW&amp;t_v_unit=us_ft", "NAVD88 to MLLW")</f>
        <v>0</v>
      </c>
      <c r="T83" s="2">
        <f>HYPERLINK("https://vdatum.noaa.gov/vdatumweb/api/convert?s_x=-80.02369852&amp;s_y=32.83461372&amp;s_z=0.0&amp;region=contiguous&amp;s_h_frame=NAD83_2011&amp;s_coor=geo&amp;s_v_frame=NAVD88&amp;s_v_unit=us_ft&amp;t_h_frame=NAD83_2011&amp;t_coor=geo&amp;t_v_frame=MHHW&amp;t_v_unit=us_ft", "NAVD88 to MHHW")</f>
        <v>0</v>
      </c>
    </row>
    <row r="84" spans="1:20">
      <c r="A84" s="1" t="s">
        <v>108</v>
      </c>
      <c r="B84" s="1" t="s">
        <v>616</v>
      </c>
      <c r="C84" s="1" t="s">
        <v>645</v>
      </c>
      <c r="D84" s="1" t="s">
        <v>652</v>
      </c>
      <c r="E84" s="1" t="s">
        <v>692</v>
      </c>
      <c r="F84" s="1" t="s">
        <v>838</v>
      </c>
      <c r="G84" s="1" t="s">
        <v>854</v>
      </c>
      <c r="H84" s="1">
        <v>-81.08135794</v>
      </c>
      <c r="I84" s="1">
        <v>32.08041049</v>
      </c>
      <c r="J84" s="1">
        <f>HYPERLINK("https://waterdata.usgs.gov/nwis/nwismap/?site_no=021989773&amp;agency_cd=USGS", "US021989773")</f>
        <v>0</v>
      </c>
      <c r="K84" s="1" t="s">
        <v>861</v>
      </c>
      <c r="L84" s="1" t="s">
        <v>867</v>
      </c>
      <c r="M84" s="1">
        <v>8427784</v>
      </c>
      <c r="N84" s="1">
        <v>0</v>
      </c>
      <c r="O84" s="1" t="s">
        <v>869</v>
      </c>
      <c r="P84" s="1" t="s">
        <v>874</v>
      </c>
      <c r="Q84" s="1">
        <v>4.265</v>
      </c>
      <c r="R84" s="1">
        <v>-4.021</v>
      </c>
      <c r="S84" s="2">
        <f>HYPERLINK("https://vdatum.noaa.gov/vdatumweb/api/convert?s_x=-81.08135794&amp;s_y=32.08041049&amp;s_z=0.0&amp;region=contiguous&amp;s_h_frame=NAD83_2011&amp;s_coor=geo&amp;s_v_frame=NAVD88&amp;s_v_unit=us_ft&amp;t_h_frame=NAD83_2011&amp;t_coor=geo&amp;t_v_frame=MLLW&amp;t_v_unit=us_ft", "NAVD88 to MLLW")</f>
        <v>0</v>
      </c>
      <c r="T84" s="2">
        <f>HYPERLINK("https://vdatum.noaa.gov/vdatumweb/api/convert?s_x=-81.08135794&amp;s_y=32.08041049&amp;s_z=0.0&amp;region=contiguous&amp;s_h_frame=NAD83_2011&amp;s_coor=geo&amp;s_v_frame=NAVD88&amp;s_v_unit=us_ft&amp;t_h_frame=NAD83_2011&amp;t_coor=geo&amp;t_v_frame=MHHW&amp;t_v_unit=us_ft", "NAVD88 to MHHW")</f>
        <v>0</v>
      </c>
    </row>
    <row r="85" spans="1:20">
      <c r="A85" s="1" t="s">
        <v>109</v>
      </c>
      <c r="B85" s="1" t="s">
        <v>616</v>
      </c>
      <c r="C85" s="1" t="s">
        <v>645</v>
      </c>
      <c r="D85" s="1" t="s">
        <v>652</v>
      </c>
      <c r="E85" s="1" t="s">
        <v>690</v>
      </c>
      <c r="F85" s="1" t="s">
        <v>838</v>
      </c>
      <c r="G85" s="1" t="s">
        <v>854</v>
      </c>
      <c r="H85" s="1">
        <v>-81.60510782</v>
      </c>
      <c r="I85" s="1">
        <v>31.42685509</v>
      </c>
      <c r="J85" s="1">
        <f>HYPERLINK("https://waterdata.usgs.gov/nwis/nwismap/?site_no=02226160&amp;agency_cd=USGS", "US02226160")</f>
        <v>0</v>
      </c>
      <c r="K85" s="1" t="s">
        <v>861</v>
      </c>
      <c r="L85" s="1" t="s">
        <v>867</v>
      </c>
      <c r="M85" s="1">
        <v>7953329</v>
      </c>
      <c r="N85" s="1">
        <v>-1.18</v>
      </c>
      <c r="O85" s="1" t="s">
        <v>869</v>
      </c>
      <c r="P85" s="1" t="s">
        <v>874</v>
      </c>
      <c r="Q85" s="1">
        <v>-999999</v>
      </c>
      <c r="R85" s="1">
        <v>-999999</v>
      </c>
      <c r="S85" s="2">
        <f>HYPERLINK("https://vdatum.noaa.gov/vdatumweb/api/convert?s_x=-81.60510782&amp;s_y=31.42685509&amp;s_z=0.0&amp;region=contiguous&amp;s_h_frame=NAD83_2011&amp;s_coor=geo&amp;s_v_frame=NAVD88&amp;s_v_unit=us_ft&amp;t_h_frame=NAD83_2011&amp;t_coor=geo&amp;t_v_frame=MLLW&amp;t_v_unit=us_ft", "Missing")</f>
        <v>0</v>
      </c>
      <c r="T85" s="2">
        <f>HYPERLINK("https://vdatum.noaa.gov/vdatumweb/api/convert?s_x=-81.60510782&amp;s_y=31.42685509&amp;s_z=0.0&amp;region=contiguous&amp;s_h_frame=NAD83_2011&amp;s_coor=geo&amp;s_v_frame=NAVD88&amp;s_v_unit=us_ft&amp;t_h_frame=NAD83_2011&amp;t_coor=geo&amp;t_v_frame=MHHW&amp;t_v_unit=us_ft", "Missing")</f>
        <v>0</v>
      </c>
    </row>
    <row r="86" spans="1:20">
      <c r="A86" s="1" t="s">
        <v>110</v>
      </c>
      <c r="B86" s="1" t="s">
        <v>617</v>
      </c>
      <c r="C86" s="1" t="s">
        <v>646</v>
      </c>
      <c r="D86" s="1" t="s">
        <v>652</v>
      </c>
      <c r="H86" s="1">
        <v>-68.7967</v>
      </c>
      <c r="I86" s="1">
        <v>44.3867</v>
      </c>
      <c r="J86" s="1">
        <f>HYPERLINK("https://tidesandcurrents.noaa.gov/stationhome.html?id=8414672", "8414672")</f>
        <v>0</v>
      </c>
      <c r="K86" s="1" t="s">
        <v>861</v>
      </c>
      <c r="L86" s="1" t="s">
        <v>866</v>
      </c>
      <c r="M86" s="1">
        <v>4292024</v>
      </c>
      <c r="N86" s="1">
        <v>0</v>
      </c>
      <c r="O86" s="1" t="s">
        <v>869</v>
      </c>
      <c r="P86" s="1" t="s">
        <v>874</v>
      </c>
      <c r="Q86" s="1">
        <v>5.816</v>
      </c>
      <c r="R86" s="1">
        <v>-5.159</v>
      </c>
      <c r="S86" s="2">
        <f>HYPERLINK("https://vdatum.noaa.gov/vdatumweb/api/convert?s_x=-68.7967&amp;s_y=44.3867&amp;s_z=0.0&amp;region=contiguous&amp;s_h_frame=NAD83_2011&amp;s_coor=geo&amp;s_v_frame=NAVD88&amp;s_v_unit=us_ft&amp;t_h_frame=NAD83_2011&amp;t_coor=geo&amp;t_v_frame=MLLW&amp;t_v_unit=us_ft", "NAVD88 to MLLW")</f>
        <v>0</v>
      </c>
      <c r="T86" s="2">
        <f>HYPERLINK("https://vdatum.noaa.gov/vdatumweb/api/convert?s_x=-68.7967&amp;s_y=44.3867&amp;s_z=0.0&amp;region=contiguous&amp;s_h_frame=NAD83_2011&amp;s_coor=geo&amp;s_v_frame=NAVD88&amp;s_v_unit=us_ft&amp;t_h_frame=NAD83_2011&amp;t_coor=geo&amp;t_v_frame=MHHW&amp;t_v_unit=us_ft", "NAVD88 to MHHW")</f>
        <v>0</v>
      </c>
    </row>
    <row r="87" spans="1:20">
      <c r="A87" s="1" t="s">
        <v>111</v>
      </c>
      <c r="B87" s="1" t="s">
        <v>617</v>
      </c>
      <c r="D87" s="1" t="s">
        <v>652</v>
      </c>
      <c r="H87" s="1">
        <v>-68.8133</v>
      </c>
      <c r="I87" s="1">
        <v>44.4717</v>
      </c>
      <c r="J87" s="1">
        <f>HYPERLINK("https://tidesandcurrents.noaa.gov/stationhome.html?id=8414721", "8414721")</f>
        <v>0</v>
      </c>
      <c r="K87" s="1" t="s">
        <v>861</v>
      </c>
      <c r="L87" s="1" t="s">
        <v>866</v>
      </c>
      <c r="M87" s="1">
        <v>3840907</v>
      </c>
      <c r="N87" s="1">
        <v>-0.081</v>
      </c>
      <c r="O87" s="1" t="s">
        <v>869</v>
      </c>
      <c r="P87" s="1" t="s">
        <v>874</v>
      </c>
      <c r="Q87" s="1">
        <v>5.876</v>
      </c>
      <c r="R87" s="1">
        <v>-5.269</v>
      </c>
      <c r="S87" s="2">
        <f>HYPERLINK("https://vdatum.noaa.gov/vdatumweb/api/convert?s_x=-68.8133&amp;s_y=44.4717&amp;s_z=0.0&amp;region=contiguous&amp;s_h_frame=NAD83_2011&amp;s_coor=geo&amp;s_v_frame=NAVD88&amp;s_v_unit=us_ft&amp;t_h_frame=NAD83_2011&amp;t_coor=geo&amp;t_v_frame=MLLW&amp;t_v_unit=us_ft", "NAVD88 to MLLW")</f>
        <v>0</v>
      </c>
      <c r="T87" s="2">
        <f>HYPERLINK("https://vdatum.noaa.gov/vdatumweb/api/convert?s_x=-68.8133&amp;s_y=44.4717&amp;s_z=0.0&amp;region=contiguous&amp;s_h_frame=NAD83_2011&amp;s_coor=geo&amp;s_v_frame=NAVD88&amp;s_v_unit=us_ft&amp;t_h_frame=NAD83_2011&amp;t_coor=geo&amp;t_v_frame=MHHW&amp;t_v_unit=us_ft", "NAVD88 to MHHW")</f>
        <v>0</v>
      </c>
    </row>
    <row r="88" spans="1:20">
      <c r="A88" s="1" t="s">
        <v>112</v>
      </c>
      <c r="B88" s="1" t="s">
        <v>617</v>
      </c>
      <c r="D88" s="1" t="s">
        <v>652</v>
      </c>
      <c r="H88" s="1">
        <v>-68.8133</v>
      </c>
      <c r="I88" s="1">
        <v>44.4717</v>
      </c>
      <c r="J88" s="1">
        <f>HYPERLINK("https://tidesandcurrents.noaa.gov/stationhome.html?id=8414721", "8414721")</f>
        <v>0</v>
      </c>
      <c r="K88" s="1" t="s">
        <v>861</v>
      </c>
      <c r="L88" s="1" t="s">
        <v>866</v>
      </c>
      <c r="M88" s="1">
        <v>3840907</v>
      </c>
      <c r="N88" s="1">
        <v>-0.081</v>
      </c>
      <c r="O88" s="1" t="s">
        <v>869</v>
      </c>
      <c r="P88" s="1" t="s">
        <v>874</v>
      </c>
      <c r="Q88" s="1">
        <v>5.876</v>
      </c>
      <c r="R88" s="1">
        <v>-5.269</v>
      </c>
      <c r="S88" s="2">
        <f>HYPERLINK("https://vdatum.noaa.gov/vdatumweb/api/convert?s_x=-68.8133&amp;s_y=44.4717&amp;s_z=0.0&amp;region=contiguous&amp;s_h_frame=NAD83_2011&amp;s_coor=geo&amp;s_v_frame=NAVD88&amp;s_v_unit=us_ft&amp;t_h_frame=NAD83_2011&amp;t_coor=geo&amp;t_v_frame=MLLW&amp;t_v_unit=us_ft", "NAVD88 to MLLW")</f>
        <v>0</v>
      </c>
      <c r="T88" s="2">
        <f>HYPERLINK("https://vdatum.noaa.gov/vdatumweb/api/convert?s_x=-68.8133&amp;s_y=44.4717&amp;s_z=0.0&amp;region=contiguous&amp;s_h_frame=NAD83_2011&amp;s_coor=geo&amp;s_v_frame=NAVD88&amp;s_v_unit=us_ft&amp;t_h_frame=NAD83_2011&amp;t_coor=geo&amp;t_v_frame=MHHW&amp;t_v_unit=us_ft", "NAVD88 to MHHW")</f>
        <v>0</v>
      </c>
    </row>
    <row r="89" spans="1:20">
      <c r="A89" s="1" t="s">
        <v>113</v>
      </c>
      <c r="B89" s="1" t="s">
        <v>617</v>
      </c>
      <c r="C89" s="1" t="s">
        <v>646</v>
      </c>
      <c r="D89" s="1" t="s">
        <v>652</v>
      </c>
      <c r="H89" s="1">
        <v>-68.8867</v>
      </c>
      <c r="I89" s="1">
        <v>44.1567</v>
      </c>
      <c r="J89" s="1">
        <f>HYPERLINK("https://tidesandcurrents.noaa.gov/stationhome.html?id=8414888", "8414888")</f>
        <v>0</v>
      </c>
      <c r="K89" s="1" t="s">
        <v>861</v>
      </c>
      <c r="L89" s="1" t="s">
        <v>866</v>
      </c>
      <c r="M89" s="1">
        <v>7415783</v>
      </c>
      <c r="N89" s="1">
        <v>-0.09</v>
      </c>
      <c r="O89" s="1" t="s">
        <v>869</v>
      </c>
      <c r="P89" s="1" t="s">
        <v>874</v>
      </c>
      <c r="Q89" s="1">
        <v>5.652</v>
      </c>
      <c r="R89" s="1">
        <v>-4.974</v>
      </c>
      <c r="S89" s="2">
        <f>HYPERLINK("https://vdatum.noaa.gov/vdatumweb/api/convert?s_x=-68.8867&amp;s_y=44.1567&amp;s_z=0.0&amp;region=contiguous&amp;s_h_frame=NAD83_2011&amp;s_coor=geo&amp;s_v_frame=NAVD88&amp;s_v_unit=us_ft&amp;t_h_frame=NAD83_2011&amp;t_coor=geo&amp;t_v_frame=MLLW&amp;t_v_unit=us_ft", "NAVD88 to MLLW")</f>
        <v>0</v>
      </c>
      <c r="T89" s="2">
        <f>HYPERLINK("https://vdatum.noaa.gov/vdatumweb/api/convert?s_x=-68.8867&amp;s_y=44.1567&amp;s_z=0.0&amp;region=contiguous&amp;s_h_frame=NAD83_2011&amp;s_coor=geo&amp;s_v_frame=NAVD88&amp;s_v_unit=us_ft&amp;t_h_frame=NAD83_2011&amp;t_coor=geo&amp;t_v_frame=MHHW&amp;t_v_unit=us_ft", "NAVD88 to MHHW")</f>
        <v>0</v>
      </c>
    </row>
    <row r="90" spans="1:20">
      <c r="A90" s="1" t="s">
        <v>114</v>
      </c>
      <c r="B90" s="1" t="s">
        <v>617</v>
      </c>
      <c r="C90" s="1" t="s">
        <v>646</v>
      </c>
      <c r="D90" s="1" t="s">
        <v>652</v>
      </c>
      <c r="E90" s="1" t="s">
        <v>693</v>
      </c>
      <c r="F90" s="1" t="s">
        <v>836</v>
      </c>
      <c r="G90" s="1" t="s">
        <v>854</v>
      </c>
      <c r="H90" s="1">
        <v>-69.10169999999999</v>
      </c>
      <c r="I90" s="1">
        <v>44.105</v>
      </c>
      <c r="J90" s="1">
        <f>HYPERLINK("https://tidesandcurrents.noaa.gov/stationhome.html?id=8415490", "8415490")</f>
        <v>0</v>
      </c>
      <c r="K90" s="1" t="s">
        <v>861</v>
      </c>
      <c r="L90" s="1" t="s">
        <v>866</v>
      </c>
      <c r="M90" s="1">
        <v>3348722</v>
      </c>
      <c r="N90" s="1">
        <v>-0.123</v>
      </c>
      <c r="O90" s="1" t="s">
        <v>869</v>
      </c>
      <c r="P90" s="1" t="s">
        <v>874</v>
      </c>
      <c r="Q90" s="1">
        <v>5.733</v>
      </c>
      <c r="R90" s="1">
        <v>-4.842</v>
      </c>
      <c r="S90" s="2">
        <f>HYPERLINK("https://vdatum.noaa.gov/vdatumweb/api/convert?s_x=-69.1017&amp;s_y=44.105&amp;s_z=0.0&amp;region=contiguous&amp;s_h_frame=NAD83_2011&amp;s_coor=geo&amp;s_v_frame=NAVD88&amp;s_v_unit=us_ft&amp;t_h_frame=NAD83_2011&amp;t_coor=geo&amp;t_v_frame=MLLW&amp;t_v_unit=us_ft", "NAVD88 to MLLW")</f>
        <v>0</v>
      </c>
      <c r="T90" s="2">
        <f>HYPERLINK("https://vdatum.noaa.gov/vdatumweb/api/convert?s_x=-69.1017&amp;s_y=44.105&amp;s_z=0.0&amp;region=contiguous&amp;s_h_frame=NAD83_2011&amp;s_coor=geo&amp;s_v_frame=NAVD88&amp;s_v_unit=us_ft&amp;t_h_frame=NAD83_2011&amp;t_coor=geo&amp;t_v_frame=MHHW&amp;t_v_unit=us_ft", "NAVD88 to MHHW")</f>
        <v>0</v>
      </c>
    </row>
    <row r="91" spans="1:20">
      <c r="A91" s="1" t="s">
        <v>115</v>
      </c>
      <c r="B91" s="1" t="s">
        <v>617</v>
      </c>
      <c r="D91" s="1" t="s">
        <v>652</v>
      </c>
      <c r="E91" s="1" t="s">
        <v>693</v>
      </c>
      <c r="F91" s="1" t="s">
        <v>836</v>
      </c>
      <c r="G91" s="1" t="s">
        <v>854</v>
      </c>
      <c r="H91" s="1">
        <v>-69.18170000000001</v>
      </c>
      <c r="I91" s="1">
        <v>44.0717</v>
      </c>
      <c r="J91" s="1">
        <f>HYPERLINK("https://tidesandcurrents.noaa.gov/stationhome.html?id=8415709", "8415709")</f>
        <v>0</v>
      </c>
      <c r="K91" s="1" t="s">
        <v>861</v>
      </c>
      <c r="L91" s="1" t="s">
        <v>866</v>
      </c>
      <c r="M91" s="1">
        <v>2429950</v>
      </c>
      <c r="N91" s="1">
        <v>0</v>
      </c>
      <c r="O91" s="1" t="s">
        <v>869</v>
      </c>
      <c r="P91" s="1" t="s">
        <v>874</v>
      </c>
      <c r="Q91" s="1">
        <v>4.457</v>
      </c>
      <c r="R91" s="1">
        <v>-5.388</v>
      </c>
      <c r="S91" s="2">
        <f>HYPERLINK("https://vdatum.noaa.gov/vdatumweb/api/convert?s_x=-69.1817&amp;s_y=44.0717&amp;s_z=0.0&amp;region=contiguous&amp;s_h_frame=NAD83_2011&amp;s_coor=geo&amp;s_v_frame=NAVD88&amp;s_v_unit=us_ft&amp;t_h_frame=NAD83_2011&amp;t_coor=geo&amp;t_v_frame=MLLW&amp;t_v_unit=us_ft", "NAVD88 to MLLW")</f>
        <v>0</v>
      </c>
      <c r="T91" s="2">
        <f>HYPERLINK("https://vdatum.noaa.gov/vdatumweb/api/convert?s_x=-69.1817&amp;s_y=44.0717&amp;s_z=0.0&amp;region=contiguous&amp;s_h_frame=NAD83_2011&amp;s_coor=geo&amp;s_v_frame=NAVD88&amp;s_v_unit=us_ft&amp;t_h_frame=NAD83_2011&amp;t_coor=geo&amp;t_v_frame=MHHW&amp;t_v_unit=us_ft", "NAVD88 to MHHW")</f>
        <v>0</v>
      </c>
    </row>
    <row r="92" spans="1:20">
      <c r="A92" s="1" t="s">
        <v>116</v>
      </c>
      <c r="B92" s="1" t="s">
        <v>617</v>
      </c>
      <c r="D92" s="1" t="s">
        <v>652</v>
      </c>
      <c r="H92" s="1">
        <v>-69.58</v>
      </c>
      <c r="I92" s="1">
        <v>43.9333</v>
      </c>
      <c r="J92" s="1">
        <f>HYPERLINK("https://tidesandcurrents.noaa.gov/stationhome.html?id=8416731", "8416731")</f>
        <v>0</v>
      </c>
      <c r="K92" s="1" t="s">
        <v>861</v>
      </c>
      <c r="L92" s="1" t="s">
        <v>866</v>
      </c>
      <c r="M92" s="1">
        <v>3521069</v>
      </c>
      <c r="N92" s="1">
        <v>-0.234</v>
      </c>
      <c r="O92" s="1" t="s">
        <v>869</v>
      </c>
      <c r="P92" s="1" t="s">
        <v>874</v>
      </c>
      <c r="Q92" s="1">
        <v>5.818</v>
      </c>
      <c r="R92" s="1">
        <v>-4.331</v>
      </c>
      <c r="S92" s="2">
        <f>HYPERLINK("https://vdatum.noaa.gov/vdatumweb/api/convert?s_x=-69.58&amp;s_y=43.9333&amp;s_z=0.0&amp;region=contiguous&amp;s_h_frame=NAD83_2011&amp;s_coor=geo&amp;s_v_frame=NAVD88&amp;s_v_unit=us_ft&amp;t_h_frame=NAD83_2011&amp;t_coor=geo&amp;t_v_frame=MLLW&amp;t_v_unit=us_ft", "NAVD88 to MLLW")</f>
        <v>0</v>
      </c>
      <c r="T92" s="2">
        <f>HYPERLINK("https://vdatum.noaa.gov/vdatumweb/api/convert?s_x=-69.58&amp;s_y=43.9333&amp;s_z=0.0&amp;region=contiguous&amp;s_h_frame=NAD83_2011&amp;s_coor=geo&amp;s_v_frame=NAVD88&amp;s_v_unit=us_ft&amp;t_h_frame=NAD83_2011&amp;t_coor=geo&amp;t_v_frame=MHHW&amp;t_v_unit=us_ft", "NAVD88 to MHHW")</f>
        <v>0</v>
      </c>
    </row>
    <row r="93" spans="1:20">
      <c r="A93" s="1" t="s">
        <v>117</v>
      </c>
      <c r="B93" s="1" t="s">
        <v>617</v>
      </c>
      <c r="D93" s="1" t="s">
        <v>652</v>
      </c>
      <c r="H93" s="1">
        <v>-69.58</v>
      </c>
      <c r="I93" s="1">
        <v>43.9333</v>
      </c>
      <c r="J93" s="1">
        <f>HYPERLINK("https://tidesandcurrents.noaa.gov/stationhome.html?id=8416731", "8416731")</f>
        <v>0</v>
      </c>
      <c r="K93" s="1" t="s">
        <v>861</v>
      </c>
      <c r="L93" s="1" t="s">
        <v>866</v>
      </c>
      <c r="M93" s="1">
        <v>3521069</v>
      </c>
      <c r="N93" s="1">
        <v>-0.234</v>
      </c>
      <c r="O93" s="1" t="s">
        <v>869</v>
      </c>
      <c r="P93" s="1" t="s">
        <v>874</v>
      </c>
      <c r="Q93" s="1">
        <v>5.818</v>
      </c>
      <c r="R93" s="1">
        <v>-4.331</v>
      </c>
      <c r="S93" s="2">
        <f>HYPERLINK("https://vdatum.noaa.gov/vdatumweb/api/convert?s_x=-69.58&amp;s_y=43.9333&amp;s_z=0.0&amp;region=contiguous&amp;s_h_frame=NAD83_2011&amp;s_coor=geo&amp;s_v_frame=NAVD88&amp;s_v_unit=us_ft&amp;t_h_frame=NAD83_2011&amp;t_coor=geo&amp;t_v_frame=MLLW&amp;t_v_unit=us_ft", "NAVD88 to MLLW")</f>
        <v>0</v>
      </c>
      <c r="T93" s="2">
        <f>HYPERLINK("https://vdatum.noaa.gov/vdatumweb/api/convert?s_x=-69.58&amp;s_y=43.9333&amp;s_z=0.0&amp;region=contiguous&amp;s_h_frame=NAD83_2011&amp;s_coor=geo&amp;s_v_frame=NAVD88&amp;s_v_unit=us_ft&amp;t_h_frame=NAD83_2011&amp;t_coor=geo&amp;t_v_frame=MHHW&amp;t_v_unit=us_ft", "NAVD88 to MHHW")</f>
        <v>0</v>
      </c>
    </row>
    <row r="94" spans="1:20">
      <c r="A94" s="1" t="s">
        <v>118</v>
      </c>
      <c r="B94" s="1" t="s">
        <v>617</v>
      </c>
      <c r="C94" s="1" t="s">
        <v>646</v>
      </c>
      <c r="D94" s="1" t="s">
        <v>652</v>
      </c>
      <c r="H94" s="1">
        <v>-69.628333</v>
      </c>
      <c r="I94" s="1">
        <v>43.85</v>
      </c>
      <c r="J94" s="1">
        <f>HYPERLINK("https://tidesandcurrents.noaa.gov/stationhome.html?id=8416828", "8416828")</f>
        <v>0</v>
      </c>
      <c r="K94" s="1" t="s">
        <v>861</v>
      </c>
      <c r="L94" s="1" t="s">
        <v>866</v>
      </c>
      <c r="M94" s="1">
        <v>2812839</v>
      </c>
      <c r="N94" s="1">
        <v>0</v>
      </c>
      <c r="O94" s="1" t="s">
        <v>869</v>
      </c>
      <c r="P94" s="1" t="s">
        <v>874</v>
      </c>
      <c r="Q94" s="1">
        <v>5.178</v>
      </c>
      <c r="R94" s="1">
        <v>-4.548</v>
      </c>
      <c r="S94" s="2">
        <f>HYPERLINK("https://vdatum.noaa.gov/vdatumweb/api/convert?s_x=-69.628333&amp;s_y=43.85&amp;s_z=0.0&amp;region=contiguous&amp;s_h_frame=NAD83_2011&amp;s_coor=geo&amp;s_v_frame=NAVD88&amp;s_v_unit=us_ft&amp;t_h_frame=NAD83_2011&amp;t_coor=geo&amp;t_v_frame=MLLW&amp;t_v_unit=us_ft", "NAVD88 to MLLW")</f>
        <v>0</v>
      </c>
      <c r="T94" s="2">
        <f>HYPERLINK("https://vdatum.noaa.gov/vdatumweb/api/convert?s_x=-69.628333&amp;s_y=43.85&amp;s_z=0.0&amp;region=contiguous&amp;s_h_frame=NAD83_2011&amp;s_coor=geo&amp;s_v_frame=NAVD88&amp;s_v_unit=us_ft&amp;t_h_frame=NAD83_2011&amp;t_coor=geo&amp;t_v_frame=MHHW&amp;t_v_unit=us_ft", "NAVD88 to MHHW")</f>
        <v>0</v>
      </c>
    </row>
    <row r="95" spans="1:20">
      <c r="A95" s="1" t="s">
        <v>119</v>
      </c>
      <c r="B95" s="1" t="s">
        <v>617</v>
      </c>
      <c r="C95" s="1" t="s">
        <v>646</v>
      </c>
      <c r="D95" s="1" t="s">
        <v>652</v>
      </c>
      <c r="E95" s="1" t="s">
        <v>694</v>
      </c>
      <c r="F95" s="1" t="s">
        <v>836</v>
      </c>
      <c r="G95" s="1" t="s">
        <v>854</v>
      </c>
      <c r="H95" s="1">
        <v>-69.66670000000001</v>
      </c>
      <c r="I95" s="1">
        <v>44</v>
      </c>
      <c r="J95" s="1">
        <f>HYPERLINK("https://tidesandcurrents.noaa.gov/stationhome.html?id=8416921", "8416921")</f>
        <v>0</v>
      </c>
      <c r="K95" s="1" t="s">
        <v>861</v>
      </c>
      <c r="L95" s="1" t="s">
        <v>866</v>
      </c>
      <c r="M95" s="1">
        <v>2998015</v>
      </c>
      <c r="N95" s="1">
        <v>0</v>
      </c>
      <c r="O95" s="1" t="s">
        <v>869</v>
      </c>
      <c r="P95" s="1" t="s">
        <v>874</v>
      </c>
      <c r="Q95" s="1">
        <v>-999999</v>
      </c>
      <c r="R95" s="1">
        <v>-999999</v>
      </c>
      <c r="S95" s="2">
        <f>HYPERLINK("https://vdatum.noaa.gov/vdatumweb/api/convert?s_x=-69.6667&amp;s_y=44.0&amp;s_z=0.0&amp;region=contiguous&amp;s_h_frame=NAD83_2011&amp;s_coor=geo&amp;s_v_frame=NAVD88&amp;s_v_unit=us_ft&amp;t_h_frame=NAD83_2011&amp;t_coor=geo&amp;t_v_frame=MLLW&amp;t_v_unit=us_ft", "Missing")</f>
        <v>0</v>
      </c>
      <c r="T95" s="2">
        <f>HYPERLINK("https://vdatum.noaa.gov/vdatumweb/api/convert?s_x=-69.6667&amp;s_y=44.0&amp;s_z=0.0&amp;region=contiguous&amp;s_h_frame=NAD83_2011&amp;s_coor=geo&amp;s_v_frame=NAVD88&amp;s_v_unit=us_ft&amp;t_h_frame=NAD83_2011&amp;t_coor=geo&amp;t_v_frame=MHHW&amp;t_v_unit=us_ft", "Missing")</f>
        <v>0</v>
      </c>
    </row>
    <row r="96" spans="1:20">
      <c r="A96" s="1" t="s">
        <v>120</v>
      </c>
      <c r="B96" s="1" t="s">
        <v>617</v>
      </c>
      <c r="C96" s="1" t="s">
        <v>646</v>
      </c>
      <c r="D96" s="1" t="s">
        <v>652</v>
      </c>
      <c r="E96" s="1" t="s">
        <v>695</v>
      </c>
      <c r="F96" s="1" t="s">
        <v>836</v>
      </c>
      <c r="G96" s="1" t="s">
        <v>854</v>
      </c>
      <c r="H96" s="1">
        <v>-69.7667</v>
      </c>
      <c r="I96" s="1">
        <v>44.2333</v>
      </c>
      <c r="J96" s="1">
        <f>HYPERLINK("https://tidesandcurrents.noaa.gov/stationhome.html?id=8417134", "8417134")</f>
        <v>0</v>
      </c>
      <c r="K96" s="1" t="s">
        <v>861</v>
      </c>
      <c r="L96" s="1" t="s">
        <v>866</v>
      </c>
      <c r="M96" s="1">
        <v>2245663</v>
      </c>
      <c r="N96" s="1">
        <v>-1.86</v>
      </c>
      <c r="O96" s="1" t="s">
        <v>869</v>
      </c>
      <c r="P96" s="1" t="s">
        <v>874</v>
      </c>
      <c r="Q96" s="1">
        <v>-999999</v>
      </c>
      <c r="R96" s="1">
        <v>-999999</v>
      </c>
      <c r="S96" s="2">
        <f>HYPERLINK("https://vdatum.noaa.gov/vdatumweb/api/convert?s_x=-69.7667&amp;s_y=44.2333&amp;s_z=0.0&amp;region=contiguous&amp;s_h_frame=NAD83_2011&amp;s_coor=geo&amp;s_v_frame=NAVD88&amp;s_v_unit=us_ft&amp;t_h_frame=NAD83_2011&amp;t_coor=geo&amp;t_v_frame=MLLW&amp;t_v_unit=us_ft", "Missing")</f>
        <v>0</v>
      </c>
      <c r="T96" s="2">
        <f>HYPERLINK("https://vdatum.noaa.gov/vdatumweb/api/convert?s_x=-69.7667&amp;s_y=44.2333&amp;s_z=0.0&amp;region=contiguous&amp;s_h_frame=NAD83_2011&amp;s_coor=geo&amp;s_v_frame=NAVD88&amp;s_v_unit=us_ft&amp;t_h_frame=NAD83_2011&amp;t_coor=geo&amp;t_v_frame=MHHW&amp;t_v_unit=us_ft", "Missing")</f>
        <v>0</v>
      </c>
    </row>
    <row r="97" spans="1:20">
      <c r="A97" s="1" t="s">
        <v>121</v>
      </c>
      <c r="B97" s="1" t="s">
        <v>617</v>
      </c>
      <c r="D97" s="1" t="s">
        <v>652</v>
      </c>
      <c r="H97" s="1">
        <v>-69.785</v>
      </c>
      <c r="I97" s="1">
        <v>43.755</v>
      </c>
      <c r="J97" s="1">
        <f>HYPERLINK("https://tidesandcurrents.noaa.gov/stationhome.html?id=8417177", "8417177")</f>
        <v>0</v>
      </c>
      <c r="K97" s="1" t="s">
        <v>860</v>
      </c>
      <c r="L97" s="1" t="s">
        <v>866</v>
      </c>
      <c r="M97" s="1">
        <v>3998843</v>
      </c>
      <c r="N97" s="1">
        <v>-0.047</v>
      </c>
      <c r="O97" s="1" t="s">
        <v>869</v>
      </c>
      <c r="P97" s="1" t="s">
        <v>874</v>
      </c>
      <c r="Q97" s="1">
        <v>4.752</v>
      </c>
      <c r="R97" s="1">
        <v>-4.503</v>
      </c>
      <c r="S97" s="2">
        <f>HYPERLINK("https://vdatum.noaa.gov/vdatumweb/api/convert?s_x=-69.785&amp;s_y=43.755&amp;s_z=0.0&amp;region=contiguous&amp;s_h_frame=NAD83_2011&amp;s_coor=geo&amp;s_v_frame=NAVD88&amp;s_v_unit=us_ft&amp;t_h_frame=NAD83_2011&amp;t_coor=geo&amp;t_v_frame=MLLW&amp;t_v_unit=us_ft", "NAVD88 to MLLW")</f>
        <v>0</v>
      </c>
      <c r="T97" s="2">
        <f>HYPERLINK("https://vdatum.noaa.gov/vdatumweb/api/convert?s_x=-69.785&amp;s_y=43.755&amp;s_z=0.0&amp;region=contiguous&amp;s_h_frame=NAD83_2011&amp;s_coor=geo&amp;s_v_frame=NAVD88&amp;s_v_unit=us_ft&amp;t_h_frame=NAD83_2011&amp;t_coor=geo&amp;t_v_frame=MHHW&amp;t_v_unit=us_ft", "NAVD88 to MHHW")</f>
        <v>0</v>
      </c>
    </row>
    <row r="98" spans="1:20">
      <c r="A98" s="1" t="s">
        <v>122</v>
      </c>
      <c r="B98" s="1" t="s">
        <v>617</v>
      </c>
      <c r="C98" s="1" t="s">
        <v>646</v>
      </c>
      <c r="D98" s="1" t="s">
        <v>652</v>
      </c>
      <c r="E98" s="1" t="s">
        <v>696</v>
      </c>
      <c r="F98" s="1" t="s">
        <v>836</v>
      </c>
      <c r="G98" s="1" t="s">
        <v>854</v>
      </c>
      <c r="H98" s="1">
        <v>-69.815</v>
      </c>
      <c r="I98" s="1">
        <v>43.925</v>
      </c>
      <c r="J98" s="1">
        <f>HYPERLINK("https://tidesandcurrents.noaa.gov/stationhome.html?id=8417227", "8417227")</f>
        <v>0</v>
      </c>
      <c r="K98" s="1" t="s">
        <v>860</v>
      </c>
      <c r="L98" s="1" t="s">
        <v>866</v>
      </c>
      <c r="M98" s="1">
        <v>2153871</v>
      </c>
      <c r="N98" s="1">
        <v>-1.97</v>
      </c>
      <c r="O98" s="1" t="s">
        <v>869</v>
      </c>
      <c r="P98" s="1" t="s">
        <v>874</v>
      </c>
      <c r="Q98" s="1">
        <v>-999999</v>
      </c>
      <c r="R98" s="1">
        <v>-999999</v>
      </c>
      <c r="S98" s="2">
        <f>HYPERLINK("https://vdatum.noaa.gov/vdatumweb/api/convert?s_x=-69.815&amp;s_y=43.925&amp;s_z=0.0&amp;region=contiguous&amp;s_h_frame=NAD83_2011&amp;s_coor=geo&amp;s_v_frame=NAVD88&amp;s_v_unit=us_ft&amp;t_h_frame=NAD83_2011&amp;t_coor=geo&amp;t_v_frame=MLLW&amp;t_v_unit=us_ft", "Missing")</f>
        <v>0</v>
      </c>
      <c r="T98" s="2">
        <f>HYPERLINK("https://vdatum.noaa.gov/vdatumweb/api/convert?s_x=-69.815&amp;s_y=43.925&amp;s_z=0.0&amp;region=contiguous&amp;s_h_frame=NAD83_2011&amp;s_coor=geo&amp;s_v_frame=NAVD88&amp;s_v_unit=us_ft&amp;t_h_frame=NAD83_2011&amp;t_coor=geo&amp;t_v_frame=MHHW&amp;t_v_unit=us_ft", "Missing")</f>
        <v>0</v>
      </c>
    </row>
    <row r="99" spans="1:20">
      <c r="A99" s="1" t="s">
        <v>123</v>
      </c>
      <c r="B99" s="1" t="s">
        <v>617</v>
      </c>
      <c r="D99" s="1" t="s">
        <v>652</v>
      </c>
      <c r="H99" s="1">
        <v>-70.2067</v>
      </c>
      <c r="I99" s="1">
        <v>43.6233</v>
      </c>
      <c r="J99" s="1">
        <f>HYPERLINK("https://tidesandcurrents.noaa.gov/stationhome.html?id=8418031", "8418031")</f>
        <v>0</v>
      </c>
      <c r="K99" s="1" t="s">
        <v>861</v>
      </c>
      <c r="L99" s="1" t="s">
        <v>866</v>
      </c>
      <c r="M99" s="1">
        <v>2999145</v>
      </c>
      <c r="N99" s="1">
        <v>0</v>
      </c>
      <c r="O99" s="1" t="s">
        <v>869</v>
      </c>
      <c r="P99" s="1" t="s">
        <v>874</v>
      </c>
      <c r="Q99" s="1">
        <v>5.005</v>
      </c>
      <c r="R99" s="1">
        <v>-4.654</v>
      </c>
      <c r="S99" s="2">
        <f>HYPERLINK("https://vdatum.noaa.gov/vdatumweb/api/convert?s_x=-70.2067&amp;s_y=43.6233&amp;s_z=0.0&amp;region=contiguous&amp;s_h_frame=NAD83_2011&amp;s_coor=geo&amp;s_v_frame=NAVD88&amp;s_v_unit=us_ft&amp;t_h_frame=NAD83_2011&amp;t_coor=geo&amp;t_v_frame=MLLW&amp;t_v_unit=us_ft", "NAVD88 to MLLW")</f>
        <v>0</v>
      </c>
      <c r="T99" s="2">
        <f>HYPERLINK("https://vdatum.noaa.gov/vdatumweb/api/convert?s_x=-70.2067&amp;s_y=43.6233&amp;s_z=0.0&amp;region=contiguous&amp;s_h_frame=NAD83_2011&amp;s_coor=geo&amp;s_v_frame=NAVD88&amp;s_v_unit=us_ft&amp;t_h_frame=NAD83_2011&amp;t_coor=geo&amp;t_v_frame=MHHW&amp;t_v_unit=us_ft", "NAVD88 to MHHW")</f>
        <v>0</v>
      </c>
    </row>
    <row r="100" spans="1:20">
      <c r="A100" s="1" t="s">
        <v>124</v>
      </c>
      <c r="B100" s="1" t="s">
        <v>617</v>
      </c>
      <c r="D100" s="1" t="s">
        <v>652</v>
      </c>
      <c r="H100" s="1">
        <v>-70.24420000000001</v>
      </c>
      <c r="I100" s="1">
        <v>43.65806</v>
      </c>
      <c r="J100" s="1">
        <f>HYPERLINK("https://tidesandcurrents.noaa.gov/stationhome.html?id=8418150", "8418150")</f>
        <v>0</v>
      </c>
      <c r="K100" s="1" t="s">
        <v>860</v>
      </c>
      <c r="L100" s="1" t="s">
        <v>866</v>
      </c>
      <c r="M100" s="1">
        <v>3685427</v>
      </c>
      <c r="N100" s="1">
        <v>0</v>
      </c>
      <c r="O100" s="1" t="s">
        <v>869</v>
      </c>
      <c r="P100" s="1" t="s">
        <v>874</v>
      </c>
      <c r="Q100" s="1">
        <v>5.243</v>
      </c>
      <c r="R100" s="1">
        <v>-4.653</v>
      </c>
      <c r="S100" s="2">
        <f>HYPERLINK("https://vdatum.noaa.gov/vdatumweb/api/convert?s_x=-70.2442&amp;s_y=43.65806&amp;s_z=0.0&amp;region=contiguous&amp;s_h_frame=NAD83_2011&amp;s_coor=geo&amp;s_v_frame=NAVD88&amp;s_v_unit=us_ft&amp;t_h_frame=NAD83_2011&amp;t_coor=geo&amp;t_v_frame=MLLW&amp;t_v_unit=us_ft", "NAVD88 to MLLW")</f>
        <v>0</v>
      </c>
      <c r="T100" s="2">
        <f>HYPERLINK("https://vdatum.noaa.gov/vdatumweb/api/convert?s_x=-70.2442&amp;s_y=43.65806&amp;s_z=0.0&amp;region=contiguous&amp;s_h_frame=NAD83_2011&amp;s_coor=geo&amp;s_v_frame=NAVD88&amp;s_v_unit=us_ft&amp;t_h_frame=NAD83_2011&amp;t_coor=geo&amp;t_v_frame=MHHW&amp;t_v_unit=us_ft", "NAVD88 to MHHW")</f>
        <v>0</v>
      </c>
    </row>
    <row r="101" spans="1:20">
      <c r="A101" s="1" t="s">
        <v>125</v>
      </c>
      <c r="B101" s="1" t="s">
        <v>617</v>
      </c>
      <c r="D101" s="1" t="s">
        <v>652</v>
      </c>
      <c r="H101" s="1">
        <v>-70.33329999999999</v>
      </c>
      <c r="I101" s="1">
        <v>43.545</v>
      </c>
      <c r="J101" s="1">
        <f>HYPERLINK("https://tidesandcurrents.noaa.gov/stationhome.html?id=8418445", "8418445")</f>
        <v>0</v>
      </c>
      <c r="K101" s="1" t="s">
        <v>861</v>
      </c>
      <c r="L101" s="1" t="s">
        <v>866</v>
      </c>
      <c r="M101" s="1">
        <v>5102217</v>
      </c>
      <c r="N101" s="1">
        <v>0</v>
      </c>
      <c r="O101" s="1" t="s">
        <v>869</v>
      </c>
      <c r="P101" s="1" t="s">
        <v>874</v>
      </c>
      <c r="Q101" s="1">
        <v>4.921</v>
      </c>
      <c r="R101" s="1">
        <v>-4.599</v>
      </c>
      <c r="S101" s="2">
        <f>HYPERLINK("https://vdatum.noaa.gov/vdatumweb/api/convert?s_x=-70.3333&amp;s_y=43.545&amp;s_z=0.0&amp;region=contiguous&amp;s_h_frame=NAD83_2011&amp;s_coor=geo&amp;s_v_frame=NAVD88&amp;s_v_unit=us_ft&amp;t_h_frame=NAD83_2011&amp;t_coor=geo&amp;t_v_frame=MLLW&amp;t_v_unit=us_ft", "NAVD88 to MLLW")</f>
        <v>0</v>
      </c>
      <c r="T101" s="2">
        <f>HYPERLINK("https://vdatum.noaa.gov/vdatumweb/api/convert?s_x=-70.3333&amp;s_y=43.545&amp;s_z=0.0&amp;region=contiguous&amp;s_h_frame=NAD83_2011&amp;s_coor=geo&amp;s_v_frame=NAVD88&amp;s_v_unit=us_ft&amp;t_h_frame=NAD83_2011&amp;t_coor=geo&amp;t_v_frame=MHHW&amp;t_v_unit=us_ft", "NAVD88 to MHHW")</f>
        <v>0</v>
      </c>
    </row>
    <row r="102" spans="1:20">
      <c r="A102" s="1" t="s">
        <v>126</v>
      </c>
      <c r="B102" s="1" t="s">
        <v>617</v>
      </c>
      <c r="C102" s="1" t="s">
        <v>646</v>
      </c>
      <c r="D102" s="1" t="s">
        <v>652</v>
      </c>
      <c r="E102" s="1" t="s">
        <v>663</v>
      </c>
      <c r="F102" s="1" t="s">
        <v>836</v>
      </c>
      <c r="G102" s="1" t="s">
        <v>854</v>
      </c>
      <c r="H102" s="1">
        <v>-70.3817</v>
      </c>
      <c r="I102" s="1">
        <v>43.4617</v>
      </c>
      <c r="J102" s="1">
        <f>HYPERLINK("https://tidesandcurrents.noaa.gov/stationhome.html?id=8418606", "8418606")</f>
        <v>0</v>
      </c>
      <c r="K102" s="1" t="s">
        <v>861</v>
      </c>
      <c r="L102" s="1" t="s">
        <v>866</v>
      </c>
      <c r="M102" s="1">
        <v>3523342</v>
      </c>
      <c r="N102" s="1">
        <v>-0.052</v>
      </c>
      <c r="O102" s="1" t="s">
        <v>869</v>
      </c>
      <c r="P102" s="1" t="s">
        <v>874</v>
      </c>
      <c r="Q102" s="1">
        <v>4.994</v>
      </c>
      <c r="R102" s="1">
        <v>-4.685</v>
      </c>
      <c r="S102" s="2">
        <f>HYPERLINK("https://vdatum.noaa.gov/vdatumweb/api/convert?s_x=-70.3817&amp;s_y=43.4617&amp;s_z=0.0&amp;region=contiguous&amp;s_h_frame=NAD83_2011&amp;s_coor=geo&amp;s_v_frame=NAVD88&amp;s_v_unit=us_ft&amp;t_h_frame=NAD83_2011&amp;t_coor=geo&amp;t_v_frame=MLLW&amp;t_v_unit=us_ft", "NAVD88 to MLLW")</f>
        <v>0</v>
      </c>
      <c r="T102" s="2">
        <f>HYPERLINK("https://vdatum.noaa.gov/vdatumweb/api/convert?s_x=-70.3817&amp;s_y=43.4617&amp;s_z=0.0&amp;region=contiguous&amp;s_h_frame=NAD83_2011&amp;s_coor=geo&amp;s_v_frame=NAVD88&amp;s_v_unit=us_ft&amp;t_h_frame=NAD83_2011&amp;t_coor=geo&amp;t_v_frame=MHHW&amp;t_v_unit=us_ft", "NAVD88 to MHHW")</f>
        <v>0</v>
      </c>
    </row>
    <row r="103" spans="1:20">
      <c r="A103" s="1" t="s">
        <v>127</v>
      </c>
      <c r="B103" s="1" t="s">
        <v>617</v>
      </c>
      <c r="C103" s="1" t="s">
        <v>646</v>
      </c>
      <c r="D103" s="1" t="s">
        <v>652</v>
      </c>
      <c r="E103" s="1" t="s">
        <v>663</v>
      </c>
      <c r="F103" s="1" t="s">
        <v>836</v>
      </c>
      <c r="G103" s="1" t="s">
        <v>854</v>
      </c>
      <c r="H103" s="1">
        <v>-70.44670000000001</v>
      </c>
      <c r="I103" s="1">
        <v>43.4917</v>
      </c>
      <c r="J103" s="1">
        <f>HYPERLINK("https://tidesandcurrents.noaa.gov/stationhome.html?id=8418828", "8418828")</f>
        <v>0</v>
      </c>
      <c r="K103" s="1" t="s">
        <v>861</v>
      </c>
      <c r="L103" s="1" t="s">
        <v>866</v>
      </c>
      <c r="M103" s="1">
        <v>3179579</v>
      </c>
      <c r="N103" s="1">
        <v>-2.36</v>
      </c>
      <c r="O103" s="1" t="s">
        <v>869</v>
      </c>
      <c r="P103" s="1" t="s">
        <v>874</v>
      </c>
      <c r="Q103" s="1">
        <v>-999999</v>
      </c>
      <c r="R103" s="1">
        <v>-999999</v>
      </c>
      <c r="S103" s="2">
        <f>HYPERLINK("https://vdatum.noaa.gov/vdatumweb/api/convert?s_x=-70.4467&amp;s_y=43.4917&amp;s_z=0.0&amp;region=contiguous&amp;s_h_frame=NAD83_2011&amp;s_coor=geo&amp;s_v_frame=NAVD88&amp;s_v_unit=us_ft&amp;t_h_frame=NAD83_2011&amp;t_coor=geo&amp;t_v_frame=MLLW&amp;t_v_unit=us_ft", "Missing")</f>
        <v>0</v>
      </c>
      <c r="T103" s="2">
        <f>HYPERLINK("https://vdatum.noaa.gov/vdatumweb/api/convert?s_x=-70.4467&amp;s_y=43.4917&amp;s_z=0.0&amp;region=contiguous&amp;s_h_frame=NAD83_2011&amp;s_coor=geo&amp;s_v_frame=NAVD88&amp;s_v_unit=us_ft&amp;t_h_frame=NAD83_2011&amp;t_coor=geo&amp;t_v_frame=MHHW&amp;t_v_unit=us_ft", "Missing")</f>
        <v>0</v>
      </c>
    </row>
    <row r="104" spans="1:20">
      <c r="A104" s="1" t="s">
        <v>128</v>
      </c>
      <c r="B104" s="1" t="s">
        <v>617</v>
      </c>
      <c r="C104" s="1" t="s">
        <v>646</v>
      </c>
      <c r="D104" s="1" t="s">
        <v>652</v>
      </c>
      <c r="E104" s="1" t="s">
        <v>663</v>
      </c>
      <c r="F104" s="1" t="s">
        <v>836</v>
      </c>
      <c r="G104" s="1" t="s">
        <v>854</v>
      </c>
      <c r="H104" s="1">
        <v>-70.47669999999999</v>
      </c>
      <c r="I104" s="1">
        <v>43.3583</v>
      </c>
      <c r="J104" s="1">
        <f>HYPERLINK("https://tidesandcurrents.noaa.gov/stationhome.html?id=8418911", "8418911")</f>
        <v>0</v>
      </c>
      <c r="K104" s="1" t="s">
        <v>861</v>
      </c>
      <c r="L104" s="1" t="s">
        <v>866</v>
      </c>
      <c r="M104" s="1">
        <v>3180344</v>
      </c>
      <c r="N104" s="1">
        <v>-0.08799999999999999</v>
      </c>
      <c r="O104" s="1" t="s">
        <v>869</v>
      </c>
      <c r="P104" s="1" t="s">
        <v>874</v>
      </c>
      <c r="Q104" s="1">
        <v>5.093</v>
      </c>
      <c r="R104" s="1">
        <v>-4.509</v>
      </c>
      <c r="S104" s="2">
        <f>HYPERLINK("https://vdatum.noaa.gov/vdatumweb/api/convert?s_x=-70.4767&amp;s_y=43.3583&amp;s_z=0.0&amp;region=contiguous&amp;s_h_frame=NAD83_2011&amp;s_coor=geo&amp;s_v_frame=NAVD88&amp;s_v_unit=us_ft&amp;t_h_frame=NAD83_2011&amp;t_coor=geo&amp;t_v_frame=MLLW&amp;t_v_unit=us_ft", "NAVD88 to MLLW")</f>
        <v>0</v>
      </c>
      <c r="T104" s="2">
        <f>HYPERLINK("https://vdatum.noaa.gov/vdatumweb/api/convert?s_x=-70.4767&amp;s_y=43.3583&amp;s_z=0.0&amp;region=contiguous&amp;s_h_frame=NAD83_2011&amp;s_coor=geo&amp;s_v_frame=NAVD88&amp;s_v_unit=us_ft&amp;t_h_frame=NAD83_2011&amp;t_coor=geo&amp;t_v_frame=MHHW&amp;t_v_unit=us_ft", "NAVD88 to MHHW")</f>
        <v>0</v>
      </c>
    </row>
    <row r="105" spans="1:20">
      <c r="A105" s="1" t="s">
        <v>129</v>
      </c>
      <c r="B105" s="1" t="s">
        <v>617</v>
      </c>
      <c r="C105" s="1" t="s">
        <v>646</v>
      </c>
      <c r="D105" s="1" t="s">
        <v>652</v>
      </c>
      <c r="H105" s="1">
        <v>-70.5633</v>
      </c>
      <c r="I105" s="1">
        <v>43.32</v>
      </c>
      <c r="J105" s="1">
        <f>HYPERLINK("https://tidesandcurrents.noaa.gov/stationhome.html?id=8419317", "8419317")</f>
        <v>0</v>
      </c>
      <c r="K105" s="1" t="s">
        <v>860</v>
      </c>
      <c r="L105" s="1" t="s">
        <v>866</v>
      </c>
      <c r="M105" s="1">
        <v>4151267</v>
      </c>
      <c r="N105" s="1">
        <v>0</v>
      </c>
      <c r="O105" s="1" t="s">
        <v>869</v>
      </c>
      <c r="P105" s="1" t="s">
        <v>874</v>
      </c>
      <c r="Q105" s="1">
        <v>5.05</v>
      </c>
      <c r="R105" s="1">
        <v>-4.491</v>
      </c>
      <c r="S105" s="2">
        <f>HYPERLINK("https://vdatum.noaa.gov/vdatumweb/api/convert?s_x=-70.5633&amp;s_y=43.32&amp;s_z=0.0&amp;region=contiguous&amp;s_h_frame=NAD83_2011&amp;s_coor=geo&amp;s_v_frame=NAVD88&amp;s_v_unit=us_ft&amp;t_h_frame=NAD83_2011&amp;t_coor=geo&amp;t_v_frame=MLLW&amp;t_v_unit=us_ft", "NAVD88 to MLLW")</f>
        <v>0</v>
      </c>
      <c r="T105" s="2">
        <f>HYPERLINK("https://vdatum.noaa.gov/vdatumweb/api/convert?s_x=-70.5633&amp;s_y=43.32&amp;s_z=0.0&amp;region=contiguous&amp;s_h_frame=NAD83_2011&amp;s_coor=geo&amp;s_v_frame=NAVD88&amp;s_v_unit=us_ft&amp;t_h_frame=NAD83_2011&amp;t_coor=geo&amp;t_v_frame=MHHW&amp;t_v_unit=us_ft", "NAVD88 to MHHW")</f>
        <v>0</v>
      </c>
    </row>
    <row r="106" spans="1:20">
      <c r="A106" s="1" t="s">
        <v>130</v>
      </c>
      <c r="B106" s="1" t="s">
        <v>617</v>
      </c>
      <c r="D106" s="1" t="s">
        <v>652</v>
      </c>
      <c r="E106" s="1" t="s">
        <v>663</v>
      </c>
      <c r="F106" s="1" t="s">
        <v>836</v>
      </c>
      <c r="G106" s="1" t="s">
        <v>854</v>
      </c>
      <c r="H106" s="1">
        <v>-70.5933</v>
      </c>
      <c r="I106" s="1">
        <v>43.1667</v>
      </c>
      <c r="J106" s="1">
        <f>HYPERLINK("https://tidesandcurrents.noaa.gov/stationhome.html?id=8419399", "8419399")</f>
        <v>0</v>
      </c>
      <c r="K106" s="1" t="s">
        <v>861</v>
      </c>
      <c r="L106" s="1" t="s">
        <v>866</v>
      </c>
      <c r="M106" s="1">
        <v>3180642</v>
      </c>
      <c r="N106" s="1">
        <v>0</v>
      </c>
      <c r="O106" s="1" t="s">
        <v>869</v>
      </c>
      <c r="P106" s="1" t="s">
        <v>874</v>
      </c>
      <c r="Q106" s="1">
        <v>4.994</v>
      </c>
      <c r="R106" s="1">
        <v>-4.468</v>
      </c>
      <c r="S106" s="2">
        <f>HYPERLINK("https://vdatum.noaa.gov/vdatumweb/api/convert?s_x=-70.5933&amp;s_y=43.1667&amp;s_z=0.0&amp;region=contiguous&amp;s_h_frame=NAD83_2011&amp;s_coor=geo&amp;s_v_frame=NAVD88&amp;s_v_unit=us_ft&amp;t_h_frame=NAD83_2011&amp;t_coor=geo&amp;t_v_frame=MLLW&amp;t_v_unit=us_ft", "NAVD88 to MLLW")</f>
        <v>0</v>
      </c>
      <c r="T106" s="2">
        <f>HYPERLINK("https://vdatum.noaa.gov/vdatumweb/api/convert?s_x=-70.5933&amp;s_y=43.1667&amp;s_z=0.0&amp;region=contiguous&amp;s_h_frame=NAD83_2011&amp;s_coor=geo&amp;s_v_frame=NAVD88&amp;s_v_unit=us_ft&amp;t_h_frame=NAD83_2011&amp;t_coor=geo&amp;t_v_frame=MHHW&amp;t_v_unit=us_ft", "NAVD88 to MHHW")</f>
        <v>0</v>
      </c>
    </row>
    <row r="107" spans="1:20">
      <c r="A107" s="1" t="s">
        <v>131</v>
      </c>
      <c r="B107" s="1" t="s">
        <v>617</v>
      </c>
      <c r="D107" s="1" t="s">
        <v>652</v>
      </c>
      <c r="E107" s="1" t="s">
        <v>663</v>
      </c>
      <c r="F107" s="1" t="s">
        <v>836</v>
      </c>
      <c r="G107" s="1" t="s">
        <v>854</v>
      </c>
      <c r="H107" s="1">
        <v>-70.741</v>
      </c>
      <c r="I107" s="1">
        <v>43.07972</v>
      </c>
      <c r="J107" s="1">
        <f>HYPERLINK("https://tidesandcurrents.noaa.gov/stationhome.html?id=8419870", "8419870")</f>
        <v>0</v>
      </c>
      <c r="K107" s="1" t="s">
        <v>861</v>
      </c>
      <c r="L107" s="1" t="s">
        <v>866</v>
      </c>
      <c r="M107" s="1">
        <v>4846541</v>
      </c>
      <c r="N107" s="1">
        <v>0</v>
      </c>
      <c r="O107" s="1" t="s">
        <v>869</v>
      </c>
      <c r="P107" s="1" t="s">
        <v>874</v>
      </c>
      <c r="Q107" s="1">
        <v>4.617</v>
      </c>
      <c r="R107" s="1">
        <v>-4.214</v>
      </c>
      <c r="S107" s="2">
        <f>HYPERLINK("https://vdatum.noaa.gov/vdatumweb/api/convert?s_x=-70.741&amp;s_y=43.07972&amp;s_z=0.0&amp;region=contiguous&amp;s_h_frame=NAD83_2011&amp;s_coor=geo&amp;s_v_frame=NAVD88&amp;s_v_unit=us_ft&amp;t_h_frame=NAD83_2011&amp;t_coor=geo&amp;t_v_frame=MLLW&amp;t_v_unit=us_ft", "NAVD88 to MLLW")</f>
        <v>0</v>
      </c>
      <c r="T107" s="2">
        <f>HYPERLINK("https://vdatum.noaa.gov/vdatumweb/api/convert?s_x=-70.741&amp;s_y=43.07972&amp;s_z=0.0&amp;region=contiguous&amp;s_h_frame=NAD83_2011&amp;s_coor=geo&amp;s_v_frame=NAVD88&amp;s_v_unit=us_ft&amp;t_h_frame=NAD83_2011&amp;t_coor=geo&amp;t_v_frame=MHHW&amp;t_v_unit=us_ft", "NAVD88 to MHHW")</f>
        <v>0</v>
      </c>
    </row>
    <row r="108" spans="1:20">
      <c r="A108" s="1" t="s">
        <v>132</v>
      </c>
      <c r="B108" s="1" t="s">
        <v>617</v>
      </c>
      <c r="D108" s="1" t="s">
        <v>652</v>
      </c>
      <c r="E108" s="1" t="s">
        <v>697</v>
      </c>
      <c r="F108" s="1" t="s">
        <v>839</v>
      </c>
      <c r="G108" s="1" t="s">
        <v>854</v>
      </c>
      <c r="H108" s="1">
        <v>-70.7106</v>
      </c>
      <c r="I108" s="1">
        <v>43.07139</v>
      </c>
      <c r="J108" s="1">
        <f>HYPERLINK("https://tidesandcurrents.noaa.gov/stationhome.html?id=8423898", "8423898")</f>
        <v>0</v>
      </c>
      <c r="K108" s="1" t="s">
        <v>860</v>
      </c>
      <c r="L108" s="1" t="s">
        <v>866</v>
      </c>
      <c r="M108" s="1">
        <v>5464127</v>
      </c>
      <c r="N108" s="1">
        <v>0</v>
      </c>
      <c r="O108" s="1" t="s">
        <v>869</v>
      </c>
      <c r="P108" s="1" t="s">
        <v>874</v>
      </c>
      <c r="Q108" s="1">
        <v>5.01</v>
      </c>
      <c r="R108" s="1">
        <v>-4.42</v>
      </c>
      <c r="S108" s="2">
        <f>HYPERLINK("https://vdatum.noaa.gov/vdatumweb/api/convert?s_x=-70.7106&amp;s_y=43.07139&amp;s_z=0.0&amp;region=contiguous&amp;s_h_frame=NAD83_2011&amp;s_coor=geo&amp;s_v_frame=NAVD88&amp;s_v_unit=us_ft&amp;t_h_frame=NAD83_2011&amp;t_coor=geo&amp;t_v_frame=MLLW&amp;t_v_unit=us_ft", "NAVD88 to MLLW")</f>
        <v>0</v>
      </c>
      <c r="T108" s="2">
        <f>HYPERLINK("https://vdatum.noaa.gov/vdatumweb/api/convert?s_x=-70.7106&amp;s_y=43.07139&amp;s_z=0.0&amp;region=contiguous&amp;s_h_frame=NAD83_2011&amp;s_coor=geo&amp;s_v_frame=NAVD88&amp;s_v_unit=us_ft&amp;t_h_frame=NAD83_2011&amp;t_coor=geo&amp;t_v_frame=MHHW&amp;t_v_unit=us_ft", "NAVD88 to MHHW")</f>
        <v>0</v>
      </c>
    </row>
    <row r="109" spans="1:20">
      <c r="A109" s="1" t="s">
        <v>133</v>
      </c>
      <c r="B109" s="1" t="s">
        <v>617</v>
      </c>
      <c r="D109" s="1" t="s">
        <v>652</v>
      </c>
      <c r="E109" s="1" t="s">
        <v>697</v>
      </c>
      <c r="F109" s="1" t="s">
        <v>839</v>
      </c>
      <c r="G109" s="1" t="s">
        <v>854</v>
      </c>
      <c r="H109" s="1">
        <v>-70.81666</v>
      </c>
      <c r="I109" s="1">
        <v>42.895</v>
      </c>
      <c r="J109" s="1">
        <f>HYPERLINK("https://tidesandcurrents.noaa.gov/stationhome.html?id=8429489", "8429489")</f>
        <v>0</v>
      </c>
      <c r="K109" s="1" t="s">
        <v>860</v>
      </c>
      <c r="L109" s="1" t="s">
        <v>866</v>
      </c>
      <c r="M109" s="1">
        <v>4440313</v>
      </c>
      <c r="N109" s="1">
        <v>0</v>
      </c>
      <c r="O109" s="1" t="s">
        <v>869</v>
      </c>
      <c r="P109" s="1" t="s">
        <v>874</v>
      </c>
      <c r="Q109" s="1">
        <v>5.2</v>
      </c>
      <c r="R109" s="1">
        <v>-4.37</v>
      </c>
      <c r="S109" s="2">
        <f>HYPERLINK("https://vdatum.noaa.gov/vdatumweb/api/convert?s_x=-70.81666&amp;s_y=42.895&amp;s_z=0.0&amp;region=contiguous&amp;s_h_frame=NAD83_2011&amp;s_coor=geo&amp;s_v_frame=NAVD88&amp;s_v_unit=us_ft&amp;t_h_frame=NAD83_2011&amp;t_coor=geo&amp;t_v_frame=MLLW&amp;t_v_unit=us_ft", "NAVD88 to MLLW")</f>
        <v>0</v>
      </c>
      <c r="T109" s="2">
        <f>HYPERLINK("https://vdatum.noaa.gov/vdatumweb/api/convert?s_x=-70.81666&amp;s_y=42.895&amp;s_z=0.0&amp;region=contiguous&amp;s_h_frame=NAD83_2011&amp;s_coor=geo&amp;s_v_frame=NAVD88&amp;s_v_unit=us_ft&amp;t_h_frame=NAD83_2011&amp;t_coor=geo&amp;t_v_frame=MHHW&amp;t_v_unit=us_ft", "NAVD88 to MHHW")</f>
        <v>0</v>
      </c>
    </row>
    <row r="110" spans="1:20">
      <c r="A110" s="1" t="s">
        <v>134</v>
      </c>
      <c r="B110" s="1" t="s">
        <v>617</v>
      </c>
      <c r="D110" s="1" t="s">
        <v>652</v>
      </c>
      <c r="H110" s="1">
        <v>-69.79000000000001</v>
      </c>
      <c r="I110" s="1">
        <v>43.84</v>
      </c>
      <c r="J110" s="1" t="s">
        <v>859</v>
      </c>
      <c r="K110" s="1" t="s">
        <v>861</v>
      </c>
      <c r="L110" s="1" t="s">
        <v>859</v>
      </c>
      <c r="M110" s="1">
        <v>3684301</v>
      </c>
      <c r="N110" s="1">
        <v>0</v>
      </c>
      <c r="O110" s="1" t="s">
        <v>869</v>
      </c>
      <c r="P110" s="1" t="s">
        <v>874</v>
      </c>
      <c r="Q110" s="1">
        <v>4.564</v>
      </c>
      <c r="R110" s="1">
        <v>-4.642</v>
      </c>
      <c r="S110" s="2">
        <f>HYPERLINK("https://vdatum.noaa.gov/vdatumweb/api/convert?s_x=-69.79&amp;s_y=43.84&amp;s_z=0.0&amp;region=contiguous&amp;s_h_frame=NAD83_2011&amp;s_coor=geo&amp;s_v_frame=NAVD88&amp;s_v_unit=us_ft&amp;t_h_frame=NAD83_2011&amp;t_coor=geo&amp;t_v_frame=MLLW&amp;t_v_unit=us_ft", "NAVD88 to MLLW")</f>
        <v>0</v>
      </c>
      <c r="T110" s="2">
        <f>HYPERLINK("https://vdatum.noaa.gov/vdatumweb/api/convert?s_x=-69.79&amp;s_y=43.84&amp;s_z=0.0&amp;region=contiguous&amp;s_h_frame=NAD83_2011&amp;s_coor=geo&amp;s_v_frame=NAVD88&amp;s_v_unit=us_ft&amp;t_h_frame=NAD83_2011&amp;t_coor=geo&amp;t_v_frame=MHHW&amp;t_v_unit=us_ft", "NAVD88 to MHHW")</f>
        <v>0</v>
      </c>
    </row>
    <row r="111" spans="1:20">
      <c r="A111" s="1" t="s">
        <v>135</v>
      </c>
      <c r="B111" s="1" t="s">
        <v>617</v>
      </c>
      <c r="D111" s="1" t="s">
        <v>652</v>
      </c>
      <c r="H111" s="1">
        <v>-69.03</v>
      </c>
      <c r="I111" s="1">
        <v>44.19</v>
      </c>
      <c r="J111" s="1" t="s">
        <v>859</v>
      </c>
      <c r="K111" s="1" t="s">
        <v>861</v>
      </c>
      <c r="L111" s="1" t="s">
        <v>859</v>
      </c>
      <c r="M111" s="1">
        <v>3173874</v>
      </c>
      <c r="N111" s="1">
        <v>0</v>
      </c>
      <c r="O111" s="1" t="s">
        <v>869</v>
      </c>
      <c r="P111" s="1" t="s">
        <v>874</v>
      </c>
      <c r="Q111" s="1">
        <v>5.686</v>
      </c>
      <c r="R111" s="1">
        <v>-4.971</v>
      </c>
      <c r="S111" s="2">
        <f>HYPERLINK("https://vdatum.noaa.gov/vdatumweb/api/convert?s_x=-69.03&amp;s_y=44.19&amp;s_z=0.0&amp;region=contiguous&amp;s_h_frame=NAD83_2011&amp;s_coor=geo&amp;s_v_frame=NAVD88&amp;s_v_unit=us_ft&amp;t_h_frame=NAD83_2011&amp;t_coor=geo&amp;t_v_frame=MLLW&amp;t_v_unit=us_ft", "NAVD88 to MLLW")</f>
        <v>0</v>
      </c>
      <c r="T111" s="2">
        <f>HYPERLINK("https://vdatum.noaa.gov/vdatumweb/api/convert?s_x=-69.03&amp;s_y=44.19&amp;s_z=0.0&amp;region=contiguous&amp;s_h_frame=NAD83_2011&amp;s_coor=geo&amp;s_v_frame=NAVD88&amp;s_v_unit=us_ft&amp;t_h_frame=NAD83_2011&amp;t_coor=geo&amp;t_v_frame=MHHW&amp;t_v_unit=us_ft", "NAVD88 to MHHW")</f>
        <v>0</v>
      </c>
    </row>
    <row r="112" spans="1:20">
      <c r="A112" s="1" t="s">
        <v>136</v>
      </c>
      <c r="B112" s="1" t="s">
        <v>617</v>
      </c>
      <c r="D112" s="1" t="s">
        <v>652</v>
      </c>
      <c r="H112" s="1">
        <v>-69.01000000000001</v>
      </c>
      <c r="I112" s="1">
        <v>44.26</v>
      </c>
      <c r="J112" s="1" t="s">
        <v>859</v>
      </c>
      <c r="K112" s="1" t="s">
        <v>861</v>
      </c>
      <c r="L112" s="1" t="s">
        <v>859</v>
      </c>
      <c r="M112" s="1">
        <v>2249597</v>
      </c>
      <c r="N112" s="1">
        <v>0</v>
      </c>
      <c r="O112" s="1" t="s">
        <v>869</v>
      </c>
      <c r="P112" s="1" t="s">
        <v>874</v>
      </c>
      <c r="Q112" s="1">
        <v>5.711</v>
      </c>
      <c r="R112" s="1">
        <v>-5.038</v>
      </c>
      <c r="S112" s="2">
        <f>HYPERLINK("https://vdatum.noaa.gov/vdatumweb/api/convert?s_x=-69.01&amp;s_y=44.26&amp;s_z=0.0&amp;region=contiguous&amp;s_h_frame=NAD83_2011&amp;s_coor=geo&amp;s_v_frame=NAVD88&amp;s_v_unit=us_ft&amp;t_h_frame=NAD83_2011&amp;t_coor=geo&amp;t_v_frame=MLLW&amp;t_v_unit=us_ft", "NAVD88 to MLLW")</f>
        <v>0</v>
      </c>
      <c r="T112" s="2">
        <f>HYPERLINK("https://vdatum.noaa.gov/vdatumweb/api/convert?s_x=-69.01&amp;s_y=44.26&amp;s_z=0.0&amp;region=contiguous&amp;s_h_frame=NAD83_2011&amp;s_coor=geo&amp;s_v_frame=NAVD88&amp;s_v_unit=us_ft&amp;t_h_frame=NAD83_2011&amp;t_coor=geo&amp;t_v_frame=MHHW&amp;t_v_unit=us_ft", "NAVD88 to MHHW")</f>
        <v>0</v>
      </c>
    </row>
    <row r="113" spans="1:20">
      <c r="A113" s="1" t="s">
        <v>137</v>
      </c>
      <c r="B113" s="1" t="s">
        <v>617</v>
      </c>
      <c r="C113" s="1" t="s">
        <v>646</v>
      </c>
      <c r="D113" s="1" t="s">
        <v>652</v>
      </c>
      <c r="E113" s="1" t="s">
        <v>695</v>
      </c>
      <c r="F113" s="1" t="s">
        <v>836</v>
      </c>
      <c r="G113" s="1" t="s">
        <v>854</v>
      </c>
      <c r="H113" s="1">
        <v>-69.78819412</v>
      </c>
      <c r="I113" s="1">
        <v>44.28679649</v>
      </c>
      <c r="J113" s="1">
        <f>HYPERLINK("https://waterdata.usgs.gov/nwis/nwismap/?site_no=01049330&amp;agency_cd=USGS", "US01049330")</f>
        <v>0</v>
      </c>
      <c r="K113" s="1" t="s">
        <v>861</v>
      </c>
      <c r="L113" s="1" t="s">
        <v>867</v>
      </c>
      <c r="M113" s="1">
        <v>2245520</v>
      </c>
      <c r="N113" s="1">
        <v>0</v>
      </c>
      <c r="O113" s="1" t="s">
        <v>869</v>
      </c>
      <c r="P113" s="1" t="s">
        <v>874</v>
      </c>
      <c r="Q113" s="1">
        <v>-999999</v>
      </c>
      <c r="R113" s="1">
        <v>-999999</v>
      </c>
      <c r="S113" s="2">
        <f>HYPERLINK("https://vdatum.noaa.gov/vdatumweb/api/convert?s_x=-69.78819412&amp;s_y=44.28679649&amp;s_z=0.0&amp;region=contiguous&amp;s_h_frame=NAD83_2011&amp;s_coor=geo&amp;s_v_frame=NAVD88&amp;s_v_unit=us_ft&amp;t_h_frame=NAD83_2011&amp;t_coor=geo&amp;t_v_frame=MLLW&amp;t_v_unit=us_ft", "Missing")</f>
        <v>0</v>
      </c>
      <c r="T113" s="2">
        <f>HYPERLINK("https://vdatum.noaa.gov/vdatumweb/api/convert?s_x=-69.78819412&amp;s_y=44.28679649&amp;s_z=0.0&amp;region=contiguous&amp;s_h_frame=NAD83_2011&amp;s_coor=geo&amp;s_v_frame=NAVD88&amp;s_v_unit=us_ft&amp;t_h_frame=NAD83_2011&amp;t_coor=geo&amp;t_v_frame=MHHW&amp;t_v_unit=us_ft", "Missing")</f>
        <v>0</v>
      </c>
    </row>
    <row r="114" spans="1:20">
      <c r="A114" s="1" t="s">
        <v>138</v>
      </c>
      <c r="B114" s="1" t="s">
        <v>618</v>
      </c>
      <c r="C114" s="1" t="s">
        <v>645</v>
      </c>
      <c r="D114" s="1" t="s">
        <v>652</v>
      </c>
      <c r="E114" s="1" t="s">
        <v>698</v>
      </c>
      <c r="F114" s="1" t="s">
        <v>832</v>
      </c>
      <c r="G114" s="1" t="s">
        <v>854</v>
      </c>
      <c r="H114" s="1">
        <v>-77.95359999999999</v>
      </c>
      <c r="I114" s="1">
        <v>34.2275</v>
      </c>
      <c r="J114" s="1">
        <f>HYPERLINK("https://tidesandcurrents.noaa.gov/stationhome.html?id=8658120", "8658120")</f>
        <v>0</v>
      </c>
      <c r="K114" s="1" t="s">
        <v>860</v>
      </c>
      <c r="L114" s="1" t="s">
        <v>866</v>
      </c>
      <c r="M114" s="1">
        <v>8146486</v>
      </c>
      <c r="N114" s="1">
        <v>0</v>
      </c>
      <c r="O114" s="1" t="s">
        <v>869</v>
      </c>
      <c r="P114" s="1" t="s">
        <v>874</v>
      </c>
      <c r="Q114" s="1">
        <v>2.335</v>
      </c>
      <c r="R114" s="1">
        <v>-2.343</v>
      </c>
      <c r="S114" s="2">
        <f>HYPERLINK("https://vdatum.noaa.gov/vdatumweb/api/convert?s_x=-77.9536&amp;s_y=34.2275&amp;s_z=0.0&amp;region=contiguous&amp;s_h_frame=NAD83_2011&amp;s_coor=geo&amp;s_v_frame=NAVD88&amp;s_v_unit=us_ft&amp;t_h_frame=NAD83_2011&amp;t_coor=geo&amp;t_v_frame=MLLW&amp;t_v_unit=us_ft", "NAVD88 to MLLW")</f>
        <v>0</v>
      </c>
      <c r="T114" s="2">
        <f>HYPERLINK("https://vdatum.noaa.gov/vdatumweb/api/convert?s_x=-77.9536&amp;s_y=34.2275&amp;s_z=0.0&amp;region=contiguous&amp;s_h_frame=NAD83_2011&amp;s_coor=geo&amp;s_v_frame=NAVD88&amp;s_v_unit=us_ft&amp;t_h_frame=NAD83_2011&amp;t_coor=geo&amp;t_v_frame=MHHW&amp;t_v_unit=us_ft", "NAVD88 to MHHW")</f>
        <v>0</v>
      </c>
    </row>
    <row r="115" spans="1:20">
      <c r="A115" s="1" t="s">
        <v>139</v>
      </c>
      <c r="B115" s="1" t="s">
        <v>618</v>
      </c>
      <c r="D115" s="1" t="s">
        <v>652</v>
      </c>
      <c r="H115" s="1">
        <v>-77.7867</v>
      </c>
      <c r="I115" s="1">
        <v>34.21333</v>
      </c>
      <c r="J115" s="1">
        <f>HYPERLINK("https://tidesandcurrents.noaa.gov/stationhome.html?id=8658163", "8658163")</f>
        <v>0</v>
      </c>
      <c r="K115" s="1" t="s">
        <v>860</v>
      </c>
      <c r="L115" s="1" t="s">
        <v>866</v>
      </c>
      <c r="M115" s="1">
        <v>1804389</v>
      </c>
      <c r="N115" s="1">
        <v>0</v>
      </c>
      <c r="O115" s="1" t="s">
        <v>869</v>
      </c>
      <c r="P115" s="1" t="s">
        <v>874</v>
      </c>
      <c r="Q115" s="1">
        <v>2.532</v>
      </c>
      <c r="R115" s="1">
        <v>-1.769</v>
      </c>
      <c r="S115" s="2">
        <f>HYPERLINK("https://vdatum.noaa.gov/vdatumweb/api/convert?s_x=-77.7867&amp;s_y=34.21333&amp;s_z=0.0&amp;region=contiguous&amp;s_h_frame=NAD83_2011&amp;s_coor=geo&amp;s_v_frame=NAVD88&amp;s_v_unit=us_ft&amp;t_h_frame=NAD83_2011&amp;t_coor=geo&amp;t_v_frame=MLLW&amp;t_v_unit=us_ft", "NAVD88 to MLLW")</f>
        <v>0</v>
      </c>
      <c r="T115" s="2">
        <f>HYPERLINK("https://vdatum.noaa.gov/vdatumweb/api/convert?s_x=-77.7867&amp;s_y=34.21333&amp;s_z=0.0&amp;region=contiguous&amp;s_h_frame=NAD83_2011&amp;s_coor=geo&amp;s_v_frame=NAVD88&amp;s_v_unit=us_ft&amp;t_h_frame=NAD83_2011&amp;t_coor=geo&amp;t_v_frame=MHHW&amp;t_v_unit=us_ft", "NAVD88 to MHHW")</f>
        <v>0</v>
      </c>
    </row>
    <row r="116" spans="1:20">
      <c r="A116" s="1" t="s">
        <v>140</v>
      </c>
      <c r="B116" s="1" t="s">
        <v>618</v>
      </c>
      <c r="D116" s="1" t="s">
        <v>652</v>
      </c>
      <c r="E116" s="1" t="s">
        <v>699</v>
      </c>
      <c r="F116" s="1" t="s">
        <v>832</v>
      </c>
      <c r="G116" s="1" t="s">
        <v>854</v>
      </c>
      <c r="H116" s="1">
        <v>-78.0183</v>
      </c>
      <c r="I116" s="1">
        <v>33.915</v>
      </c>
      <c r="J116" s="1">
        <f>HYPERLINK("https://tidesandcurrents.noaa.gov/stationhome.html?id=8659084", "8659084")</f>
        <v>0</v>
      </c>
      <c r="K116" s="1" t="s">
        <v>861</v>
      </c>
      <c r="L116" s="1" t="s">
        <v>866</v>
      </c>
      <c r="M116" s="1">
        <v>6282857</v>
      </c>
      <c r="N116" s="1">
        <v>0</v>
      </c>
      <c r="O116" s="1" t="s">
        <v>869</v>
      </c>
      <c r="P116" s="1" t="s">
        <v>874</v>
      </c>
      <c r="Q116" s="1">
        <v>2.779</v>
      </c>
      <c r="R116" s="1">
        <v>-1.952</v>
      </c>
      <c r="S116" s="2">
        <f>HYPERLINK("https://vdatum.noaa.gov/vdatumweb/api/convert?s_x=-78.0183&amp;s_y=33.915&amp;s_z=0.0&amp;region=contiguous&amp;s_h_frame=NAD83_2011&amp;s_coor=geo&amp;s_v_frame=NAVD88&amp;s_v_unit=us_ft&amp;t_h_frame=NAD83_2011&amp;t_coor=geo&amp;t_v_frame=MLLW&amp;t_v_unit=us_ft", "NAVD88 to MLLW")</f>
        <v>0</v>
      </c>
      <c r="T116" s="2">
        <f>HYPERLINK("https://vdatum.noaa.gov/vdatumweb/api/convert?s_x=-78.0183&amp;s_y=33.915&amp;s_z=0.0&amp;region=contiguous&amp;s_h_frame=NAD83_2011&amp;s_coor=geo&amp;s_v_frame=NAVD88&amp;s_v_unit=us_ft&amp;t_h_frame=NAD83_2011&amp;t_coor=geo&amp;t_v_frame=MHHW&amp;t_v_unit=us_ft", "NAVD88 to MHHW")</f>
        <v>0</v>
      </c>
    </row>
    <row r="117" spans="1:20">
      <c r="A117" s="1" t="s">
        <v>141</v>
      </c>
      <c r="B117" s="1" t="s">
        <v>618</v>
      </c>
      <c r="D117" s="1" t="s">
        <v>652</v>
      </c>
      <c r="H117" s="1">
        <v>-78.5067</v>
      </c>
      <c r="I117" s="1">
        <v>33.865</v>
      </c>
      <c r="J117" s="1">
        <f>HYPERLINK("https://tidesandcurrents.noaa.gov/stationhome.html?id=8659897", "8659897")</f>
        <v>0</v>
      </c>
      <c r="K117" s="1" t="s">
        <v>860</v>
      </c>
      <c r="L117" s="1" t="s">
        <v>866</v>
      </c>
      <c r="M117" s="1">
        <v>5056901</v>
      </c>
      <c r="N117" s="1">
        <v>-0.104</v>
      </c>
      <c r="O117" s="1" t="s">
        <v>869</v>
      </c>
      <c r="P117" s="1" t="s">
        <v>874</v>
      </c>
      <c r="Q117" s="1">
        <v>3.033</v>
      </c>
      <c r="R117" s="1">
        <v>-2.489</v>
      </c>
      <c r="S117" s="2">
        <f>HYPERLINK("https://vdatum.noaa.gov/vdatumweb/api/convert?s_x=-78.5067&amp;s_y=33.865&amp;s_z=0.0&amp;region=contiguous&amp;s_h_frame=NAD83_2011&amp;s_coor=geo&amp;s_v_frame=NAVD88&amp;s_v_unit=us_ft&amp;t_h_frame=NAD83_2011&amp;t_coor=geo&amp;t_v_frame=MLLW&amp;t_v_unit=us_ft", "NAVD88 to MLLW")</f>
        <v>0</v>
      </c>
      <c r="T117" s="2">
        <f>HYPERLINK("https://vdatum.noaa.gov/vdatumweb/api/convert?s_x=-78.5067&amp;s_y=33.865&amp;s_z=0.0&amp;region=contiguous&amp;s_h_frame=NAD83_2011&amp;s_coor=geo&amp;s_v_frame=NAVD88&amp;s_v_unit=us_ft&amp;t_h_frame=NAD83_2011&amp;t_coor=geo&amp;t_v_frame=MHHW&amp;t_v_unit=us_ft", "NAVD88 to MHHW")</f>
        <v>0</v>
      </c>
    </row>
    <row r="118" spans="1:20">
      <c r="A118" s="1" t="s">
        <v>142</v>
      </c>
      <c r="B118" s="1" t="s">
        <v>618</v>
      </c>
      <c r="C118" s="1" t="s">
        <v>645</v>
      </c>
      <c r="D118" s="1" t="s">
        <v>652</v>
      </c>
      <c r="E118" s="1" t="s">
        <v>700</v>
      </c>
      <c r="F118" s="1" t="s">
        <v>837</v>
      </c>
      <c r="G118" s="1" t="s">
        <v>854</v>
      </c>
      <c r="H118" s="1">
        <v>-79.1867</v>
      </c>
      <c r="I118" s="1">
        <v>33.3517</v>
      </c>
      <c r="J118" s="1">
        <f>HYPERLINK("https://tidesandcurrents.noaa.gov/stationhome.html?id=8662245", "8662245")</f>
        <v>0</v>
      </c>
      <c r="K118" s="1" t="s">
        <v>860</v>
      </c>
      <c r="L118" s="1" t="s">
        <v>866</v>
      </c>
      <c r="M118" s="1">
        <v>5874399</v>
      </c>
      <c r="N118" s="1">
        <v>0</v>
      </c>
      <c r="O118" s="1" t="s">
        <v>869</v>
      </c>
      <c r="P118" s="1" t="s">
        <v>874</v>
      </c>
      <c r="Q118" s="1">
        <v>2.688</v>
      </c>
      <c r="R118" s="1">
        <v>-2.446</v>
      </c>
      <c r="S118" s="2">
        <f>HYPERLINK("https://vdatum.noaa.gov/vdatumweb/api/convert?s_x=-79.1867&amp;s_y=33.3517&amp;s_z=0.0&amp;region=contiguous&amp;s_h_frame=NAD83_2011&amp;s_coor=geo&amp;s_v_frame=NAVD88&amp;s_v_unit=us_ft&amp;t_h_frame=NAD83_2011&amp;t_coor=geo&amp;t_v_frame=MLLW&amp;t_v_unit=us_ft", "NAVD88 to MLLW")</f>
        <v>0</v>
      </c>
      <c r="T118" s="2">
        <f>HYPERLINK("https://vdatum.noaa.gov/vdatumweb/api/convert?s_x=-79.1867&amp;s_y=33.3517&amp;s_z=0.0&amp;region=contiguous&amp;s_h_frame=NAD83_2011&amp;s_coor=geo&amp;s_v_frame=NAVD88&amp;s_v_unit=us_ft&amp;t_h_frame=NAD83_2011&amp;t_coor=geo&amp;t_v_frame=MHHW&amp;t_v_unit=us_ft", "NAVD88 to MHHW")</f>
        <v>0</v>
      </c>
    </row>
    <row r="119" spans="1:20">
      <c r="A119" s="1" t="s">
        <v>143</v>
      </c>
      <c r="B119" s="1" t="s">
        <v>618</v>
      </c>
      <c r="C119" s="1" t="s">
        <v>645</v>
      </c>
      <c r="D119" s="1" t="s">
        <v>652</v>
      </c>
      <c r="E119" s="1" t="s">
        <v>700</v>
      </c>
      <c r="F119" s="1" t="s">
        <v>837</v>
      </c>
      <c r="G119" s="1" t="s">
        <v>854</v>
      </c>
      <c r="H119" s="1">
        <v>-79.2683</v>
      </c>
      <c r="I119" s="1">
        <v>33.2517</v>
      </c>
      <c r="J119" s="1">
        <f>HYPERLINK("https://tidesandcurrents.noaa.gov/stationhome.html?id=8662549", "8662549")</f>
        <v>0</v>
      </c>
      <c r="K119" s="1" t="s">
        <v>860</v>
      </c>
      <c r="L119" s="1" t="s">
        <v>866</v>
      </c>
      <c r="M119" s="1">
        <v>6561044</v>
      </c>
      <c r="N119" s="1">
        <v>0</v>
      </c>
      <c r="O119" s="1" t="s">
        <v>869</v>
      </c>
      <c r="P119" s="1" t="s">
        <v>874</v>
      </c>
      <c r="Q119" s="1">
        <v>2.17</v>
      </c>
      <c r="R119" s="1">
        <v>-1.95</v>
      </c>
      <c r="S119" s="2">
        <f>HYPERLINK("https://vdatum.noaa.gov/vdatumweb/api/convert?s_x=-79.2683&amp;s_y=33.2517&amp;s_z=0.0&amp;region=contiguous&amp;s_h_frame=NAD83_2011&amp;s_coor=geo&amp;s_v_frame=NAVD88&amp;s_v_unit=us_ft&amp;t_h_frame=NAD83_2011&amp;t_coor=geo&amp;t_v_frame=MLLW&amp;t_v_unit=us_ft", "NAVD88 to MLLW")</f>
        <v>0</v>
      </c>
      <c r="T119" s="2">
        <f>HYPERLINK("https://vdatum.noaa.gov/vdatumweb/api/convert?s_x=-79.2683&amp;s_y=33.2517&amp;s_z=0.0&amp;region=contiguous&amp;s_h_frame=NAD83_2011&amp;s_coor=geo&amp;s_v_frame=NAVD88&amp;s_v_unit=us_ft&amp;t_h_frame=NAD83_2011&amp;t_coor=geo&amp;t_v_frame=MHHW&amp;t_v_unit=us_ft", "NAVD88 to MHHW")</f>
        <v>0</v>
      </c>
    </row>
    <row r="120" spans="1:20">
      <c r="A120" s="1" t="s">
        <v>144</v>
      </c>
      <c r="B120" s="1" t="s">
        <v>618</v>
      </c>
      <c r="C120" s="1" t="s">
        <v>645</v>
      </c>
      <c r="D120" s="1" t="s">
        <v>652</v>
      </c>
      <c r="E120" s="1" t="s">
        <v>700</v>
      </c>
      <c r="F120" s="1" t="s">
        <v>837</v>
      </c>
      <c r="G120" s="1" t="s">
        <v>854</v>
      </c>
      <c r="H120" s="1">
        <v>-79.38500000000001</v>
      </c>
      <c r="I120" s="1">
        <v>33.21</v>
      </c>
      <c r="J120" s="1">
        <f>HYPERLINK("https://tidesandcurrents.noaa.gov/stationhome.html?id=8662793", "8662793")</f>
        <v>0</v>
      </c>
      <c r="K120" s="1" t="s">
        <v>861</v>
      </c>
      <c r="L120" s="1" t="s">
        <v>866</v>
      </c>
      <c r="M120" s="1">
        <v>9040554</v>
      </c>
      <c r="N120" s="1">
        <v>0</v>
      </c>
      <c r="O120" s="1" t="s">
        <v>869</v>
      </c>
      <c r="P120" s="1" t="s">
        <v>874</v>
      </c>
      <c r="Q120" s="1">
        <v>1.993</v>
      </c>
      <c r="R120" s="1">
        <v>-2.218</v>
      </c>
      <c r="S120" s="2">
        <f>HYPERLINK("https://vdatum.noaa.gov/vdatumweb/api/convert?s_x=-79.385&amp;s_y=33.21&amp;s_z=0.0&amp;region=contiguous&amp;s_h_frame=NAD83_2011&amp;s_coor=geo&amp;s_v_frame=NAVD88&amp;s_v_unit=us_ft&amp;t_h_frame=NAD83_2011&amp;t_coor=geo&amp;t_v_frame=MLLW&amp;t_v_unit=us_ft", "NAVD88 to MLLW")</f>
        <v>0</v>
      </c>
      <c r="T120" s="2">
        <f>HYPERLINK("https://vdatum.noaa.gov/vdatumweb/api/convert?s_x=-79.385&amp;s_y=33.21&amp;s_z=0.0&amp;region=contiguous&amp;s_h_frame=NAD83_2011&amp;s_coor=geo&amp;s_v_frame=NAVD88&amp;s_v_unit=us_ft&amp;t_h_frame=NAD83_2011&amp;t_coor=geo&amp;t_v_frame=MHHW&amp;t_v_unit=us_ft", "NAVD88 to MHHW")</f>
        <v>0</v>
      </c>
    </row>
    <row r="121" spans="1:20">
      <c r="A121" s="1" t="s">
        <v>145</v>
      </c>
      <c r="B121" s="1" t="s">
        <v>618</v>
      </c>
      <c r="D121" s="1" t="s">
        <v>652</v>
      </c>
      <c r="H121" s="1">
        <v>-78.3</v>
      </c>
      <c r="I121" s="1">
        <v>33.91</v>
      </c>
      <c r="J121" s="1" t="s">
        <v>859</v>
      </c>
      <c r="K121" s="1" t="s">
        <v>861</v>
      </c>
      <c r="L121" s="1" t="s">
        <v>859</v>
      </c>
      <c r="M121" s="1">
        <v>1643095</v>
      </c>
      <c r="N121" s="1">
        <v>0</v>
      </c>
      <c r="O121" s="1" t="s">
        <v>869</v>
      </c>
      <c r="P121" s="1" t="s">
        <v>874</v>
      </c>
      <c r="Q121" s="1">
        <v>3</v>
      </c>
      <c r="R121" s="1">
        <v>-2.307</v>
      </c>
      <c r="S121" s="2">
        <f>HYPERLINK("https://vdatum.noaa.gov/vdatumweb/api/convert?s_x=-78.3&amp;s_y=33.91&amp;s_z=0.0&amp;region=contiguous&amp;s_h_frame=NAD83_2011&amp;s_coor=geo&amp;s_v_frame=NAVD88&amp;s_v_unit=us_ft&amp;t_h_frame=NAD83_2011&amp;t_coor=geo&amp;t_v_frame=MLLW&amp;t_v_unit=us_ft", "NAVD88 to MLLW")</f>
        <v>0</v>
      </c>
      <c r="T121" s="2">
        <f>HYPERLINK("https://vdatum.noaa.gov/vdatumweb/api/convert?s_x=-78.3&amp;s_y=33.91&amp;s_z=0.0&amp;region=contiguous&amp;s_h_frame=NAD83_2011&amp;s_coor=geo&amp;s_v_frame=NAVD88&amp;s_v_unit=us_ft&amp;t_h_frame=NAD83_2011&amp;t_coor=geo&amp;t_v_frame=MHHW&amp;t_v_unit=us_ft", "NAVD88 to MHHW")</f>
        <v>0</v>
      </c>
    </row>
    <row r="122" spans="1:20">
      <c r="A122" s="1" t="s">
        <v>146</v>
      </c>
      <c r="B122" s="1" t="s">
        <v>618</v>
      </c>
      <c r="D122" s="1" t="s">
        <v>652</v>
      </c>
      <c r="E122" s="1" t="s">
        <v>700</v>
      </c>
      <c r="F122" s="1" t="s">
        <v>837</v>
      </c>
      <c r="G122" s="1" t="s">
        <v>854</v>
      </c>
      <c r="H122" s="1">
        <v>-79.288056</v>
      </c>
      <c r="I122" s="1">
        <v>33.309167</v>
      </c>
      <c r="J122" s="1" t="s">
        <v>859</v>
      </c>
      <c r="K122" s="1" t="s">
        <v>863</v>
      </c>
      <c r="L122" s="1" t="s">
        <v>859</v>
      </c>
      <c r="M122" s="1">
        <v>7894572</v>
      </c>
      <c r="N122" s="1">
        <v>0</v>
      </c>
      <c r="O122" s="1" t="s">
        <v>869</v>
      </c>
      <c r="P122" s="1" t="s">
        <v>874</v>
      </c>
      <c r="Q122" s="1">
        <v>1.779</v>
      </c>
      <c r="R122" s="1">
        <v>-1.952</v>
      </c>
      <c r="S122" s="2">
        <f>HYPERLINK("https://vdatum.noaa.gov/vdatumweb/api/convert?s_x=-79.288056&amp;s_y=33.309167&amp;s_z=0.0&amp;region=contiguous&amp;s_h_frame=NAD83_2011&amp;s_coor=geo&amp;s_v_frame=NAVD88&amp;s_v_unit=us_ft&amp;t_h_frame=NAD83_2011&amp;t_coor=geo&amp;t_v_frame=MLLW&amp;t_v_unit=us_ft", "NAVD88 to MLLW")</f>
        <v>0</v>
      </c>
      <c r="T122" s="2">
        <f>HYPERLINK("https://vdatum.noaa.gov/vdatumweb/api/convert?s_x=-79.288056&amp;s_y=33.309167&amp;s_z=0.0&amp;region=contiguous&amp;s_h_frame=NAD83_2011&amp;s_coor=geo&amp;s_v_frame=NAVD88&amp;s_v_unit=us_ft&amp;t_h_frame=NAD83_2011&amp;t_coor=geo&amp;t_v_frame=MHHW&amp;t_v_unit=us_ft", "NAVD88 to MHHW")</f>
        <v>0</v>
      </c>
    </row>
    <row r="123" spans="1:20">
      <c r="A123" s="1" t="s">
        <v>147</v>
      </c>
      <c r="B123" s="1" t="s">
        <v>618</v>
      </c>
      <c r="C123" s="1" t="s">
        <v>645</v>
      </c>
      <c r="D123" s="1" t="s">
        <v>652</v>
      </c>
      <c r="E123" s="1" t="s">
        <v>701</v>
      </c>
      <c r="F123" s="1" t="s">
        <v>837</v>
      </c>
      <c r="G123" s="1" t="s">
        <v>854</v>
      </c>
      <c r="H123" s="1">
        <v>-79.00475428999999</v>
      </c>
      <c r="I123" s="1">
        <v>33.68710849</v>
      </c>
      <c r="J123" s="1">
        <f>HYPERLINK("https://waterdata.usgs.gov/nwis/nwismap/?site_no=02110725&amp;agency_cd=USGS", "US02110725")</f>
        <v>0</v>
      </c>
      <c r="K123" s="1" t="s">
        <v>861</v>
      </c>
      <c r="L123" s="1" t="s">
        <v>867</v>
      </c>
      <c r="M123" s="1">
        <v>3457003</v>
      </c>
      <c r="N123" s="1">
        <v>-3.32</v>
      </c>
      <c r="O123" s="1" t="s">
        <v>869</v>
      </c>
      <c r="P123" s="1" t="s">
        <v>874</v>
      </c>
      <c r="Q123" s="1">
        <v>0.707</v>
      </c>
      <c r="R123" s="1">
        <v>-1.645</v>
      </c>
      <c r="S123" s="2">
        <f>HYPERLINK("https://vdatum.noaa.gov/vdatumweb/api/convert?s_x=-79.00475429&amp;s_y=33.68710849&amp;s_z=0.0&amp;region=contiguous&amp;s_h_frame=NAD83_2011&amp;s_coor=geo&amp;s_v_frame=NAVD88&amp;s_v_unit=us_ft&amp;t_h_frame=NAD83_2011&amp;t_coor=geo&amp;t_v_frame=MLLW&amp;t_v_unit=us_ft", "NAVD88 to MLLW")</f>
        <v>0</v>
      </c>
      <c r="T123" s="2">
        <f>HYPERLINK("https://vdatum.noaa.gov/vdatumweb/api/convert?s_x=-79.00475429&amp;s_y=33.68710849&amp;s_z=0.0&amp;region=contiguous&amp;s_h_frame=NAD83_2011&amp;s_coor=geo&amp;s_v_frame=NAVD88&amp;s_v_unit=us_ft&amp;t_h_frame=NAD83_2011&amp;t_coor=geo&amp;t_v_frame=MHHW&amp;t_v_unit=us_ft", "NAVD88 to MHHW")</f>
        <v>0</v>
      </c>
    </row>
    <row r="124" spans="1:20">
      <c r="A124" s="1" t="s">
        <v>148</v>
      </c>
      <c r="B124" s="1" t="s">
        <v>618</v>
      </c>
      <c r="C124" s="1" t="s">
        <v>645</v>
      </c>
      <c r="D124" s="1" t="s">
        <v>652</v>
      </c>
      <c r="E124" s="1" t="s">
        <v>701</v>
      </c>
      <c r="F124" s="1" t="s">
        <v>837</v>
      </c>
      <c r="G124" s="1" t="s">
        <v>854</v>
      </c>
      <c r="H124" s="1">
        <v>-78.65584578000001</v>
      </c>
      <c r="I124" s="1">
        <v>33.85155454</v>
      </c>
      <c r="J124" s="1">
        <f>HYPERLINK("https://waterdata.usgs.gov/nwis/nwismap/?site_no=02110777&amp;agency_cd=USGS", "US02110777")</f>
        <v>0</v>
      </c>
      <c r="K124" s="1" t="s">
        <v>861</v>
      </c>
      <c r="L124" s="1" t="s">
        <v>867</v>
      </c>
      <c r="M124" s="1">
        <v>3787738</v>
      </c>
      <c r="N124" s="1">
        <v>-3.87</v>
      </c>
      <c r="O124" s="1" t="s">
        <v>869</v>
      </c>
      <c r="P124" s="1" t="s">
        <v>874</v>
      </c>
      <c r="Q124" s="1">
        <v>2.163</v>
      </c>
      <c r="R124" s="1">
        <v>-2.391</v>
      </c>
      <c r="S124" s="2">
        <f>HYPERLINK("https://vdatum.noaa.gov/vdatumweb/api/convert?s_x=-78.65584578&amp;s_y=33.85155454&amp;s_z=0.0&amp;region=contiguous&amp;s_h_frame=NAD83_2011&amp;s_coor=geo&amp;s_v_frame=NAVD88&amp;s_v_unit=us_ft&amp;t_h_frame=NAD83_2011&amp;t_coor=geo&amp;t_v_frame=MLLW&amp;t_v_unit=us_ft", "NAVD88 to MLLW")</f>
        <v>0</v>
      </c>
      <c r="T124" s="2">
        <f>HYPERLINK("https://vdatum.noaa.gov/vdatumweb/api/convert?s_x=-78.65584578&amp;s_y=33.85155454&amp;s_z=0.0&amp;region=contiguous&amp;s_h_frame=NAD83_2011&amp;s_coor=geo&amp;s_v_frame=NAVD88&amp;s_v_unit=us_ft&amp;t_h_frame=NAD83_2011&amp;t_coor=geo&amp;t_v_frame=MHHW&amp;t_v_unit=us_ft", "NAVD88 to MHHW")</f>
        <v>0</v>
      </c>
    </row>
    <row r="125" spans="1:20">
      <c r="A125" s="1" t="s">
        <v>149</v>
      </c>
      <c r="B125" s="1" t="s">
        <v>618</v>
      </c>
      <c r="C125" s="1" t="s">
        <v>645</v>
      </c>
      <c r="D125" s="1" t="s">
        <v>652</v>
      </c>
      <c r="E125" s="1" t="s">
        <v>701</v>
      </c>
      <c r="F125" s="1" t="s">
        <v>837</v>
      </c>
      <c r="G125" s="1" t="s">
        <v>854</v>
      </c>
      <c r="H125" s="1">
        <v>-79.09420375000001</v>
      </c>
      <c r="I125" s="1">
        <v>33.64905177</v>
      </c>
      <c r="J125" s="1">
        <f>HYPERLINK("https://waterdata.usgs.gov/nwis/nwismap/?site_no=02110802&amp;agency_cd=USGS", "US02110802")</f>
        <v>0</v>
      </c>
      <c r="K125" s="1" t="s">
        <v>861</v>
      </c>
      <c r="L125" s="1" t="s">
        <v>867</v>
      </c>
      <c r="M125" s="1">
        <v>6823179</v>
      </c>
      <c r="N125" s="1">
        <v>-4.4</v>
      </c>
      <c r="O125" s="1" t="s">
        <v>869</v>
      </c>
      <c r="P125" s="1" t="s">
        <v>874</v>
      </c>
      <c r="Q125" s="1">
        <v>0.507</v>
      </c>
      <c r="R125" s="1">
        <v>-1.932</v>
      </c>
      <c r="S125" s="2">
        <f>HYPERLINK("https://vdatum.noaa.gov/vdatumweb/api/convert?s_x=-79.09420375&amp;s_y=33.64905177&amp;s_z=0.0&amp;region=contiguous&amp;s_h_frame=NAD83_2011&amp;s_coor=geo&amp;s_v_frame=NAVD88&amp;s_v_unit=us_ft&amp;t_h_frame=NAD83_2011&amp;t_coor=geo&amp;t_v_frame=MLLW&amp;t_v_unit=us_ft", "NAVD88 to MLLW")</f>
        <v>0</v>
      </c>
      <c r="T125" s="2">
        <f>HYPERLINK("https://vdatum.noaa.gov/vdatumweb/api/convert?s_x=-79.09420375&amp;s_y=33.64905177&amp;s_z=0.0&amp;region=contiguous&amp;s_h_frame=NAD83_2011&amp;s_coor=geo&amp;s_v_frame=NAVD88&amp;s_v_unit=us_ft&amp;t_h_frame=NAD83_2011&amp;t_coor=geo&amp;t_v_frame=MHHW&amp;t_v_unit=us_ft", "NAVD88 to MHHW")</f>
        <v>0</v>
      </c>
    </row>
    <row r="126" spans="1:20">
      <c r="A126" s="1" t="s">
        <v>150</v>
      </c>
      <c r="B126" s="1" t="s">
        <v>618</v>
      </c>
      <c r="C126" s="1" t="s">
        <v>645</v>
      </c>
      <c r="D126" s="1" t="s">
        <v>652</v>
      </c>
      <c r="E126" s="1" t="s">
        <v>700</v>
      </c>
      <c r="F126" s="1" t="s">
        <v>837</v>
      </c>
      <c r="G126" s="1" t="s">
        <v>854</v>
      </c>
      <c r="H126" s="1">
        <v>-79.12698406</v>
      </c>
      <c r="I126" s="1">
        <v>33.50655068</v>
      </c>
      <c r="J126" s="1">
        <f>HYPERLINK("https://waterdata.usgs.gov/nwis/nwismap/?site_no=021108125&amp;agency_cd=USGS", "US021108125")</f>
        <v>0</v>
      </c>
      <c r="K126" s="1" t="s">
        <v>861</v>
      </c>
      <c r="L126" s="1" t="s">
        <v>867</v>
      </c>
      <c r="M126" s="1">
        <v>4215702</v>
      </c>
      <c r="N126" s="1">
        <v>-1.37</v>
      </c>
      <c r="O126" s="1" t="s">
        <v>869</v>
      </c>
      <c r="P126" s="1" t="s">
        <v>874</v>
      </c>
      <c r="Q126" s="1">
        <v>0.867</v>
      </c>
      <c r="R126" s="1">
        <v>-2.711</v>
      </c>
      <c r="S126" s="2">
        <f>HYPERLINK("https://vdatum.noaa.gov/vdatumweb/api/convert?s_x=-79.12698406&amp;s_y=33.50655068&amp;s_z=0.0&amp;region=contiguous&amp;s_h_frame=NAD83_2011&amp;s_coor=geo&amp;s_v_frame=NAVD88&amp;s_v_unit=us_ft&amp;t_h_frame=NAD83_2011&amp;t_coor=geo&amp;t_v_frame=MLLW&amp;t_v_unit=us_ft", "NAVD88 to MLLW")</f>
        <v>0</v>
      </c>
      <c r="T126" s="2">
        <f>HYPERLINK("https://vdatum.noaa.gov/vdatumweb/api/convert?s_x=-79.12698406&amp;s_y=33.50655068&amp;s_z=0.0&amp;region=contiguous&amp;s_h_frame=NAD83_2011&amp;s_coor=geo&amp;s_v_frame=NAVD88&amp;s_v_unit=us_ft&amp;t_h_frame=NAD83_2011&amp;t_coor=geo&amp;t_v_frame=MHHW&amp;t_v_unit=us_ft", "NAVD88 to MHHW")</f>
        <v>0</v>
      </c>
    </row>
    <row r="127" spans="1:20">
      <c r="A127" s="1" t="s">
        <v>151</v>
      </c>
      <c r="B127" s="1" t="s">
        <v>618</v>
      </c>
      <c r="C127" s="1" t="s">
        <v>645</v>
      </c>
      <c r="D127" s="1" t="s">
        <v>652</v>
      </c>
      <c r="E127" s="1" t="s">
        <v>700</v>
      </c>
      <c r="F127" s="1" t="s">
        <v>837</v>
      </c>
      <c r="G127" s="1" t="s">
        <v>854</v>
      </c>
      <c r="H127" s="1">
        <v>-79.17393145</v>
      </c>
      <c r="I127" s="1">
        <v>33.4446059</v>
      </c>
      <c r="J127" s="1">
        <f>HYPERLINK("https://waterdata.usgs.gov/nwis/nwismap/?site_no=02110815&amp;agency_cd=USGS", "US02110815")</f>
        <v>0</v>
      </c>
      <c r="K127" s="1" t="s">
        <v>861</v>
      </c>
      <c r="L127" s="1" t="s">
        <v>867</v>
      </c>
      <c r="M127" s="1">
        <v>5300791</v>
      </c>
      <c r="N127" s="1">
        <v>-4.62</v>
      </c>
      <c r="O127" s="1" t="s">
        <v>869</v>
      </c>
      <c r="P127" s="1" t="s">
        <v>874</v>
      </c>
      <c r="Q127" s="1">
        <v>1.515</v>
      </c>
      <c r="R127" s="1">
        <v>-2.22</v>
      </c>
      <c r="S127" s="2">
        <f>HYPERLINK("https://vdatum.noaa.gov/vdatumweb/api/convert?s_x=-79.17393145&amp;s_y=33.4446059&amp;s_z=0.0&amp;region=contiguous&amp;s_h_frame=NAD83_2011&amp;s_coor=geo&amp;s_v_frame=NAVD88&amp;s_v_unit=us_ft&amp;t_h_frame=NAD83_2011&amp;t_coor=geo&amp;t_v_frame=MLLW&amp;t_v_unit=us_ft", "NAVD88 to MLLW")</f>
        <v>0</v>
      </c>
      <c r="T127" s="2">
        <f>HYPERLINK("https://vdatum.noaa.gov/vdatumweb/api/convert?s_x=-79.17393145&amp;s_y=33.4446059&amp;s_z=0.0&amp;region=contiguous&amp;s_h_frame=NAD83_2011&amp;s_coor=geo&amp;s_v_frame=NAVD88&amp;s_v_unit=us_ft&amp;t_h_frame=NAD83_2011&amp;t_coor=geo&amp;t_v_frame=MHHW&amp;t_v_unit=us_ft", "NAVD88 to MHHW")</f>
        <v>0</v>
      </c>
    </row>
    <row r="128" spans="1:20">
      <c r="A128" s="1" t="s">
        <v>152</v>
      </c>
      <c r="B128" s="1" t="s">
        <v>618</v>
      </c>
      <c r="C128" s="1" t="s">
        <v>645</v>
      </c>
      <c r="D128" s="1" t="s">
        <v>652</v>
      </c>
      <c r="E128" s="1" t="s">
        <v>700</v>
      </c>
      <c r="F128" s="1" t="s">
        <v>837</v>
      </c>
      <c r="G128" s="1" t="s">
        <v>854</v>
      </c>
      <c r="H128" s="1">
        <v>-79.26365902000001</v>
      </c>
      <c r="I128" s="1">
        <v>33.36932743</v>
      </c>
      <c r="J128" s="1">
        <f>HYPERLINK("https://waterdata.usgs.gov/nwis/nwismap/?site_no=02136350&amp;agency_cd=USGS", "US02136350")</f>
        <v>0</v>
      </c>
      <c r="K128" s="1" t="s">
        <v>861</v>
      </c>
      <c r="L128" s="1" t="s">
        <v>867</v>
      </c>
      <c r="M128" s="1">
        <v>7689341</v>
      </c>
      <c r="N128" s="1">
        <v>-3.53</v>
      </c>
      <c r="O128" s="1" t="s">
        <v>869</v>
      </c>
      <c r="P128" s="1" t="s">
        <v>874</v>
      </c>
      <c r="Q128" s="1">
        <v>1.785</v>
      </c>
      <c r="R128" s="1">
        <v>-2.112</v>
      </c>
      <c r="S128" s="2">
        <f>HYPERLINK("https://vdatum.noaa.gov/vdatumweb/api/convert?s_x=-79.26365902&amp;s_y=33.36932743&amp;s_z=0.0&amp;region=contiguous&amp;s_h_frame=NAD83_2011&amp;s_coor=geo&amp;s_v_frame=NAVD88&amp;s_v_unit=us_ft&amp;t_h_frame=NAD83_2011&amp;t_coor=geo&amp;t_v_frame=MLLW&amp;t_v_unit=us_ft", "NAVD88 to MLLW")</f>
        <v>0</v>
      </c>
      <c r="T128" s="2">
        <f>HYPERLINK("https://vdatum.noaa.gov/vdatumweb/api/convert?s_x=-79.26365902&amp;s_y=33.36932743&amp;s_z=0.0&amp;region=contiguous&amp;s_h_frame=NAD83_2011&amp;s_coor=geo&amp;s_v_frame=NAVD88&amp;s_v_unit=us_ft&amp;t_h_frame=NAD83_2011&amp;t_coor=geo&amp;t_v_frame=MHHW&amp;t_v_unit=us_ft", "NAVD88 to MHHW")</f>
        <v>0</v>
      </c>
    </row>
    <row r="129" spans="1:20">
      <c r="A129" s="1" t="s">
        <v>153</v>
      </c>
      <c r="B129" s="1" t="s">
        <v>619</v>
      </c>
      <c r="C129" s="1" t="s">
        <v>644</v>
      </c>
      <c r="D129" s="1" t="s">
        <v>652</v>
      </c>
      <c r="H129" s="1">
        <v>-75.8633</v>
      </c>
      <c r="I129" s="1">
        <v>37.9767</v>
      </c>
      <c r="J129" s="1">
        <f>HYPERLINK("https://tidesandcurrents.noaa.gov/stationhome.html?id=8571091", "8571091")</f>
        <v>0</v>
      </c>
      <c r="K129" s="1" t="s">
        <v>861</v>
      </c>
      <c r="L129" s="1" t="s">
        <v>866</v>
      </c>
      <c r="M129" s="1">
        <v>9198374</v>
      </c>
      <c r="N129" s="1">
        <v>0</v>
      </c>
      <c r="O129" s="1" t="s">
        <v>869</v>
      </c>
      <c r="P129" s="1" t="s">
        <v>873</v>
      </c>
      <c r="Q129" s="1">
        <v>1.417</v>
      </c>
      <c r="R129" s="1">
        <v>-0.735</v>
      </c>
      <c r="S129" s="2">
        <f>HYPERLINK("https://vdatum.noaa.gov/vdatumweb/api/convert?s_x=-75.8633&amp;s_y=37.9767&amp;s_z=0.0&amp;region=chesapeak_delaware&amp;s_h_frame=NAD83_2011&amp;s_coor=geo&amp;s_v_frame=NAVD88&amp;s_v_unit=us_ft&amp;t_h_frame=IGS14&amp;t_coor=geo&amp;t_v_frame=MLLW&amp;t_v_unit=us_ft", "NAVD88 to MLLW")</f>
        <v>0</v>
      </c>
      <c r="T129" s="2">
        <f>HYPERLINK("https://vdatum.noaa.gov/vdatumweb/api/convert?s_x=-75.8633&amp;s_y=37.9767&amp;s_z=0.0&amp;region=chesapeak_delaware&amp;s_h_frame=NAD83_2011&amp;s_coor=geo&amp;s_v_frame=NAVD88&amp;s_v_unit=us_ft&amp;t_h_frame=IGS14&amp;t_coor=geo&amp;t_v_frame=MHHW&amp;t_v_unit=us_ft", "NAVD88 to MHHW")</f>
        <v>0</v>
      </c>
    </row>
    <row r="130" spans="1:20">
      <c r="A130" s="1" t="s">
        <v>154</v>
      </c>
      <c r="B130" s="1" t="s">
        <v>619</v>
      </c>
      <c r="D130" s="1" t="s">
        <v>652</v>
      </c>
      <c r="H130" s="1">
        <v>-76.03830000000001</v>
      </c>
      <c r="I130" s="1">
        <v>38.22</v>
      </c>
      <c r="J130" s="1">
        <f>HYPERLINK("https://tidesandcurrents.noaa.gov/stationhome.html?id=8571421", "8571421")</f>
        <v>0</v>
      </c>
      <c r="K130" s="1" t="s">
        <v>860</v>
      </c>
      <c r="L130" s="1" t="s">
        <v>866</v>
      </c>
      <c r="M130" s="1">
        <v>6761033</v>
      </c>
      <c r="N130" s="1">
        <v>0</v>
      </c>
      <c r="O130" s="1" t="s">
        <v>869</v>
      </c>
      <c r="P130" s="1" t="s">
        <v>873</v>
      </c>
      <c r="Q130" s="1">
        <v>1.152</v>
      </c>
      <c r="R130" s="1">
        <v>-0.9350000000000001</v>
      </c>
      <c r="S130" s="2">
        <f>HYPERLINK("https://vdatum.noaa.gov/vdatumweb/api/convert?s_x=-76.0383&amp;s_y=38.22&amp;s_z=0.0&amp;region=chesapeak_delaware&amp;s_h_frame=NAD83_2011&amp;s_coor=geo&amp;s_v_frame=NAVD88&amp;s_v_unit=us_ft&amp;t_h_frame=IGS14&amp;t_coor=geo&amp;t_v_frame=MLLW&amp;t_v_unit=us_ft", "NAVD88 to MLLW")</f>
        <v>0</v>
      </c>
      <c r="T130" s="2">
        <f>HYPERLINK("https://vdatum.noaa.gov/vdatumweb/api/convert?s_x=-76.0383&amp;s_y=38.22&amp;s_z=0.0&amp;region=chesapeak_delaware&amp;s_h_frame=NAD83_2011&amp;s_coor=geo&amp;s_v_frame=NAVD88&amp;s_v_unit=us_ft&amp;t_h_frame=IGS14&amp;t_coor=geo&amp;t_v_frame=MHHW&amp;t_v_unit=us_ft", "NAVD88 to MHHW")</f>
        <v>0</v>
      </c>
    </row>
    <row r="131" spans="1:20">
      <c r="A131" s="1" t="s">
        <v>155</v>
      </c>
      <c r="B131" s="1" t="s">
        <v>619</v>
      </c>
      <c r="C131" s="1" t="s">
        <v>644</v>
      </c>
      <c r="D131" s="1" t="s">
        <v>652</v>
      </c>
      <c r="E131" s="1" t="s">
        <v>702</v>
      </c>
      <c r="F131" s="1" t="s">
        <v>830</v>
      </c>
      <c r="G131" s="1" t="s">
        <v>854</v>
      </c>
      <c r="H131" s="1">
        <v>-75.81</v>
      </c>
      <c r="I131" s="1">
        <v>39.52667</v>
      </c>
      <c r="J131" s="1">
        <f>HYPERLINK("https://tidesandcurrents.noaa.gov/stationhome.html?id=8573927", "8573927")</f>
        <v>0</v>
      </c>
      <c r="K131" s="1" t="s">
        <v>860</v>
      </c>
      <c r="L131" s="1" t="s">
        <v>866</v>
      </c>
      <c r="M131" s="1">
        <v>2983975</v>
      </c>
      <c r="N131" s="1">
        <v>0</v>
      </c>
      <c r="O131" s="1" t="s">
        <v>869</v>
      </c>
      <c r="P131" s="1" t="s">
        <v>873</v>
      </c>
      <c r="Q131" s="1">
        <v>1.542</v>
      </c>
      <c r="R131" s="1">
        <v>-1.677</v>
      </c>
      <c r="S131" s="2">
        <f>HYPERLINK("https://vdatum.noaa.gov/vdatumweb/api/convert?s_x=-75.81&amp;s_y=39.52667&amp;s_z=0.0&amp;region=chesapeak_delaware&amp;s_h_frame=NAD83_2011&amp;s_coor=geo&amp;s_v_frame=NAVD88&amp;s_v_unit=us_ft&amp;t_h_frame=IGS14&amp;t_coor=geo&amp;t_v_frame=MLLW&amp;t_v_unit=us_ft", "NAVD88 to MLLW")</f>
        <v>0</v>
      </c>
      <c r="T131" s="2">
        <f>HYPERLINK("https://vdatum.noaa.gov/vdatumweb/api/convert?s_x=-75.81&amp;s_y=39.52667&amp;s_z=0.0&amp;region=chesapeak_delaware&amp;s_h_frame=NAD83_2011&amp;s_coor=geo&amp;s_v_frame=NAVD88&amp;s_v_unit=us_ft&amp;t_h_frame=IGS14&amp;t_coor=geo&amp;t_v_frame=MHHW&amp;t_v_unit=us_ft", "NAVD88 to MHHW")</f>
        <v>0</v>
      </c>
    </row>
    <row r="132" spans="1:20">
      <c r="A132" s="1" t="s">
        <v>156</v>
      </c>
      <c r="B132" s="1" t="s">
        <v>619</v>
      </c>
      <c r="D132" s="1" t="s">
        <v>652</v>
      </c>
      <c r="E132" s="1" t="s">
        <v>703</v>
      </c>
      <c r="F132" s="1" t="s">
        <v>830</v>
      </c>
      <c r="G132" s="1" t="s">
        <v>854</v>
      </c>
      <c r="H132" s="1">
        <v>-76.09</v>
      </c>
      <c r="I132" s="1">
        <v>39.5367</v>
      </c>
      <c r="J132" s="1">
        <f>HYPERLINK("https://tidesandcurrents.noaa.gov/stationhome.html?id=8574070", "8574070")</f>
        <v>0</v>
      </c>
      <c r="K132" s="1" t="s">
        <v>860</v>
      </c>
      <c r="L132" s="1" t="s">
        <v>866</v>
      </c>
      <c r="M132" s="1">
        <v>3165807</v>
      </c>
      <c r="N132" s="1">
        <v>-0.367</v>
      </c>
      <c r="O132" s="1" t="s">
        <v>869</v>
      </c>
      <c r="P132" s="1" t="s">
        <v>873</v>
      </c>
      <c r="Q132" s="1">
        <v>1.03</v>
      </c>
      <c r="R132" s="1">
        <v>-1.417</v>
      </c>
      <c r="S132" s="2">
        <f>HYPERLINK("https://vdatum.noaa.gov/vdatumweb/api/convert?s_x=-76.09&amp;s_y=39.5367&amp;s_z=0.0&amp;region=chesapeak_delaware&amp;s_h_frame=NAD83_2011&amp;s_coor=geo&amp;s_v_frame=NAVD88&amp;s_v_unit=us_ft&amp;t_h_frame=IGS14&amp;t_coor=geo&amp;t_v_frame=MLLW&amp;t_v_unit=us_ft", "NAVD88 to MLLW")</f>
        <v>0</v>
      </c>
      <c r="T132" s="2">
        <f>HYPERLINK("https://vdatum.noaa.gov/vdatumweb/api/convert?s_x=-76.09&amp;s_y=39.5367&amp;s_z=0.0&amp;region=chesapeak_delaware&amp;s_h_frame=NAD83_2011&amp;s_coor=geo&amp;s_v_frame=NAVD88&amp;s_v_unit=us_ft&amp;t_h_frame=IGS14&amp;t_coor=geo&amp;t_v_frame=MHHW&amp;t_v_unit=us_ft", "NAVD88 to MHHW")</f>
        <v>0</v>
      </c>
    </row>
    <row r="133" spans="1:20">
      <c r="A133" s="1" t="s">
        <v>157</v>
      </c>
      <c r="B133" s="1" t="s">
        <v>619</v>
      </c>
      <c r="C133" s="1" t="s">
        <v>644</v>
      </c>
      <c r="D133" s="1" t="s">
        <v>652</v>
      </c>
      <c r="H133" s="1">
        <v>-76.57940000000001</v>
      </c>
      <c r="I133" s="1">
        <v>39.26694</v>
      </c>
      <c r="J133" s="1">
        <f>HYPERLINK("https://tidesandcurrents.noaa.gov/stationhome.html?id=8574680", "8574680")</f>
        <v>0</v>
      </c>
      <c r="K133" s="1" t="s">
        <v>860</v>
      </c>
      <c r="L133" s="1" t="s">
        <v>866</v>
      </c>
      <c r="M133" s="1">
        <v>4431728</v>
      </c>
      <c r="N133" s="1">
        <v>0</v>
      </c>
      <c r="O133" s="1" t="s">
        <v>869</v>
      </c>
      <c r="P133" s="1" t="s">
        <v>873</v>
      </c>
      <c r="Q133" s="1">
        <v>0.82</v>
      </c>
      <c r="R133" s="1">
        <v>-0.86</v>
      </c>
      <c r="S133" s="2">
        <f>HYPERLINK("https://vdatum.noaa.gov/vdatumweb/api/convert?s_x=-76.5794&amp;s_y=39.26694&amp;s_z=0.0&amp;region=chesapeak_delaware&amp;s_h_frame=NAD83_2011&amp;s_coor=geo&amp;s_v_frame=NAVD88&amp;s_v_unit=us_ft&amp;t_h_frame=IGS14&amp;t_coor=geo&amp;t_v_frame=MLLW&amp;t_v_unit=us_ft", "NAVD88 to MLLW")</f>
        <v>0</v>
      </c>
      <c r="T133" s="2">
        <f>HYPERLINK("https://vdatum.noaa.gov/vdatumweb/api/convert?s_x=-76.5794&amp;s_y=39.26694&amp;s_z=0.0&amp;region=chesapeak_delaware&amp;s_h_frame=NAD83_2011&amp;s_coor=geo&amp;s_v_frame=NAVD88&amp;s_v_unit=us_ft&amp;t_h_frame=IGS14&amp;t_coor=geo&amp;t_v_frame=MHHW&amp;t_v_unit=us_ft", "NAVD88 to MHHW")</f>
        <v>0</v>
      </c>
    </row>
    <row r="134" spans="1:20">
      <c r="A134" s="1" t="s">
        <v>158</v>
      </c>
      <c r="B134" s="1" t="s">
        <v>619</v>
      </c>
      <c r="C134" s="1" t="s">
        <v>644</v>
      </c>
      <c r="D134" s="1" t="s">
        <v>652</v>
      </c>
      <c r="E134" s="1" t="s">
        <v>704</v>
      </c>
      <c r="F134" s="1" t="s">
        <v>830</v>
      </c>
      <c r="G134" s="1" t="s">
        <v>854</v>
      </c>
      <c r="H134" s="1">
        <v>-76.4816</v>
      </c>
      <c r="I134" s="1">
        <v>38.98328</v>
      </c>
      <c r="J134" s="1">
        <f>HYPERLINK("https://tidesandcurrents.noaa.gov/stationhome.html?id=8575512", "8575512")</f>
        <v>0</v>
      </c>
      <c r="K134" s="1" t="s">
        <v>860</v>
      </c>
      <c r="L134" s="1" t="s">
        <v>866</v>
      </c>
      <c r="M134" s="1">
        <v>4706224</v>
      </c>
      <c r="N134" s="1">
        <v>0</v>
      </c>
      <c r="O134" s="1" t="s">
        <v>869</v>
      </c>
      <c r="P134" s="1" t="s">
        <v>873</v>
      </c>
      <c r="Q134" s="1">
        <v>0.899</v>
      </c>
      <c r="R134" s="1">
        <v>-0.548</v>
      </c>
      <c r="S134" s="2">
        <f>HYPERLINK("https://vdatum.noaa.gov/vdatumweb/api/convert?s_x=-76.4816&amp;s_y=38.98328&amp;s_z=0.0&amp;region=chesapeak_delaware&amp;s_h_frame=NAD83_2011&amp;s_coor=geo&amp;s_v_frame=NAVD88&amp;s_v_unit=us_ft&amp;t_h_frame=IGS14&amp;t_coor=geo&amp;t_v_frame=MLLW&amp;t_v_unit=us_ft", "NAVD88 to MLLW")</f>
        <v>0</v>
      </c>
      <c r="T134" s="2">
        <f>HYPERLINK("https://vdatum.noaa.gov/vdatumweb/api/convert?s_x=-76.4816&amp;s_y=38.98328&amp;s_z=0.0&amp;region=chesapeak_delaware&amp;s_h_frame=NAD83_2011&amp;s_coor=geo&amp;s_v_frame=NAVD88&amp;s_v_unit=us_ft&amp;t_h_frame=IGS14&amp;t_coor=geo&amp;t_v_frame=MHHW&amp;t_v_unit=us_ft", "NAVD88 to MHHW")</f>
        <v>0</v>
      </c>
    </row>
    <row r="135" spans="1:20">
      <c r="A135" s="1" t="s">
        <v>159</v>
      </c>
      <c r="B135" s="1" t="s">
        <v>619</v>
      </c>
      <c r="C135" s="1" t="s">
        <v>644</v>
      </c>
      <c r="D135" s="1" t="s">
        <v>652</v>
      </c>
      <c r="E135" s="1" t="s">
        <v>705</v>
      </c>
      <c r="F135" s="1" t="s">
        <v>830</v>
      </c>
      <c r="G135" s="1" t="s">
        <v>854</v>
      </c>
      <c r="H135" s="1">
        <v>-76.5333</v>
      </c>
      <c r="I135" s="1">
        <v>38.7</v>
      </c>
      <c r="J135" s="1">
        <f>HYPERLINK("https://tidesandcurrents.noaa.gov/stationhome.html?id=8576363", "8576363")</f>
        <v>0</v>
      </c>
      <c r="K135" s="1" t="s">
        <v>861</v>
      </c>
      <c r="L135" s="1" t="s">
        <v>866</v>
      </c>
      <c r="M135" s="1">
        <v>2600041</v>
      </c>
      <c r="N135" s="1">
        <v>0</v>
      </c>
      <c r="O135" s="1" t="s">
        <v>869</v>
      </c>
      <c r="P135" s="1" t="s">
        <v>873</v>
      </c>
      <c r="Q135" s="1">
        <v>0.748</v>
      </c>
      <c r="R135" s="1">
        <v>-0.604</v>
      </c>
      <c r="S135" s="2">
        <f>HYPERLINK("https://vdatum.noaa.gov/vdatumweb/api/convert?s_x=-76.5333&amp;s_y=38.7&amp;s_z=0.0&amp;region=chesapeak_delaware&amp;s_h_frame=NAD83_2011&amp;s_coor=geo&amp;s_v_frame=NAVD88&amp;s_v_unit=us_ft&amp;t_h_frame=IGS14&amp;t_coor=geo&amp;t_v_frame=MLLW&amp;t_v_unit=us_ft", "NAVD88 to MLLW")</f>
        <v>0</v>
      </c>
      <c r="T135" s="2">
        <f>HYPERLINK("https://vdatum.noaa.gov/vdatumweb/api/convert?s_x=-76.5333&amp;s_y=38.7&amp;s_z=0.0&amp;region=chesapeak_delaware&amp;s_h_frame=NAD83_2011&amp;s_coor=geo&amp;s_v_frame=NAVD88&amp;s_v_unit=us_ft&amp;t_h_frame=IGS14&amp;t_coor=geo&amp;t_v_frame=MHHW&amp;t_v_unit=us_ft", "NAVD88 to MHHW")</f>
        <v>0</v>
      </c>
    </row>
    <row r="136" spans="1:20">
      <c r="A136" s="1" t="s">
        <v>160</v>
      </c>
      <c r="B136" s="1" t="s">
        <v>619</v>
      </c>
      <c r="D136" s="1" t="s">
        <v>652</v>
      </c>
      <c r="E136" s="1" t="s">
        <v>705</v>
      </c>
      <c r="F136" s="1" t="s">
        <v>830</v>
      </c>
      <c r="G136" s="1" t="s">
        <v>854</v>
      </c>
      <c r="H136" s="1">
        <v>-76.39830000000001</v>
      </c>
      <c r="I136" s="1">
        <v>38.3917</v>
      </c>
      <c r="J136" s="1">
        <f>HYPERLINK("https://tidesandcurrents.noaa.gov/stationhome.html?id=8577188", "8577188")</f>
        <v>0</v>
      </c>
      <c r="K136" s="1" t="s">
        <v>861</v>
      </c>
      <c r="L136" s="1" t="s">
        <v>866</v>
      </c>
      <c r="M136" s="1">
        <v>3510243</v>
      </c>
      <c r="N136" s="1">
        <v>-0.481</v>
      </c>
      <c r="O136" s="1" t="s">
        <v>869</v>
      </c>
      <c r="P136" s="1" t="s">
        <v>873</v>
      </c>
      <c r="Q136" s="1">
        <v>0.981</v>
      </c>
      <c r="R136" s="1">
        <v>-0.394</v>
      </c>
      <c r="S136" s="2">
        <f>HYPERLINK("https://vdatum.noaa.gov/vdatumweb/api/convert?s_x=-76.3983&amp;s_y=38.3917&amp;s_z=0.0&amp;region=chesapeak_delaware&amp;s_h_frame=NAD83_2011&amp;s_coor=geo&amp;s_v_frame=NAVD88&amp;s_v_unit=us_ft&amp;t_h_frame=IGS14&amp;t_coor=geo&amp;t_v_frame=MLLW&amp;t_v_unit=us_ft", "NAVD88 to MLLW")</f>
        <v>0</v>
      </c>
      <c r="T136" s="2">
        <f>HYPERLINK("https://vdatum.noaa.gov/vdatumweb/api/convert?s_x=-76.3983&amp;s_y=38.3917&amp;s_z=0.0&amp;region=chesapeak_delaware&amp;s_h_frame=NAD83_2011&amp;s_coor=geo&amp;s_v_frame=NAVD88&amp;s_v_unit=us_ft&amp;t_h_frame=IGS14&amp;t_coor=geo&amp;t_v_frame=MHHW&amp;t_v_unit=us_ft", "NAVD88 to MHHW")</f>
        <v>0</v>
      </c>
    </row>
    <row r="137" spans="1:20">
      <c r="A137" s="1" t="s">
        <v>161</v>
      </c>
      <c r="B137" s="1" t="s">
        <v>619</v>
      </c>
      <c r="D137" s="1" t="s">
        <v>652</v>
      </c>
      <c r="H137" s="1">
        <v>-76.4508</v>
      </c>
      <c r="I137" s="1">
        <v>38.31722</v>
      </c>
      <c r="J137" s="1">
        <f>HYPERLINK("https://tidesandcurrents.noaa.gov/stationhome.html?id=8577330", "8577330")</f>
        <v>0</v>
      </c>
      <c r="K137" s="1" t="s">
        <v>860</v>
      </c>
      <c r="L137" s="1" t="s">
        <v>866</v>
      </c>
      <c r="M137" s="1">
        <v>4103590</v>
      </c>
      <c r="N137" s="1">
        <v>0</v>
      </c>
      <c r="O137" s="1" t="s">
        <v>869</v>
      </c>
      <c r="P137" s="1" t="s">
        <v>873</v>
      </c>
      <c r="Q137" s="1">
        <v>0.9419999999999999</v>
      </c>
      <c r="R137" s="1">
        <v>-0.545</v>
      </c>
      <c r="S137" s="2">
        <f>HYPERLINK("https://vdatum.noaa.gov/vdatumweb/api/convert?s_x=-76.4508&amp;s_y=38.31722&amp;s_z=0.0&amp;region=chesapeak_delaware&amp;s_h_frame=NAD83_2011&amp;s_coor=geo&amp;s_v_frame=NAVD88&amp;s_v_unit=us_ft&amp;t_h_frame=IGS14&amp;t_coor=geo&amp;t_v_frame=MLLW&amp;t_v_unit=us_ft", "NAVD88 to MLLW")</f>
        <v>0</v>
      </c>
      <c r="T137" s="2">
        <f>HYPERLINK("https://vdatum.noaa.gov/vdatumweb/api/convert?s_x=-76.4508&amp;s_y=38.31722&amp;s_z=0.0&amp;region=chesapeak_delaware&amp;s_h_frame=NAD83_2011&amp;s_coor=geo&amp;s_v_frame=NAVD88&amp;s_v_unit=us_ft&amp;t_h_frame=IGS14&amp;t_coor=geo&amp;t_v_frame=MHHW&amp;t_v_unit=us_ft", "NAVD88 to MHHW")</f>
        <v>0</v>
      </c>
    </row>
    <row r="138" spans="1:20">
      <c r="A138" s="1" t="s">
        <v>162</v>
      </c>
      <c r="B138" s="1" t="s">
        <v>619</v>
      </c>
      <c r="C138" s="1" t="s">
        <v>644</v>
      </c>
      <c r="D138" s="1" t="s">
        <v>652</v>
      </c>
      <c r="H138" s="1">
        <v>-76.3233</v>
      </c>
      <c r="I138" s="1">
        <v>38.04</v>
      </c>
      <c r="J138" s="1">
        <f>HYPERLINK("https://tidesandcurrents.noaa.gov/stationhome.html?id=8578002", "8578002")</f>
        <v>0</v>
      </c>
      <c r="K138" s="1" t="s">
        <v>860</v>
      </c>
      <c r="L138" s="1" t="s">
        <v>866</v>
      </c>
      <c r="M138" s="1">
        <v>6211600</v>
      </c>
      <c r="N138" s="1">
        <v>0</v>
      </c>
      <c r="O138" s="1" t="s">
        <v>869</v>
      </c>
      <c r="P138" s="1" t="s">
        <v>873</v>
      </c>
      <c r="Q138" s="1">
        <v>1.102</v>
      </c>
      <c r="R138" s="1">
        <v>-0.456</v>
      </c>
      <c r="S138" s="2">
        <f>HYPERLINK("https://vdatum.noaa.gov/vdatumweb/api/convert?s_x=-76.3233&amp;s_y=38.04&amp;s_z=0.0&amp;region=chesapeak_delaware&amp;s_h_frame=NAD83_2011&amp;s_coor=geo&amp;s_v_frame=NAVD88&amp;s_v_unit=us_ft&amp;t_h_frame=IGS14&amp;t_coor=geo&amp;t_v_frame=MLLW&amp;t_v_unit=us_ft", "NAVD88 to MLLW")</f>
        <v>0</v>
      </c>
      <c r="T138" s="2">
        <f>HYPERLINK("https://vdatum.noaa.gov/vdatumweb/api/convert?s_x=-76.3233&amp;s_y=38.04&amp;s_z=0.0&amp;region=chesapeak_delaware&amp;s_h_frame=NAD83_2011&amp;s_coor=geo&amp;s_v_frame=NAVD88&amp;s_v_unit=us_ft&amp;t_h_frame=IGS14&amp;t_coor=geo&amp;t_v_frame=MHHW&amp;t_v_unit=us_ft", "NAVD88 to MHHW")</f>
        <v>0</v>
      </c>
    </row>
    <row r="139" spans="1:20">
      <c r="A139" s="1" t="s">
        <v>163</v>
      </c>
      <c r="B139" s="1" t="s">
        <v>619</v>
      </c>
      <c r="D139" s="1" t="s">
        <v>652</v>
      </c>
      <c r="H139" s="1">
        <v>-76.5333</v>
      </c>
      <c r="I139" s="1">
        <v>38.13333</v>
      </c>
      <c r="J139" s="1">
        <f>HYPERLINK("https://tidesandcurrents.noaa.gov/stationhome.html?id=8578240", "8578240")</f>
        <v>0</v>
      </c>
      <c r="K139" s="1" t="s">
        <v>861</v>
      </c>
      <c r="L139" s="1" t="s">
        <v>866</v>
      </c>
      <c r="M139" s="1">
        <v>6480809</v>
      </c>
      <c r="N139" s="1">
        <v>0</v>
      </c>
      <c r="O139" s="1" t="s">
        <v>869</v>
      </c>
      <c r="P139" s="1" t="s">
        <v>873</v>
      </c>
      <c r="Q139" s="1">
        <v>1.115</v>
      </c>
      <c r="R139" s="1">
        <v>-0.6889999999999999</v>
      </c>
      <c r="S139" s="2">
        <f>HYPERLINK("https://vdatum.noaa.gov/vdatumweb/api/convert?s_x=-76.5333&amp;s_y=38.13333&amp;s_z=0.0&amp;region=chesapeak_delaware&amp;s_h_frame=NAD83_2011&amp;s_coor=geo&amp;s_v_frame=NAVD88&amp;s_v_unit=us_ft&amp;t_h_frame=IGS14&amp;t_coor=geo&amp;t_v_frame=MLLW&amp;t_v_unit=us_ft", "NAVD88 to MLLW")</f>
        <v>0</v>
      </c>
      <c r="T139" s="2">
        <f>HYPERLINK("https://vdatum.noaa.gov/vdatumweb/api/convert?s_x=-76.5333&amp;s_y=38.13333&amp;s_z=0.0&amp;region=chesapeak_delaware&amp;s_h_frame=NAD83_2011&amp;s_coor=geo&amp;s_v_frame=NAVD88&amp;s_v_unit=us_ft&amp;t_h_frame=IGS14&amp;t_coor=geo&amp;t_v_frame=MHHW&amp;t_v_unit=us_ft", "NAVD88 to MHHW")</f>
        <v>0</v>
      </c>
    </row>
    <row r="140" spans="1:20">
      <c r="A140" s="1" t="s">
        <v>164</v>
      </c>
      <c r="B140" s="1" t="s">
        <v>619</v>
      </c>
      <c r="D140" s="1" t="s">
        <v>652</v>
      </c>
      <c r="E140" s="1" t="s">
        <v>706</v>
      </c>
      <c r="F140" s="1" t="s">
        <v>830</v>
      </c>
      <c r="G140" s="1" t="s">
        <v>854</v>
      </c>
      <c r="H140" s="1">
        <v>-76.67</v>
      </c>
      <c r="I140" s="1">
        <v>38.51333</v>
      </c>
      <c r="J140" s="1">
        <f>HYPERLINK("https://tidesandcurrents.noaa.gov/stationhome.html?id=8579135", "8579135")</f>
        <v>0</v>
      </c>
      <c r="K140" s="1" t="s">
        <v>861</v>
      </c>
      <c r="L140" s="1" t="s">
        <v>866</v>
      </c>
      <c r="M140" s="1">
        <v>3163286</v>
      </c>
      <c r="N140" s="1">
        <v>0</v>
      </c>
      <c r="O140" s="1" t="s">
        <v>869</v>
      </c>
      <c r="P140" s="1" t="s">
        <v>873</v>
      </c>
      <c r="Q140" s="1">
        <v>0.961</v>
      </c>
      <c r="R140" s="1">
        <v>-0.951</v>
      </c>
      <c r="S140" s="2">
        <f>HYPERLINK("https://vdatum.noaa.gov/vdatumweb/api/convert?s_x=-76.67&amp;s_y=38.51333&amp;s_z=0.0&amp;region=chesapeak_delaware&amp;s_h_frame=NAD83_2011&amp;s_coor=geo&amp;s_v_frame=NAVD88&amp;s_v_unit=us_ft&amp;t_h_frame=IGS14&amp;t_coor=geo&amp;t_v_frame=MLLW&amp;t_v_unit=us_ft", "NAVD88 to MLLW")</f>
        <v>0</v>
      </c>
      <c r="T140" s="2">
        <f>HYPERLINK("https://vdatum.noaa.gov/vdatumweb/api/convert?s_x=-76.67&amp;s_y=38.51333&amp;s_z=0.0&amp;region=chesapeak_delaware&amp;s_h_frame=NAD83_2011&amp;s_coor=geo&amp;s_v_frame=NAVD88&amp;s_v_unit=us_ft&amp;t_h_frame=IGS14&amp;t_coor=geo&amp;t_v_frame=MHHW&amp;t_v_unit=us_ft", "NAVD88 to MHHW")</f>
        <v>0</v>
      </c>
    </row>
    <row r="141" spans="1:20">
      <c r="A141" s="1" t="s">
        <v>165</v>
      </c>
      <c r="B141" s="1" t="s">
        <v>619</v>
      </c>
      <c r="D141" s="1" t="s">
        <v>652</v>
      </c>
      <c r="H141" s="1">
        <v>-77.185</v>
      </c>
      <c r="I141" s="1">
        <v>38.601666</v>
      </c>
      <c r="J141" s="1">
        <f>HYPERLINK("https://tidesandcurrents.noaa.gov/stationhome.html?id=8579381", "8579381")</f>
        <v>0</v>
      </c>
      <c r="K141" s="1" t="s">
        <v>860</v>
      </c>
      <c r="L141" s="1" t="s">
        <v>866</v>
      </c>
      <c r="M141" s="1">
        <v>4928860</v>
      </c>
      <c r="N141" s="1">
        <v>0</v>
      </c>
      <c r="O141" s="1" t="s">
        <v>869</v>
      </c>
      <c r="P141" s="1" t="s">
        <v>873</v>
      </c>
      <c r="Q141" s="1">
        <v>1.158</v>
      </c>
      <c r="R141" s="1">
        <v>-1.637</v>
      </c>
      <c r="S141" s="2">
        <f>HYPERLINK("https://vdatum.noaa.gov/vdatumweb/api/convert?s_x=-77.185&amp;s_y=38.601666&amp;s_z=0.0&amp;region=chesapeak_delaware&amp;s_h_frame=NAD83_2011&amp;s_coor=geo&amp;s_v_frame=NAVD88&amp;s_v_unit=us_ft&amp;t_h_frame=IGS14&amp;t_coor=geo&amp;t_v_frame=MLLW&amp;t_v_unit=us_ft", "NAVD88 to MLLW")</f>
        <v>0</v>
      </c>
      <c r="T141" s="2">
        <f>HYPERLINK("https://vdatum.noaa.gov/vdatumweb/api/convert?s_x=-77.185&amp;s_y=38.601666&amp;s_z=0.0&amp;region=chesapeak_delaware&amp;s_h_frame=NAD83_2011&amp;s_coor=geo&amp;s_v_frame=NAVD88&amp;s_v_unit=us_ft&amp;t_h_frame=IGS14&amp;t_coor=geo&amp;t_v_frame=MHHW&amp;t_v_unit=us_ft", "NAVD88 to MHHW")</f>
        <v>0</v>
      </c>
    </row>
    <row r="142" spans="1:20">
      <c r="A142" s="1" t="s">
        <v>166</v>
      </c>
      <c r="B142" s="1" t="s">
        <v>619</v>
      </c>
      <c r="D142" s="1" t="s">
        <v>652</v>
      </c>
      <c r="H142" s="1">
        <v>-77.10166599999999</v>
      </c>
      <c r="I142" s="1">
        <v>38.68666</v>
      </c>
      <c r="J142" s="1">
        <f>HYPERLINK("https://tidesandcurrents.noaa.gov/stationhome.html?id=8579629", "8579629")</f>
        <v>0</v>
      </c>
      <c r="K142" s="1" t="s">
        <v>861</v>
      </c>
      <c r="L142" s="1" t="s">
        <v>866</v>
      </c>
      <c r="M142" s="1">
        <v>3785194</v>
      </c>
      <c r="N142" s="1">
        <v>0</v>
      </c>
      <c r="O142" s="1" t="s">
        <v>869</v>
      </c>
      <c r="P142" s="1" t="s">
        <v>873</v>
      </c>
      <c r="Q142" s="1">
        <v>1.24</v>
      </c>
      <c r="R142" s="1">
        <v>-1.759</v>
      </c>
      <c r="S142" s="2">
        <f>HYPERLINK("https://vdatum.noaa.gov/vdatumweb/api/convert?s_x=-77.101666&amp;s_y=38.68666&amp;s_z=0.0&amp;region=chesapeak_delaware&amp;s_h_frame=NAD83_2011&amp;s_coor=geo&amp;s_v_frame=NAVD88&amp;s_v_unit=us_ft&amp;t_h_frame=IGS14&amp;t_coor=geo&amp;t_v_frame=MLLW&amp;t_v_unit=us_ft", "NAVD88 to MLLW")</f>
        <v>0</v>
      </c>
      <c r="T142" s="2">
        <f>HYPERLINK("https://vdatum.noaa.gov/vdatumweb/api/convert?s_x=-77.101666&amp;s_y=38.68666&amp;s_z=0.0&amp;region=chesapeak_delaware&amp;s_h_frame=NAD83_2011&amp;s_coor=geo&amp;s_v_frame=NAVD88&amp;s_v_unit=us_ft&amp;t_h_frame=IGS14&amp;t_coor=geo&amp;t_v_frame=MHHW&amp;t_v_unit=us_ft", "NAVD88 to MHHW")</f>
        <v>0</v>
      </c>
    </row>
    <row r="143" spans="1:20">
      <c r="A143" s="1" t="s">
        <v>167</v>
      </c>
      <c r="B143" s="1" t="s">
        <v>619</v>
      </c>
      <c r="C143" s="1" t="s">
        <v>644</v>
      </c>
      <c r="D143" s="1" t="s">
        <v>652</v>
      </c>
      <c r="E143" s="1" t="s">
        <v>707</v>
      </c>
      <c r="F143" s="1" t="s">
        <v>830</v>
      </c>
      <c r="G143" s="1" t="s">
        <v>854</v>
      </c>
      <c r="H143" s="1">
        <v>-76.94</v>
      </c>
      <c r="I143" s="1">
        <v>38.93</v>
      </c>
      <c r="J143" s="1">
        <f>HYPERLINK("https://tidesandcurrents.noaa.gov/stationhome.html?id=8579997", "8579997")</f>
        <v>0</v>
      </c>
      <c r="K143" s="1" t="s">
        <v>861</v>
      </c>
      <c r="L143" s="1" t="s">
        <v>866</v>
      </c>
      <c r="M143" s="1">
        <v>2112582</v>
      </c>
      <c r="N143" s="1">
        <v>-0.24</v>
      </c>
      <c r="O143" s="1" t="s">
        <v>869</v>
      </c>
      <c r="P143" s="1" t="s">
        <v>873</v>
      </c>
      <c r="Q143" s="1">
        <v>1.184</v>
      </c>
      <c r="R143" s="1">
        <v>-2.136</v>
      </c>
      <c r="S143" s="2">
        <f>HYPERLINK("https://vdatum.noaa.gov/vdatumweb/api/convert?s_x=-76.94&amp;s_y=38.93&amp;s_z=0.0&amp;region=chesapeak_delaware&amp;s_h_frame=NAD83_2011&amp;s_coor=geo&amp;s_v_frame=NAVD88&amp;s_v_unit=us_ft&amp;t_h_frame=IGS14&amp;t_coor=geo&amp;t_v_frame=MLLW&amp;t_v_unit=us_ft", "NAVD88 to MLLW")</f>
        <v>0</v>
      </c>
      <c r="T143" s="2">
        <f>HYPERLINK("https://vdatum.noaa.gov/vdatumweb/api/convert?s_x=-76.94&amp;s_y=38.93&amp;s_z=0.0&amp;region=chesapeak_delaware&amp;s_h_frame=NAD83_2011&amp;s_coor=geo&amp;s_v_frame=NAVD88&amp;s_v_unit=us_ft&amp;t_h_frame=IGS14&amp;t_coor=geo&amp;t_v_frame=MHHW&amp;t_v_unit=us_ft", "NAVD88 to MHHW")</f>
        <v>0</v>
      </c>
    </row>
    <row r="144" spans="1:20">
      <c r="A144" s="1" t="s">
        <v>168</v>
      </c>
      <c r="B144" s="1" t="s">
        <v>619</v>
      </c>
      <c r="C144" s="1" t="s">
        <v>644</v>
      </c>
      <c r="D144" s="1" t="s">
        <v>652</v>
      </c>
      <c r="E144" s="1" t="s">
        <v>707</v>
      </c>
      <c r="F144" s="1" t="s">
        <v>830</v>
      </c>
      <c r="G144" s="1" t="s">
        <v>854</v>
      </c>
      <c r="H144" s="1">
        <v>-76.9383</v>
      </c>
      <c r="I144" s="1">
        <v>38.9333</v>
      </c>
      <c r="J144" s="1">
        <f>HYPERLINK("https://tidesandcurrents.noaa.gov/stationhome.html?id=8590111", "8590111")</f>
        <v>0</v>
      </c>
      <c r="K144" s="1" t="s">
        <v>861</v>
      </c>
      <c r="L144" s="1" t="s">
        <v>866</v>
      </c>
      <c r="M144" s="1">
        <v>2650185</v>
      </c>
      <c r="N144" s="1">
        <v>0</v>
      </c>
      <c r="O144" s="1" t="s">
        <v>869</v>
      </c>
      <c r="P144" s="1" t="s">
        <v>873</v>
      </c>
      <c r="Q144" s="1">
        <v>1.178</v>
      </c>
      <c r="R144" s="1">
        <v>-2.142</v>
      </c>
      <c r="S144" s="2">
        <f>HYPERLINK("https://vdatum.noaa.gov/vdatumweb/api/convert?s_x=-76.9383&amp;s_y=38.9333&amp;s_z=0.0&amp;region=chesapeak_delaware&amp;s_h_frame=NAD83_2011&amp;s_coor=geo&amp;s_v_frame=NAVD88&amp;s_v_unit=us_ft&amp;t_h_frame=IGS14&amp;t_coor=geo&amp;t_v_frame=MLLW&amp;t_v_unit=us_ft", "NAVD88 to MLLW")</f>
        <v>0</v>
      </c>
      <c r="T144" s="2">
        <f>HYPERLINK("https://vdatum.noaa.gov/vdatumweb/api/convert?s_x=-76.9383&amp;s_y=38.9333&amp;s_z=0.0&amp;region=chesapeak_delaware&amp;s_h_frame=NAD83_2011&amp;s_coor=geo&amp;s_v_frame=NAVD88&amp;s_v_unit=us_ft&amp;t_h_frame=IGS14&amp;t_coor=geo&amp;t_v_frame=MHHW&amp;t_v_unit=us_ft", "NAVD88 to MHHW")</f>
        <v>0</v>
      </c>
    </row>
    <row r="145" spans="1:20">
      <c r="A145" s="1" t="s">
        <v>169</v>
      </c>
      <c r="B145" s="1" t="s">
        <v>619</v>
      </c>
      <c r="C145" s="1" t="s">
        <v>644</v>
      </c>
      <c r="D145" s="1" t="s">
        <v>652</v>
      </c>
      <c r="E145" s="1" t="s">
        <v>708</v>
      </c>
      <c r="F145" s="1" t="s">
        <v>840</v>
      </c>
      <c r="G145" s="1" t="s">
        <v>854</v>
      </c>
      <c r="H145" s="1">
        <v>-76.955</v>
      </c>
      <c r="I145" s="1">
        <v>38.91</v>
      </c>
      <c r="J145" s="1">
        <f>HYPERLINK("https://tidesandcurrents.noaa.gov/stationhome.html?id=8593909", "8593909")</f>
        <v>0</v>
      </c>
      <c r="K145" s="1" t="s">
        <v>861</v>
      </c>
      <c r="L145" s="1" t="s">
        <v>866</v>
      </c>
      <c r="M145" s="1">
        <v>2112582</v>
      </c>
      <c r="N145" s="1">
        <v>0</v>
      </c>
      <c r="O145" s="1" t="s">
        <v>869</v>
      </c>
      <c r="P145" s="1" t="s">
        <v>873</v>
      </c>
      <c r="Q145" s="1">
        <v>1.214</v>
      </c>
      <c r="R145" s="1">
        <v>-2.093</v>
      </c>
      <c r="S145" s="2">
        <f>HYPERLINK("https://vdatum.noaa.gov/vdatumweb/api/convert?s_x=-76.955&amp;s_y=38.91&amp;s_z=0.0&amp;region=chesapeak_delaware&amp;s_h_frame=NAD83_2011&amp;s_coor=geo&amp;s_v_frame=NAVD88&amp;s_v_unit=us_ft&amp;t_h_frame=IGS14&amp;t_coor=geo&amp;t_v_frame=MLLW&amp;t_v_unit=us_ft", "NAVD88 to MLLW")</f>
        <v>0</v>
      </c>
      <c r="T145" s="2">
        <f>HYPERLINK("https://vdatum.noaa.gov/vdatumweb/api/convert?s_x=-76.955&amp;s_y=38.91&amp;s_z=0.0&amp;region=chesapeak_delaware&amp;s_h_frame=NAD83_2011&amp;s_coor=geo&amp;s_v_frame=NAVD88&amp;s_v_unit=us_ft&amp;t_h_frame=IGS14&amp;t_coor=geo&amp;t_v_frame=MHHW&amp;t_v_unit=us_ft", "NAVD88 to MHHW")</f>
        <v>0</v>
      </c>
    </row>
    <row r="146" spans="1:20">
      <c r="A146" s="1" t="s">
        <v>170</v>
      </c>
      <c r="B146" s="1" t="s">
        <v>619</v>
      </c>
      <c r="C146" s="1" t="s">
        <v>644</v>
      </c>
      <c r="D146" s="1" t="s">
        <v>652</v>
      </c>
      <c r="E146" s="1" t="s">
        <v>708</v>
      </c>
      <c r="F146" s="1" t="s">
        <v>840</v>
      </c>
      <c r="G146" s="1" t="s">
        <v>854</v>
      </c>
      <c r="H146" s="1">
        <v>-77.0217</v>
      </c>
      <c r="I146" s="1">
        <v>38.873</v>
      </c>
      <c r="J146" s="1">
        <f>HYPERLINK("https://tidesandcurrents.noaa.gov/stationhome.html?id=8594900", "8594900")</f>
        <v>0</v>
      </c>
      <c r="K146" s="1" t="s">
        <v>860</v>
      </c>
      <c r="L146" s="1" t="s">
        <v>866</v>
      </c>
      <c r="M146" s="1">
        <v>2838230</v>
      </c>
      <c r="N146" s="1">
        <v>0</v>
      </c>
      <c r="O146" s="1" t="s">
        <v>869</v>
      </c>
      <c r="P146" s="1" t="s">
        <v>873</v>
      </c>
      <c r="Q146" s="1">
        <v>1.283</v>
      </c>
      <c r="R146" s="1">
        <v>-1.923</v>
      </c>
      <c r="S146" s="2">
        <f>HYPERLINK("https://vdatum.noaa.gov/vdatumweb/api/convert?s_x=-77.0217&amp;s_y=38.873&amp;s_z=0.0&amp;region=chesapeak_delaware&amp;s_h_frame=NAD83_2011&amp;s_coor=geo&amp;s_v_frame=NAVD88&amp;s_v_unit=us_ft&amp;t_h_frame=IGS14&amp;t_coor=geo&amp;t_v_frame=MLLW&amp;t_v_unit=us_ft", "NAVD88 to MLLW")</f>
        <v>0</v>
      </c>
      <c r="T146" s="2">
        <f>HYPERLINK("https://vdatum.noaa.gov/vdatumweb/api/convert?s_x=-77.0217&amp;s_y=38.873&amp;s_z=0.0&amp;region=chesapeak_delaware&amp;s_h_frame=NAD83_2011&amp;s_coor=geo&amp;s_v_frame=NAVD88&amp;s_v_unit=us_ft&amp;t_h_frame=IGS14&amp;t_coor=geo&amp;t_v_frame=MHHW&amp;t_v_unit=us_ft", "NAVD88 to MHHW")</f>
        <v>0</v>
      </c>
    </row>
    <row r="147" spans="1:20">
      <c r="A147" s="1" t="s">
        <v>171</v>
      </c>
      <c r="B147" s="1" t="s">
        <v>619</v>
      </c>
      <c r="D147" s="1" t="s">
        <v>652</v>
      </c>
      <c r="E147" s="1" t="s">
        <v>709</v>
      </c>
      <c r="F147" s="1" t="s">
        <v>831</v>
      </c>
      <c r="G147" s="1" t="s">
        <v>854</v>
      </c>
      <c r="H147" s="1">
        <v>-77.03833299999999</v>
      </c>
      <c r="I147" s="1">
        <v>38.805</v>
      </c>
      <c r="J147" s="1">
        <f>HYPERLINK("https://tidesandcurrents.noaa.gov/stationhome.html?id=8634214", "8634214")</f>
        <v>0</v>
      </c>
      <c r="K147" s="1" t="s">
        <v>861</v>
      </c>
      <c r="L147" s="1" t="s">
        <v>866</v>
      </c>
      <c r="M147" s="1">
        <v>2838072</v>
      </c>
      <c r="N147" s="1">
        <v>0</v>
      </c>
      <c r="O147" s="1" t="s">
        <v>869</v>
      </c>
      <c r="P147" s="1" t="s">
        <v>873</v>
      </c>
      <c r="Q147" s="1">
        <v>1.299</v>
      </c>
      <c r="R147" s="1">
        <v>-1.88</v>
      </c>
      <c r="S147" s="2">
        <f>HYPERLINK("https://vdatum.noaa.gov/vdatumweb/api/convert?s_x=-77.038333&amp;s_y=38.805&amp;s_z=0.0&amp;region=chesapeak_delaware&amp;s_h_frame=NAD83_2011&amp;s_coor=geo&amp;s_v_frame=NAVD88&amp;s_v_unit=us_ft&amp;t_h_frame=IGS14&amp;t_coor=geo&amp;t_v_frame=MLLW&amp;t_v_unit=us_ft", "NAVD88 to MLLW")</f>
        <v>0</v>
      </c>
      <c r="T147" s="2">
        <f>HYPERLINK("https://vdatum.noaa.gov/vdatumweb/api/convert?s_x=-77.038333&amp;s_y=38.805&amp;s_z=0.0&amp;region=chesapeak_delaware&amp;s_h_frame=NAD83_2011&amp;s_coor=geo&amp;s_v_frame=NAVD88&amp;s_v_unit=us_ft&amp;t_h_frame=IGS14&amp;t_coor=geo&amp;t_v_frame=MHHW&amp;t_v_unit=us_ft", "NAVD88 to MHHW")</f>
        <v>0</v>
      </c>
    </row>
    <row r="148" spans="1:20">
      <c r="A148" s="1" t="s">
        <v>172</v>
      </c>
      <c r="B148" s="1" t="s">
        <v>619</v>
      </c>
      <c r="D148" s="1" t="s">
        <v>652</v>
      </c>
      <c r="H148" s="1">
        <v>-77.28666</v>
      </c>
      <c r="I148" s="1">
        <v>38.52</v>
      </c>
      <c r="J148" s="1">
        <f>HYPERLINK("https://tidesandcurrents.noaa.gov/stationhome.html?id=8634689", "8634689")</f>
        <v>0</v>
      </c>
      <c r="K148" s="1" t="s">
        <v>860</v>
      </c>
      <c r="L148" s="1" t="s">
        <v>866</v>
      </c>
      <c r="M148" s="1">
        <v>2789225</v>
      </c>
      <c r="N148" s="1">
        <v>0</v>
      </c>
      <c r="O148" s="1" t="s">
        <v>869</v>
      </c>
      <c r="P148" s="1" t="s">
        <v>873</v>
      </c>
      <c r="Q148" s="1">
        <v>1.043</v>
      </c>
      <c r="R148" s="1">
        <v>-1.473</v>
      </c>
      <c r="S148" s="2">
        <f>HYPERLINK("https://vdatum.noaa.gov/vdatumweb/api/convert?s_x=-77.28666&amp;s_y=38.52&amp;s_z=0.0&amp;region=chesapeak_delaware&amp;s_h_frame=NAD83_2011&amp;s_coor=geo&amp;s_v_frame=NAVD88&amp;s_v_unit=us_ft&amp;t_h_frame=IGS14&amp;t_coor=geo&amp;t_v_frame=MLLW&amp;t_v_unit=us_ft", "NAVD88 to MLLW")</f>
        <v>0</v>
      </c>
      <c r="T148" s="2">
        <f>HYPERLINK("https://vdatum.noaa.gov/vdatumweb/api/convert?s_x=-77.28666&amp;s_y=38.52&amp;s_z=0.0&amp;region=chesapeak_delaware&amp;s_h_frame=NAD83_2011&amp;s_coor=geo&amp;s_v_frame=NAVD88&amp;s_v_unit=us_ft&amp;t_h_frame=IGS14&amp;t_coor=geo&amp;t_v_frame=MHHW&amp;t_v_unit=us_ft", "NAVD88 to MHHW")</f>
        <v>0</v>
      </c>
    </row>
    <row r="149" spans="1:20">
      <c r="A149" s="1" t="s">
        <v>173</v>
      </c>
      <c r="B149" s="1" t="s">
        <v>619</v>
      </c>
      <c r="C149" s="1" t="s">
        <v>644</v>
      </c>
      <c r="D149" s="1" t="s">
        <v>652</v>
      </c>
      <c r="E149" s="1" t="s">
        <v>710</v>
      </c>
      <c r="F149" s="1" t="s">
        <v>831</v>
      </c>
      <c r="G149" s="1" t="s">
        <v>854</v>
      </c>
      <c r="H149" s="1">
        <v>-77.35333</v>
      </c>
      <c r="I149" s="1">
        <v>38.418333</v>
      </c>
      <c r="J149" s="1">
        <f>HYPERLINK("https://tidesandcurrents.noaa.gov/stationhome.html?id=8634858", "8634858")</f>
        <v>0</v>
      </c>
      <c r="K149" s="1" t="s">
        <v>861</v>
      </c>
      <c r="L149" s="1" t="s">
        <v>866</v>
      </c>
      <c r="M149" s="1">
        <v>2398544</v>
      </c>
      <c r="N149" s="1">
        <v>0</v>
      </c>
      <c r="O149" s="1" t="s">
        <v>869</v>
      </c>
      <c r="P149" s="1" t="s">
        <v>873</v>
      </c>
      <c r="Q149" s="1">
        <v>0.988</v>
      </c>
      <c r="R149" s="1">
        <v>-1.194</v>
      </c>
      <c r="S149" s="2">
        <f>HYPERLINK("https://vdatum.noaa.gov/vdatumweb/api/convert?s_x=-77.35333&amp;s_y=38.418333&amp;s_z=0.0&amp;region=chesapeak_delaware&amp;s_h_frame=NAD83_2011&amp;s_coor=geo&amp;s_v_frame=NAVD88&amp;s_v_unit=us_ft&amp;t_h_frame=IGS14&amp;t_coor=geo&amp;t_v_frame=MLLW&amp;t_v_unit=us_ft", "NAVD88 to MLLW")</f>
        <v>0</v>
      </c>
      <c r="T149" s="2">
        <f>HYPERLINK("https://vdatum.noaa.gov/vdatumweb/api/convert?s_x=-77.35333&amp;s_y=38.418333&amp;s_z=0.0&amp;region=chesapeak_delaware&amp;s_h_frame=NAD83_2011&amp;s_coor=geo&amp;s_v_frame=NAVD88&amp;s_v_unit=us_ft&amp;t_h_frame=IGS14&amp;t_coor=geo&amp;t_v_frame=MHHW&amp;t_v_unit=us_ft", "NAVD88 to MHHW")</f>
        <v>0</v>
      </c>
    </row>
    <row r="150" spans="1:20">
      <c r="A150" s="1" t="s">
        <v>174</v>
      </c>
      <c r="B150" s="1" t="s">
        <v>619</v>
      </c>
      <c r="D150" s="1" t="s">
        <v>652</v>
      </c>
      <c r="E150" s="1" t="s">
        <v>711</v>
      </c>
      <c r="F150" s="1" t="s">
        <v>831</v>
      </c>
      <c r="G150" s="1" t="s">
        <v>854</v>
      </c>
      <c r="H150" s="1">
        <v>-77.03660000000001</v>
      </c>
      <c r="I150" s="1">
        <v>38.31975</v>
      </c>
      <c r="J150" s="1">
        <f>HYPERLINK("https://tidesandcurrents.noaa.gov/stationhome.html?id=8635027", "8635027")</f>
        <v>0</v>
      </c>
      <c r="K150" s="1" t="s">
        <v>860</v>
      </c>
      <c r="L150" s="1" t="s">
        <v>866</v>
      </c>
      <c r="M150" s="1">
        <v>4540312</v>
      </c>
      <c r="N150" s="1">
        <v>0</v>
      </c>
      <c r="O150" s="1" t="s">
        <v>869</v>
      </c>
      <c r="P150" s="1" t="s">
        <v>873</v>
      </c>
      <c r="Q150" s="1">
        <v>1.043</v>
      </c>
      <c r="R150" s="1">
        <v>-0.804</v>
      </c>
      <c r="S150" s="2">
        <f>HYPERLINK("https://vdatum.noaa.gov/vdatumweb/api/convert?s_x=-77.0366&amp;s_y=38.31975&amp;s_z=0.0&amp;region=chesapeak_delaware&amp;s_h_frame=NAD83_2011&amp;s_coor=geo&amp;s_v_frame=NAVD88&amp;s_v_unit=us_ft&amp;t_h_frame=IGS14&amp;t_coor=geo&amp;t_v_frame=MLLW&amp;t_v_unit=us_ft", "NAVD88 to MLLW")</f>
        <v>0</v>
      </c>
      <c r="T150" s="2">
        <f>HYPERLINK("https://vdatum.noaa.gov/vdatumweb/api/convert?s_x=-77.0366&amp;s_y=38.31975&amp;s_z=0.0&amp;region=chesapeak_delaware&amp;s_h_frame=NAD83_2011&amp;s_coor=geo&amp;s_v_frame=NAVD88&amp;s_v_unit=us_ft&amp;t_h_frame=IGS14&amp;t_coor=geo&amp;t_v_frame=MHHW&amp;t_v_unit=us_ft", "NAVD88 to MHHW")</f>
        <v>0</v>
      </c>
    </row>
    <row r="151" spans="1:20">
      <c r="A151" s="1" t="s">
        <v>175</v>
      </c>
      <c r="B151" s="1" t="s">
        <v>619</v>
      </c>
      <c r="D151" s="1" t="s">
        <v>652</v>
      </c>
      <c r="E151" s="1" t="s">
        <v>712</v>
      </c>
      <c r="F151" s="1" t="s">
        <v>830</v>
      </c>
      <c r="G151" s="1" t="s">
        <v>854</v>
      </c>
      <c r="H151" s="1">
        <v>-76.39</v>
      </c>
      <c r="I151" s="1">
        <v>39.31</v>
      </c>
      <c r="J151" s="1" t="s">
        <v>859</v>
      </c>
      <c r="K151" s="1" t="s">
        <v>861</v>
      </c>
      <c r="L151" s="1" t="s">
        <v>859</v>
      </c>
      <c r="M151" s="1">
        <v>6213168</v>
      </c>
      <c r="N151" s="1">
        <v>0</v>
      </c>
      <c r="O151" s="1" t="s">
        <v>869</v>
      </c>
      <c r="P151" s="1" t="s">
        <v>873</v>
      </c>
      <c r="Q151" s="1">
        <v>0.846</v>
      </c>
      <c r="R151" s="1">
        <v>-0.833</v>
      </c>
      <c r="S151" s="2">
        <f>HYPERLINK("https://vdatum.noaa.gov/vdatumweb/api/convert?s_x=-76.39&amp;s_y=39.31&amp;s_z=0.0&amp;region=chesapeak_delaware&amp;s_h_frame=NAD83_2011&amp;s_coor=geo&amp;s_v_frame=NAVD88&amp;s_v_unit=us_ft&amp;t_h_frame=IGS14&amp;t_coor=geo&amp;t_v_frame=MLLW&amp;t_v_unit=us_ft", "NAVD88 to MLLW")</f>
        <v>0</v>
      </c>
      <c r="T151" s="2">
        <f>HYPERLINK("https://vdatum.noaa.gov/vdatumweb/api/convert?s_x=-76.39&amp;s_y=39.31&amp;s_z=0.0&amp;region=chesapeak_delaware&amp;s_h_frame=NAD83_2011&amp;s_coor=geo&amp;s_v_frame=NAVD88&amp;s_v_unit=us_ft&amp;t_h_frame=IGS14&amp;t_coor=geo&amp;t_v_frame=MHHW&amp;t_v_unit=us_ft", "NAVD88 to MHHW")</f>
        <v>0</v>
      </c>
    </row>
    <row r="152" spans="1:20">
      <c r="A152" s="1" t="s">
        <v>176</v>
      </c>
      <c r="B152" s="1" t="s">
        <v>619</v>
      </c>
      <c r="C152" s="1" t="s">
        <v>644</v>
      </c>
      <c r="D152" s="1" t="s">
        <v>652</v>
      </c>
      <c r="E152" s="1" t="s">
        <v>713</v>
      </c>
      <c r="F152" s="1" t="s">
        <v>831</v>
      </c>
      <c r="G152" s="1" t="s">
        <v>854</v>
      </c>
      <c r="H152" s="1">
        <v>-77.25</v>
      </c>
      <c r="I152" s="1">
        <v>38.59</v>
      </c>
      <c r="J152" s="1" t="s">
        <v>859</v>
      </c>
      <c r="K152" s="1" t="s">
        <v>861</v>
      </c>
      <c r="L152" s="1" t="s">
        <v>859</v>
      </c>
      <c r="M152" s="1">
        <v>2398861</v>
      </c>
      <c r="N152" s="1">
        <v>0</v>
      </c>
      <c r="O152" s="1" t="s">
        <v>869</v>
      </c>
      <c r="P152" s="1" t="s">
        <v>873</v>
      </c>
      <c r="Q152" s="1">
        <v>1.119</v>
      </c>
      <c r="R152" s="1">
        <v>-1.617</v>
      </c>
      <c r="S152" s="2">
        <f>HYPERLINK("https://vdatum.noaa.gov/vdatumweb/api/convert?s_x=-77.25&amp;s_y=38.59&amp;s_z=0.0&amp;region=chesapeak_delaware&amp;s_h_frame=NAD83_2011&amp;s_coor=geo&amp;s_v_frame=NAVD88&amp;s_v_unit=us_ft&amp;t_h_frame=IGS14&amp;t_coor=geo&amp;t_v_frame=MLLW&amp;t_v_unit=us_ft", "NAVD88 to MLLW")</f>
        <v>0</v>
      </c>
      <c r="T152" s="2">
        <f>HYPERLINK("https://vdatum.noaa.gov/vdatumweb/api/convert?s_x=-77.25&amp;s_y=38.59&amp;s_z=0.0&amp;region=chesapeak_delaware&amp;s_h_frame=NAD83_2011&amp;s_coor=geo&amp;s_v_frame=NAVD88&amp;s_v_unit=us_ft&amp;t_h_frame=IGS14&amp;t_coor=geo&amp;t_v_frame=MHHW&amp;t_v_unit=us_ft", "NAVD88 to MHHW")</f>
        <v>0</v>
      </c>
    </row>
    <row r="153" spans="1:20">
      <c r="A153" s="1" t="s">
        <v>177</v>
      </c>
      <c r="B153" s="1" t="s">
        <v>619</v>
      </c>
      <c r="C153" s="1" t="s">
        <v>644</v>
      </c>
      <c r="D153" s="1" t="s">
        <v>652</v>
      </c>
      <c r="E153" s="1" t="s">
        <v>703</v>
      </c>
      <c r="F153" s="1" t="s">
        <v>830</v>
      </c>
      <c r="G153" s="1" t="s">
        <v>854</v>
      </c>
      <c r="H153" s="1">
        <v>-76.27</v>
      </c>
      <c r="I153" s="1">
        <v>39.45</v>
      </c>
      <c r="J153" s="1" t="s">
        <v>859</v>
      </c>
      <c r="K153" s="1" t="s">
        <v>860</v>
      </c>
      <c r="L153" s="1" t="s">
        <v>859</v>
      </c>
      <c r="M153" s="1">
        <v>1928953</v>
      </c>
      <c r="N153" s="1">
        <v>0</v>
      </c>
      <c r="O153" s="1" t="s">
        <v>869</v>
      </c>
      <c r="P153" s="1" t="s">
        <v>873</v>
      </c>
      <c r="Q153" s="1">
        <v>0.869</v>
      </c>
      <c r="R153" s="1">
        <v>-1.047</v>
      </c>
      <c r="S153" s="2">
        <f>HYPERLINK("https://vdatum.noaa.gov/vdatumweb/api/convert?s_x=-76.27&amp;s_y=39.45&amp;s_z=0.0&amp;region=chesapeak_delaware&amp;s_h_frame=NAD83_2011&amp;s_coor=geo&amp;s_v_frame=NAVD88&amp;s_v_unit=us_ft&amp;t_h_frame=IGS14&amp;t_coor=geo&amp;t_v_frame=MLLW&amp;t_v_unit=us_ft", "NAVD88 to MLLW")</f>
        <v>0</v>
      </c>
      <c r="T153" s="2">
        <f>HYPERLINK("https://vdatum.noaa.gov/vdatumweb/api/convert?s_x=-76.27&amp;s_y=39.45&amp;s_z=0.0&amp;region=chesapeak_delaware&amp;s_h_frame=NAD83_2011&amp;s_coor=geo&amp;s_v_frame=NAVD88&amp;s_v_unit=us_ft&amp;t_h_frame=IGS14&amp;t_coor=geo&amp;t_v_frame=MHHW&amp;t_v_unit=us_ft", "NAVD88 to MHHW")</f>
        <v>0</v>
      </c>
    </row>
    <row r="154" spans="1:20">
      <c r="A154" s="1" t="s">
        <v>178</v>
      </c>
      <c r="B154" s="1" t="s">
        <v>619</v>
      </c>
      <c r="D154" s="1" t="s">
        <v>652</v>
      </c>
      <c r="E154" s="1" t="s">
        <v>706</v>
      </c>
      <c r="F154" s="1" t="s">
        <v>830</v>
      </c>
      <c r="G154" s="1" t="s">
        <v>854</v>
      </c>
      <c r="H154" s="1">
        <v>-76.5</v>
      </c>
      <c r="I154" s="1">
        <v>38.14</v>
      </c>
      <c r="J154" s="1" t="s">
        <v>859</v>
      </c>
      <c r="K154" s="1" t="s">
        <v>860</v>
      </c>
      <c r="L154" s="1" t="s">
        <v>859</v>
      </c>
      <c r="M154" s="1">
        <v>6111844</v>
      </c>
      <c r="N154" s="1">
        <v>0</v>
      </c>
      <c r="O154" s="1" t="s">
        <v>869</v>
      </c>
      <c r="P154" s="1" t="s">
        <v>873</v>
      </c>
      <c r="Q154" s="1">
        <v>1.109</v>
      </c>
      <c r="R154" s="1">
        <v>-0.6860000000000001</v>
      </c>
      <c r="S154" s="2">
        <f>HYPERLINK("https://vdatum.noaa.gov/vdatumweb/api/convert?s_x=-76.5&amp;s_y=38.14&amp;s_z=0.0&amp;region=chesapeak_delaware&amp;s_h_frame=NAD83_2011&amp;s_coor=geo&amp;s_v_frame=NAVD88&amp;s_v_unit=us_ft&amp;t_h_frame=IGS14&amp;t_coor=geo&amp;t_v_frame=MLLW&amp;t_v_unit=us_ft", "NAVD88 to MLLW")</f>
        <v>0</v>
      </c>
      <c r="T154" s="2">
        <f>HYPERLINK("https://vdatum.noaa.gov/vdatumweb/api/convert?s_x=-76.5&amp;s_y=38.14&amp;s_z=0.0&amp;region=chesapeak_delaware&amp;s_h_frame=NAD83_2011&amp;s_coor=geo&amp;s_v_frame=NAVD88&amp;s_v_unit=us_ft&amp;t_h_frame=IGS14&amp;t_coor=geo&amp;t_v_frame=MHHW&amp;t_v_unit=us_ft", "NAVD88 to MHHW")</f>
        <v>0</v>
      </c>
    </row>
    <row r="155" spans="1:20">
      <c r="A155" s="1" t="s">
        <v>179</v>
      </c>
      <c r="B155" s="1" t="s">
        <v>619</v>
      </c>
      <c r="C155" s="1" t="s">
        <v>644</v>
      </c>
      <c r="D155" s="1" t="s">
        <v>652</v>
      </c>
      <c r="E155" s="1" t="s">
        <v>708</v>
      </c>
      <c r="F155" s="1" t="s">
        <v>840</v>
      </c>
      <c r="G155" s="1" t="s">
        <v>854</v>
      </c>
      <c r="H155" s="1">
        <v>-77.0676644</v>
      </c>
      <c r="I155" s="1">
        <v>38.90335331</v>
      </c>
      <c r="J155" s="1">
        <f>HYPERLINK("https://waterdata.usgs.gov/nwis/nwismap/?site_no=01647600&amp;agency_cd=USGS", "US01647600")</f>
        <v>0</v>
      </c>
      <c r="K155" s="1" t="s">
        <v>860</v>
      </c>
      <c r="L155" s="1" t="s">
        <v>867</v>
      </c>
      <c r="M155" s="1">
        <v>2399451</v>
      </c>
      <c r="N155" s="1">
        <v>0</v>
      </c>
      <c r="O155" s="1" t="s">
        <v>869</v>
      </c>
      <c r="P155" s="1" t="s">
        <v>873</v>
      </c>
      <c r="Q155" s="1">
        <v>1.25</v>
      </c>
      <c r="R155" s="1">
        <v>-1.972</v>
      </c>
      <c r="S155" s="2">
        <f>HYPERLINK("https://vdatum.noaa.gov/vdatumweb/api/convert?s_x=-77.0676644&amp;s_y=38.90335331&amp;s_z=0.0&amp;region=chesapeak_delaware&amp;s_h_frame=NAD83_2011&amp;s_coor=geo&amp;s_v_frame=NAVD88&amp;s_v_unit=us_ft&amp;t_h_frame=IGS14&amp;t_coor=geo&amp;t_v_frame=MLLW&amp;t_v_unit=us_ft", "NAVD88 to MLLW")</f>
        <v>0</v>
      </c>
      <c r="T155" s="2">
        <f>HYPERLINK("https://vdatum.noaa.gov/vdatumweb/api/convert?s_x=-77.0676644&amp;s_y=38.90335331&amp;s_z=0.0&amp;region=chesapeak_delaware&amp;s_h_frame=NAD83_2011&amp;s_coor=geo&amp;s_v_frame=NAVD88&amp;s_v_unit=us_ft&amp;t_h_frame=IGS14&amp;t_coor=geo&amp;t_v_frame=MHHW&amp;t_v_unit=us_ft", "NAVD88 to MHHW")</f>
        <v>0</v>
      </c>
    </row>
    <row r="156" spans="1:20">
      <c r="A156" s="1" t="s">
        <v>180</v>
      </c>
      <c r="B156" s="1" t="s">
        <v>620</v>
      </c>
      <c r="D156" s="1" t="s">
        <v>652</v>
      </c>
      <c r="H156" s="1">
        <v>-75.7467</v>
      </c>
      <c r="I156" s="1">
        <v>36.18331</v>
      </c>
      <c r="J156" s="1">
        <f>HYPERLINK("https://tidesandcurrents.noaa.gov/stationhome.html?id=8651370", "8651370")</f>
        <v>0</v>
      </c>
      <c r="K156" s="1" t="s">
        <v>860</v>
      </c>
      <c r="L156" s="1" t="s">
        <v>866</v>
      </c>
      <c r="M156" s="1">
        <v>1802520</v>
      </c>
      <c r="N156" s="1">
        <v>0</v>
      </c>
      <c r="O156" s="1" t="s">
        <v>869</v>
      </c>
      <c r="P156" s="1" t="s">
        <v>874</v>
      </c>
      <c r="Q156" s="1">
        <v>2.188</v>
      </c>
      <c r="R156" s="1">
        <v>-1.5</v>
      </c>
      <c r="S156" s="2">
        <f>HYPERLINK("https://vdatum.noaa.gov/vdatumweb/api/convert?s_x=-75.7467&amp;s_y=36.18331&amp;s_z=0.0&amp;region=contiguous&amp;s_h_frame=NAD83_2011&amp;s_coor=geo&amp;s_v_frame=NAVD88&amp;s_v_unit=us_ft&amp;t_h_frame=NAD83_2011&amp;t_coor=geo&amp;t_v_frame=MLLW&amp;t_v_unit=us_ft", "NAVD88 to MLLW")</f>
        <v>0</v>
      </c>
      <c r="T156" s="2">
        <f>HYPERLINK("https://vdatum.noaa.gov/vdatumweb/api/convert?s_x=-75.7467&amp;s_y=36.18331&amp;s_z=0.0&amp;region=contiguous&amp;s_h_frame=NAD83_2011&amp;s_coor=geo&amp;s_v_frame=NAVD88&amp;s_v_unit=us_ft&amp;t_h_frame=NAD83_2011&amp;t_coor=geo&amp;t_v_frame=MHHW&amp;t_v_unit=us_ft", "NAVD88 to MHHW")</f>
        <v>0</v>
      </c>
    </row>
    <row r="157" spans="1:20">
      <c r="A157" s="1" t="s">
        <v>181</v>
      </c>
      <c r="B157" s="1" t="s">
        <v>620</v>
      </c>
      <c r="C157" s="1" t="s">
        <v>645</v>
      </c>
      <c r="D157" s="1" t="s">
        <v>652</v>
      </c>
      <c r="E157" s="1" t="s">
        <v>714</v>
      </c>
      <c r="F157" s="1" t="s">
        <v>832</v>
      </c>
      <c r="G157" s="1" t="s">
        <v>854</v>
      </c>
      <c r="H157" s="1">
        <v>-75.67</v>
      </c>
      <c r="I157" s="1">
        <v>35.91</v>
      </c>
      <c r="J157" s="1">
        <f>HYPERLINK("https://tidesandcurrents.noaa.gov/stationhome.html?id=8652232", "8652232")</f>
        <v>0</v>
      </c>
      <c r="K157" s="1" t="s">
        <v>861</v>
      </c>
      <c r="L157" s="1" t="s">
        <v>866</v>
      </c>
      <c r="M157" s="1">
        <v>7001632</v>
      </c>
      <c r="N157" s="1">
        <v>0</v>
      </c>
      <c r="O157" s="1" t="s">
        <v>869</v>
      </c>
      <c r="P157" s="1" t="s">
        <v>874</v>
      </c>
      <c r="Q157" s="1">
        <v>0.126</v>
      </c>
      <c r="R157" s="1">
        <v>0.126</v>
      </c>
      <c r="S157" s="2">
        <f>HYPERLINK("https://vdatum.noaa.gov/vdatumweb/api/convert?s_x=-75.67&amp;s_y=35.91&amp;s_z=0.0&amp;region=contiguous&amp;s_h_frame=NAD83_2011&amp;s_coor=geo&amp;s_v_frame=NAVD88&amp;s_v_unit=us_ft&amp;t_h_frame=NAD83_2011&amp;t_coor=geo&amp;t_v_frame=MLLW&amp;t_v_unit=us_ft", "NAVD88 to MLLW")</f>
        <v>0</v>
      </c>
      <c r="T157" s="2">
        <f>HYPERLINK("https://vdatum.noaa.gov/vdatumweb/api/convert?s_x=-75.67&amp;s_y=35.91&amp;s_z=0.0&amp;region=contiguous&amp;s_h_frame=NAD83_2011&amp;s_coor=geo&amp;s_v_frame=NAVD88&amp;s_v_unit=us_ft&amp;t_h_frame=NAD83_2011&amp;t_coor=geo&amp;t_v_frame=MHHW&amp;t_v_unit=us_ft", "NAVD88 to MHHW")</f>
        <v>0</v>
      </c>
    </row>
    <row r="158" spans="1:20">
      <c r="A158" s="1" t="s">
        <v>182</v>
      </c>
      <c r="B158" s="1" t="s">
        <v>620</v>
      </c>
      <c r="C158" s="1" t="s">
        <v>645</v>
      </c>
      <c r="D158" s="1" t="s">
        <v>652</v>
      </c>
      <c r="E158" s="1" t="s">
        <v>714</v>
      </c>
      <c r="F158" s="1" t="s">
        <v>832</v>
      </c>
      <c r="G158" s="1" t="s">
        <v>854</v>
      </c>
      <c r="H158" s="1">
        <v>-75.655</v>
      </c>
      <c r="I158" s="1">
        <v>35.845</v>
      </c>
      <c r="J158" s="1">
        <f>HYPERLINK("https://tidesandcurrents.noaa.gov/stationhome.html?id=8652437", "8652437")</f>
        <v>0</v>
      </c>
      <c r="K158" s="1" t="s">
        <v>861</v>
      </c>
      <c r="L158" s="1" t="s">
        <v>866</v>
      </c>
      <c r="M158" s="1">
        <v>7763193</v>
      </c>
      <c r="N158" s="1">
        <v>-0.028</v>
      </c>
      <c r="O158" s="1" t="s">
        <v>869</v>
      </c>
      <c r="P158" s="1" t="s">
        <v>874</v>
      </c>
      <c r="Q158" s="1">
        <v>0.392</v>
      </c>
      <c r="R158" s="1">
        <v>-0.208</v>
      </c>
      <c r="S158" s="2">
        <f>HYPERLINK("https://vdatum.noaa.gov/vdatumweb/api/convert?s_x=-75.655&amp;s_y=35.845&amp;s_z=0.0&amp;region=contiguous&amp;s_h_frame=NAD83_2011&amp;s_coor=geo&amp;s_v_frame=NAVD88&amp;s_v_unit=us_ft&amp;t_h_frame=NAD83_2011&amp;t_coor=geo&amp;t_v_frame=MLLW&amp;t_v_unit=us_ft", "NAVD88 to MLLW")</f>
        <v>0</v>
      </c>
      <c r="T158" s="2">
        <f>HYPERLINK("https://vdatum.noaa.gov/vdatumweb/api/convert?s_x=-75.655&amp;s_y=35.845&amp;s_z=0.0&amp;region=contiguous&amp;s_h_frame=NAD83_2011&amp;s_coor=geo&amp;s_v_frame=NAVD88&amp;s_v_unit=us_ft&amp;t_h_frame=NAD83_2011&amp;t_coor=geo&amp;t_v_frame=MHHW&amp;t_v_unit=us_ft", "NAVD88 to MHHW")</f>
        <v>0</v>
      </c>
    </row>
    <row r="159" spans="1:20">
      <c r="A159" s="1" t="s">
        <v>183</v>
      </c>
      <c r="B159" s="1" t="s">
        <v>620</v>
      </c>
      <c r="C159" s="1" t="s">
        <v>645</v>
      </c>
      <c r="D159" s="1" t="s">
        <v>652</v>
      </c>
      <c r="E159" s="1" t="s">
        <v>714</v>
      </c>
      <c r="F159" s="1" t="s">
        <v>832</v>
      </c>
      <c r="G159" s="1" t="s">
        <v>854</v>
      </c>
      <c r="H159" s="1">
        <v>-75.54810000000001</v>
      </c>
      <c r="I159" s="1">
        <v>35.795</v>
      </c>
      <c r="J159" s="1">
        <f>HYPERLINK("https://tidesandcurrents.noaa.gov/stationhome.html?id=8652587", "8652587")</f>
        <v>0</v>
      </c>
      <c r="K159" s="1" t="s">
        <v>860</v>
      </c>
      <c r="L159" s="1" t="s">
        <v>866</v>
      </c>
      <c r="M159" s="1">
        <v>2902329</v>
      </c>
      <c r="N159" s="1">
        <v>0</v>
      </c>
      <c r="O159" s="1" t="s">
        <v>869</v>
      </c>
      <c r="P159" s="1" t="s">
        <v>874</v>
      </c>
      <c r="Q159" s="1">
        <v>0.71</v>
      </c>
      <c r="R159" s="1">
        <v>-0.47</v>
      </c>
      <c r="S159" s="2">
        <f>HYPERLINK("https://vdatum.noaa.gov/vdatumweb/api/convert?s_x=-75.5481&amp;s_y=35.795&amp;s_z=0.0&amp;region=contiguous&amp;s_h_frame=NAD83_2011&amp;s_coor=geo&amp;s_v_frame=NAVD88&amp;s_v_unit=us_ft&amp;t_h_frame=NAD83_2011&amp;t_coor=geo&amp;t_v_frame=MLLW&amp;t_v_unit=us_ft", "NAVD88 to MLLW")</f>
        <v>0</v>
      </c>
      <c r="T159" s="2">
        <f>HYPERLINK("https://vdatum.noaa.gov/vdatumweb/api/convert?s_x=-75.5481&amp;s_y=35.795&amp;s_z=0.0&amp;region=contiguous&amp;s_h_frame=NAD83_2011&amp;s_coor=geo&amp;s_v_frame=NAVD88&amp;s_v_unit=us_ft&amp;t_h_frame=NAD83_2011&amp;t_coor=geo&amp;t_v_frame=MHHW&amp;t_v_unit=us_ft", "NAVD88 to MHHW")</f>
        <v>0</v>
      </c>
    </row>
    <row r="160" spans="1:20">
      <c r="A160" s="1" t="s">
        <v>184</v>
      </c>
      <c r="B160" s="1" t="s">
        <v>620</v>
      </c>
      <c r="C160" s="1" t="s">
        <v>645</v>
      </c>
      <c r="D160" s="1" t="s">
        <v>652</v>
      </c>
      <c r="E160" s="1" t="s">
        <v>714</v>
      </c>
      <c r="F160" s="1" t="s">
        <v>832</v>
      </c>
      <c r="G160" s="1" t="s">
        <v>854</v>
      </c>
      <c r="H160" s="1">
        <v>-75.4717</v>
      </c>
      <c r="I160" s="1">
        <v>35.595</v>
      </c>
      <c r="J160" s="1">
        <f>HYPERLINK("https://tidesandcurrents.noaa.gov/stationhome.html?id=8653215", "8653215")</f>
        <v>0</v>
      </c>
      <c r="K160" s="1" t="s">
        <v>861</v>
      </c>
      <c r="L160" s="1" t="s">
        <v>866</v>
      </c>
      <c r="M160" s="1">
        <v>3130678</v>
      </c>
      <c r="N160" s="1">
        <v>0</v>
      </c>
      <c r="O160" s="1" t="s">
        <v>869</v>
      </c>
      <c r="P160" s="1" t="s">
        <v>874</v>
      </c>
      <c r="Q160" s="1">
        <v>0.457</v>
      </c>
      <c r="R160" s="1">
        <v>-0.524</v>
      </c>
      <c r="S160" s="2">
        <f>HYPERLINK("https://vdatum.noaa.gov/vdatumweb/api/convert?s_x=-75.4717&amp;s_y=35.595&amp;s_z=0.0&amp;region=contiguous&amp;s_h_frame=NAD83_2011&amp;s_coor=geo&amp;s_v_frame=NAVD88&amp;s_v_unit=us_ft&amp;t_h_frame=NAD83_2011&amp;t_coor=geo&amp;t_v_frame=MLLW&amp;t_v_unit=us_ft", "NAVD88 to MLLW")</f>
        <v>0</v>
      </c>
      <c r="T160" s="2">
        <f>HYPERLINK("https://vdatum.noaa.gov/vdatumweb/api/convert?s_x=-75.4717&amp;s_y=35.595&amp;s_z=0.0&amp;region=contiguous&amp;s_h_frame=NAD83_2011&amp;s_coor=geo&amp;s_v_frame=NAVD88&amp;s_v_unit=us_ft&amp;t_h_frame=NAD83_2011&amp;t_coor=geo&amp;t_v_frame=MHHW&amp;t_v_unit=us_ft", "NAVD88 to MHHW")</f>
        <v>0</v>
      </c>
    </row>
    <row r="161" spans="1:20">
      <c r="A161" s="1" t="s">
        <v>185</v>
      </c>
      <c r="B161" s="1" t="s">
        <v>620</v>
      </c>
      <c r="C161" s="1" t="s">
        <v>645</v>
      </c>
      <c r="D161" s="1" t="s">
        <v>652</v>
      </c>
      <c r="E161" s="1" t="s">
        <v>714</v>
      </c>
      <c r="F161" s="1" t="s">
        <v>832</v>
      </c>
      <c r="G161" s="1" t="s">
        <v>854</v>
      </c>
      <c r="H161" s="1">
        <v>-75.512</v>
      </c>
      <c r="I161" s="1">
        <v>35.35014</v>
      </c>
      <c r="J161" s="1">
        <f>HYPERLINK("https://tidesandcurrents.noaa.gov/stationhome.html?id=8653951", "8653951")</f>
        <v>0</v>
      </c>
      <c r="K161" s="1" t="s">
        <v>861</v>
      </c>
      <c r="L161" s="1" t="s">
        <v>866</v>
      </c>
      <c r="M161" s="1">
        <v>3970208</v>
      </c>
      <c r="N161" s="1">
        <v>-0.024</v>
      </c>
      <c r="O161" s="1" t="s">
        <v>869</v>
      </c>
      <c r="P161" s="1" t="s">
        <v>874</v>
      </c>
      <c r="Q161" s="1">
        <v>0.342</v>
      </c>
      <c r="R161" s="1">
        <v>-0.265</v>
      </c>
      <c r="S161" s="2">
        <f>HYPERLINK("https://vdatum.noaa.gov/vdatumweb/api/convert?s_x=-75.512&amp;s_y=35.35014&amp;s_z=0.0&amp;region=contiguous&amp;s_h_frame=NAD83_2011&amp;s_coor=geo&amp;s_v_frame=NAVD88&amp;s_v_unit=us_ft&amp;t_h_frame=NAD83_2011&amp;t_coor=geo&amp;t_v_frame=MLLW&amp;t_v_unit=us_ft", "NAVD88 to MLLW")</f>
        <v>0</v>
      </c>
      <c r="T161" s="2">
        <f>HYPERLINK("https://vdatum.noaa.gov/vdatumweb/api/convert?s_x=-75.512&amp;s_y=35.35014&amp;s_z=0.0&amp;region=contiguous&amp;s_h_frame=NAD83_2011&amp;s_coor=geo&amp;s_v_frame=NAVD88&amp;s_v_unit=us_ft&amp;t_h_frame=NAD83_2011&amp;t_coor=geo&amp;t_v_frame=MHHW&amp;t_v_unit=us_ft", "NAVD88 to MHHW")</f>
        <v>0</v>
      </c>
    </row>
    <row r="162" spans="1:20">
      <c r="A162" s="1" t="s">
        <v>186</v>
      </c>
      <c r="B162" s="1" t="s">
        <v>620</v>
      </c>
      <c r="C162" s="1" t="s">
        <v>645</v>
      </c>
      <c r="D162" s="1" t="s">
        <v>652</v>
      </c>
      <c r="E162" s="1" t="s">
        <v>714</v>
      </c>
      <c r="F162" s="1" t="s">
        <v>832</v>
      </c>
      <c r="G162" s="1" t="s">
        <v>854</v>
      </c>
      <c r="H162" s="1">
        <v>-75.7042</v>
      </c>
      <c r="I162" s="1">
        <v>35.20864</v>
      </c>
      <c r="J162" s="1">
        <f>HYPERLINK("https://tidesandcurrents.noaa.gov/stationhome.html?id=8654467", "8654467")</f>
        <v>0</v>
      </c>
      <c r="K162" s="1" t="s">
        <v>860</v>
      </c>
      <c r="L162" s="1" t="s">
        <v>866</v>
      </c>
      <c r="M162" s="1">
        <v>3131041</v>
      </c>
      <c r="N162" s="1">
        <v>0</v>
      </c>
      <c r="O162" s="1" t="s">
        <v>869</v>
      </c>
      <c r="P162" s="1" t="s">
        <v>874</v>
      </c>
      <c r="Q162" s="1">
        <v>0.503</v>
      </c>
      <c r="R162" s="1">
        <v>-0.079</v>
      </c>
      <c r="S162" s="2">
        <f>HYPERLINK("https://vdatum.noaa.gov/vdatumweb/api/convert?s_x=-75.7042&amp;s_y=35.20864&amp;s_z=0.0&amp;region=contiguous&amp;s_h_frame=NAD83_2011&amp;s_coor=geo&amp;s_v_frame=NAVD88&amp;s_v_unit=us_ft&amp;t_h_frame=NAD83_2011&amp;t_coor=geo&amp;t_v_frame=MLLW&amp;t_v_unit=us_ft", "NAVD88 to MLLW")</f>
        <v>0</v>
      </c>
      <c r="T162" s="2">
        <f>HYPERLINK("https://vdatum.noaa.gov/vdatumweb/api/convert?s_x=-75.7042&amp;s_y=35.20864&amp;s_z=0.0&amp;region=contiguous&amp;s_h_frame=NAD83_2011&amp;s_coor=geo&amp;s_v_frame=NAVD88&amp;s_v_unit=us_ft&amp;t_h_frame=NAD83_2011&amp;t_coor=geo&amp;t_v_frame=MHHW&amp;t_v_unit=us_ft", "NAVD88 to MHHW")</f>
        <v>0</v>
      </c>
    </row>
    <row r="163" spans="1:20">
      <c r="A163" s="1" t="s">
        <v>187</v>
      </c>
      <c r="B163" s="1" t="s">
        <v>620</v>
      </c>
      <c r="D163" s="1" t="s">
        <v>652</v>
      </c>
      <c r="E163" s="1" t="s">
        <v>715</v>
      </c>
      <c r="F163" s="1" t="s">
        <v>832</v>
      </c>
      <c r="G163" s="1" t="s">
        <v>854</v>
      </c>
      <c r="H163" s="1">
        <v>-75.988333</v>
      </c>
      <c r="I163" s="1">
        <v>35.115</v>
      </c>
      <c r="J163" s="1">
        <f>HYPERLINK("https://tidesandcurrents.noaa.gov/stationhome.html?id=8654792", "8654792")</f>
        <v>0</v>
      </c>
      <c r="K163" s="1" t="s">
        <v>861</v>
      </c>
      <c r="L163" s="1" t="s">
        <v>866</v>
      </c>
      <c r="M163" s="1">
        <v>5195132</v>
      </c>
      <c r="N163" s="1">
        <v>0</v>
      </c>
      <c r="O163" s="1" t="s">
        <v>869</v>
      </c>
      <c r="P163" s="1" t="s">
        <v>874</v>
      </c>
      <c r="Q163" s="1">
        <v>0.6899999999999999</v>
      </c>
      <c r="R163" s="1">
        <v>-0.486</v>
      </c>
      <c r="S163" s="2">
        <f>HYPERLINK("https://vdatum.noaa.gov/vdatumweb/api/convert?s_x=-75.988333&amp;s_y=35.115&amp;s_z=0.0&amp;region=contiguous&amp;s_h_frame=NAD83_2011&amp;s_coor=geo&amp;s_v_frame=NAVD88&amp;s_v_unit=us_ft&amp;t_h_frame=NAD83_2011&amp;t_coor=geo&amp;t_v_frame=MLLW&amp;t_v_unit=us_ft", "NAVD88 to MLLW")</f>
        <v>0</v>
      </c>
      <c r="T163" s="2">
        <f>HYPERLINK("https://vdatum.noaa.gov/vdatumweb/api/convert?s_x=-75.988333&amp;s_y=35.115&amp;s_z=0.0&amp;region=contiguous&amp;s_h_frame=NAD83_2011&amp;s_coor=geo&amp;s_v_frame=NAVD88&amp;s_v_unit=us_ft&amp;t_h_frame=NAD83_2011&amp;t_coor=geo&amp;t_v_frame=MHHW&amp;t_v_unit=us_ft", "NAVD88 to MHHW")</f>
        <v>0</v>
      </c>
    </row>
    <row r="164" spans="1:20">
      <c r="A164" s="1" t="s">
        <v>188</v>
      </c>
      <c r="B164" s="1" t="s">
        <v>620</v>
      </c>
      <c r="D164" s="1" t="s">
        <v>652</v>
      </c>
      <c r="H164" s="1">
        <v>-76.31</v>
      </c>
      <c r="I164" s="1">
        <v>35.02</v>
      </c>
      <c r="J164" s="1">
        <f>HYPERLINK("https://tidesandcurrents.noaa.gov/stationhome.html?id=8655151", "8655151")</f>
        <v>0</v>
      </c>
      <c r="K164" s="1" t="s">
        <v>861</v>
      </c>
      <c r="L164" s="1" t="s">
        <v>866</v>
      </c>
      <c r="M164" s="1">
        <v>6302357</v>
      </c>
      <c r="N164" s="1">
        <v>0</v>
      </c>
      <c r="O164" s="1" t="s">
        <v>869</v>
      </c>
      <c r="P164" s="1" t="s">
        <v>874</v>
      </c>
      <c r="Q164" s="1">
        <v>0.01</v>
      </c>
      <c r="R164" s="1">
        <v>0.01</v>
      </c>
      <c r="S164" s="2">
        <f>HYPERLINK("https://vdatum.noaa.gov/vdatumweb/api/convert?s_x=-76.31&amp;s_y=35.02&amp;s_z=0.0&amp;region=contiguous&amp;s_h_frame=NAD83_2011&amp;s_coor=geo&amp;s_v_frame=NAVD88&amp;s_v_unit=us_ft&amp;t_h_frame=NAD83_2011&amp;t_coor=geo&amp;t_v_frame=MLLW&amp;t_v_unit=us_ft", "NAVD88 to MLLW")</f>
        <v>0</v>
      </c>
      <c r="T164" s="2">
        <f>HYPERLINK("https://vdatum.noaa.gov/vdatumweb/api/convert?s_x=-76.31&amp;s_y=35.02&amp;s_z=0.0&amp;region=contiguous&amp;s_h_frame=NAD83_2011&amp;s_coor=geo&amp;s_v_frame=NAVD88&amp;s_v_unit=us_ft&amp;t_h_frame=NAD83_2011&amp;t_coor=geo&amp;t_v_frame=MHHW&amp;t_v_unit=us_ft", "NAVD88 to MHHW")</f>
        <v>0</v>
      </c>
    </row>
    <row r="165" spans="1:20">
      <c r="A165" s="1" t="s">
        <v>189</v>
      </c>
      <c r="B165" s="1" t="s">
        <v>620</v>
      </c>
      <c r="D165" s="1" t="s">
        <v>652</v>
      </c>
      <c r="H165" s="1">
        <v>-76.67</v>
      </c>
      <c r="I165" s="1">
        <v>34.72</v>
      </c>
      <c r="J165" s="1">
        <f>HYPERLINK("https://tidesandcurrents.noaa.gov/stationhome.html?id=8656483", "8656483")</f>
        <v>0</v>
      </c>
      <c r="K165" s="1" t="s">
        <v>860</v>
      </c>
      <c r="L165" s="1" t="s">
        <v>866</v>
      </c>
      <c r="M165" s="1">
        <v>6920117</v>
      </c>
      <c r="N165" s="1">
        <v>0</v>
      </c>
      <c r="O165" s="1" t="s">
        <v>869</v>
      </c>
      <c r="P165" s="1" t="s">
        <v>874</v>
      </c>
      <c r="Q165" s="1">
        <v>2.051</v>
      </c>
      <c r="R165" s="1">
        <v>-1.486</v>
      </c>
      <c r="S165" s="2">
        <f>HYPERLINK("https://vdatum.noaa.gov/vdatumweb/api/convert?s_x=-76.67&amp;s_y=34.72&amp;s_z=0.0&amp;region=contiguous&amp;s_h_frame=NAD83_2011&amp;s_coor=geo&amp;s_v_frame=NAVD88&amp;s_v_unit=us_ft&amp;t_h_frame=NAD83_2011&amp;t_coor=geo&amp;t_v_frame=MLLW&amp;t_v_unit=us_ft", "NAVD88 to MLLW")</f>
        <v>0</v>
      </c>
      <c r="T165" s="2">
        <f>HYPERLINK("https://vdatum.noaa.gov/vdatumweb/api/convert?s_x=-76.67&amp;s_y=34.72&amp;s_z=0.0&amp;region=contiguous&amp;s_h_frame=NAD83_2011&amp;s_coor=geo&amp;s_v_frame=NAVD88&amp;s_v_unit=us_ft&amp;t_h_frame=NAD83_2011&amp;t_coor=geo&amp;t_v_frame=MHHW&amp;t_v_unit=us_ft", "NAVD88 to MHHW")</f>
        <v>0</v>
      </c>
    </row>
    <row r="166" spans="1:20">
      <c r="A166" s="1" t="s">
        <v>190</v>
      </c>
      <c r="B166" s="1" t="s">
        <v>620</v>
      </c>
      <c r="D166" s="1" t="s">
        <v>652</v>
      </c>
      <c r="H166" s="1">
        <v>-77.495</v>
      </c>
      <c r="I166" s="1">
        <v>34.4517</v>
      </c>
      <c r="J166" s="1">
        <f>HYPERLINK("https://tidesandcurrents.noaa.gov/stationhome.html?id=8657419", "8657419")</f>
        <v>0</v>
      </c>
      <c r="K166" s="1" t="s">
        <v>861</v>
      </c>
      <c r="L166" s="1" t="s">
        <v>866</v>
      </c>
      <c r="M166" s="1">
        <v>1804150</v>
      </c>
      <c r="N166" s="1">
        <v>0</v>
      </c>
      <c r="O166" s="1" t="s">
        <v>869</v>
      </c>
      <c r="P166" s="1" t="s">
        <v>874</v>
      </c>
      <c r="Q166" s="1">
        <v>2.616</v>
      </c>
      <c r="R166" s="1">
        <v>-2.059</v>
      </c>
      <c r="S166" s="2">
        <f>HYPERLINK("https://vdatum.noaa.gov/vdatumweb/api/convert?s_x=-77.495&amp;s_y=34.4517&amp;s_z=0.0&amp;region=contiguous&amp;s_h_frame=NAD83_2011&amp;s_coor=geo&amp;s_v_frame=NAVD88&amp;s_v_unit=us_ft&amp;t_h_frame=NAD83_2011&amp;t_coor=geo&amp;t_v_frame=MLLW&amp;t_v_unit=us_ft", "NAVD88 to MLLW")</f>
        <v>0</v>
      </c>
      <c r="T166" s="2">
        <f>HYPERLINK("https://vdatum.noaa.gov/vdatumweb/api/convert?s_x=-77.495&amp;s_y=34.4517&amp;s_z=0.0&amp;region=contiguous&amp;s_h_frame=NAD83_2011&amp;s_coor=geo&amp;s_v_frame=NAVD88&amp;s_v_unit=us_ft&amp;t_h_frame=NAD83_2011&amp;t_coor=geo&amp;t_v_frame=MHHW&amp;t_v_unit=us_ft", "NAVD88 to MHHW")</f>
        <v>0</v>
      </c>
    </row>
    <row r="167" spans="1:20">
      <c r="A167" s="1" t="s">
        <v>191</v>
      </c>
      <c r="B167" s="1" t="s">
        <v>620</v>
      </c>
      <c r="D167" s="1" t="s">
        <v>652</v>
      </c>
      <c r="H167" s="1">
        <v>-76.04000000000001</v>
      </c>
      <c r="I167" s="1">
        <v>35.65</v>
      </c>
      <c r="J167" s="1" t="s">
        <v>859</v>
      </c>
      <c r="K167" s="1" t="s">
        <v>861</v>
      </c>
      <c r="L167" s="1" t="s">
        <v>859</v>
      </c>
      <c r="M167" s="1">
        <v>8149510</v>
      </c>
      <c r="N167" s="1">
        <v>0</v>
      </c>
      <c r="O167" s="1" t="s">
        <v>869</v>
      </c>
      <c r="P167" s="1" t="s">
        <v>874</v>
      </c>
      <c r="Q167" s="1">
        <v>0.127</v>
      </c>
      <c r="R167" s="1">
        <v>0.127</v>
      </c>
      <c r="S167" s="2">
        <f>HYPERLINK("https://vdatum.noaa.gov/vdatumweb/api/convert?s_x=-76.04&amp;s_y=35.65&amp;s_z=0.0&amp;region=contiguous&amp;s_h_frame=NAD83_2011&amp;s_coor=geo&amp;s_v_frame=NAVD88&amp;s_v_unit=us_ft&amp;t_h_frame=NAD83_2011&amp;t_coor=geo&amp;t_v_frame=MLLW&amp;t_v_unit=us_ft", "NAVD88 to MLLW")</f>
        <v>0</v>
      </c>
      <c r="T167" s="2">
        <f>HYPERLINK("https://vdatum.noaa.gov/vdatumweb/api/convert?s_x=-76.04&amp;s_y=35.65&amp;s_z=0.0&amp;region=contiguous&amp;s_h_frame=NAD83_2011&amp;s_coor=geo&amp;s_v_frame=NAVD88&amp;s_v_unit=us_ft&amp;t_h_frame=NAD83_2011&amp;t_coor=geo&amp;t_v_frame=MHHW&amp;t_v_unit=us_ft", "NAVD88 to MHHW")</f>
        <v>0</v>
      </c>
    </row>
    <row r="168" spans="1:20">
      <c r="A168" s="1" t="s">
        <v>192</v>
      </c>
      <c r="B168" s="1" t="s">
        <v>620</v>
      </c>
      <c r="C168" s="1" t="s">
        <v>645</v>
      </c>
      <c r="D168" s="1" t="s">
        <v>652</v>
      </c>
      <c r="H168" s="1">
        <v>-77.04000000000001</v>
      </c>
      <c r="I168" s="1">
        <v>35.1</v>
      </c>
      <c r="J168" s="1" t="s">
        <v>859</v>
      </c>
      <c r="K168" s="1" t="s">
        <v>861</v>
      </c>
      <c r="L168" s="1" t="s">
        <v>859</v>
      </c>
      <c r="M168" s="1">
        <v>6581263</v>
      </c>
      <c r="N168" s="1">
        <v>0</v>
      </c>
      <c r="O168" s="1" t="s">
        <v>869</v>
      </c>
      <c r="P168" s="1" t="s">
        <v>874</v>
      </c>
      <c r="Q168" s="1">
        <v>0.275</v>
      </c>
      <c r="R168" s="1">
        <v>0.275</v>
      </c>
      <c r="S168" s="2">
        <f>HYPERLINK("https://vdatum.noaa.gov/vdatumweb/api/convert?s_x=-77.04&amp;s_y=35.1&amp;s_z=0.0&amp;region=contiguous&amp;s_h_frame=NAD83_2011&amp;s_coor=geo&amp;s_v_frame=NAVD88&amp;s_v_unit=us_ft&amp;t_h_frame=NAD83_2011&amp;t_coor=geo&amp;t_v_frame=MLLW&amp;t_v_unit=us_ft", "NAVD88 to MLLW")</f>
        <v>0</v>
      </c>
      <c r="T168" s="2">
        <f>HYPERLINK("https://vdatum.noaa.gov/vdatumweb/api/convert?s_x=-77.04&amp;s_y=35.1&amp;s_z=0.0&amp;region=contiguous&amp;s_h_frame=NAD83_2011&amp;s_coor=geo&amp;s_v_frame=NAVD88&amp;s_v_unit=us_ft&amp;t_h_frame=NAD83_2011&amp;t_coor=geo&amp;t_v_frame=MHHW&amp;t_v_unit=us_ft", "NAVD88 to MHHW")</f>
        <v>0</v>
      </c>
    </row>
    <row r="169" spans="1:20">
      <c r="A169" s="1" t="s">
        <v>193</v>
      </c>
      <c r="B169" s="1" t="s">
        <v>620</v>
      </c>
      <c r="C169" s="1" t="s">
        <v>645</v>
      </c>
      <c r="D169" s="1" t="s">
        <v>652</v>
      </c>
      <c r="E169" s="1" t="s">
        <v>688</v>
      </c>
      <c r="F169" s="1" t="s">
        <v>832</v>
      </c>
      <c r="G169" s="1" t="s">
        <v>854</v>
      </c>
      <c r="H169" s="1">
        <v>-76.62</v>
      </c>
      <c r="I169" s="1">
        <v>35.54</v>
      </c>
      <c r="J169" s="1" t="s">
        <v>859</v>
      </c>
      <c r="K169" s="1" t="s">
        <v>861</v>
      </c>
      <c r="L169" s="1" t="s">
        <v>859</v>
      </c>
      <c r="M169" s="1">
        <v>7326074</v>
      </c>
      <c r="N169" s="1">
        <v>0</v>
      </c>
      <c r="O169" s="1" t="s">
        <v>869</v>
      </c>
      <c r="P169" s="1" t="s">
        <v>874</v>
      </c>
      <c r="Q169" s="1">
        <v>0.54</v>
      </c>
      <c r="R169" s="1">
        <v>-0.156</v>
      </c>
      <c r="S169" s="2">
        <f>HYPERLINK("https://vdatum.noaa.gov/vdatumweb/api/convert?s_x=-76.62&amp;s_y=35.54&amp;s_z=0.0&amp;region=contiguous&amp;s_h_frame=NAD83_2011&amp;s_coor=geo&amp;s_v_frame=NAVD88&amp;s_v_unit=us_ft&amp;t_h_frame=NAD83_2011&amp;t_coor=geo&amp;t_v_frame=MLLW&amp;t_v_unit=us_ft", "NAVD88 to MLLW")</f>
        <v>0</v>
      </c>
      <c r="T169" s="2">
        <f>HYPERLINK("https://vdatum.noaa.gov/vdatumweb/api/convert?s_x=-76.62&amp;s_y=35.54&amp;s_z=0.0&amp;region=contiguous&amp;s_h_frame=NAD83_2011&amp;s_coor=geo&amp;s_v_frame=NAVD88&amp;s_v_unit=us_ft&amp;t_h_frame=NAD83_2011&amp;t_coor=geo&amp;t_v_frame=MHHW&amp;t_v_unit=us_ft", "NAVD88 to MHHW")</f>
        <v>0</v>
      </c>
    </row>
    <row r="170" spans="1:20">
      <c r="A170" s="1" t="s">
        <v>194</v>
      </c>
      <c r="B170" s="1" t="s">
        <v>620</v>
      </c>
      <c r="D170" s="1" t="s">
        <v>652</v>
      </c>
      <c r="H170" s="1">
        <v>-77.09999999999999</v>
      </c>
      <c r="I170" s="1">
        <v>34.65</v>
      </c>
      <c r="J170" s="1" t="s">
        <v>859</v>
      </c>
      <c r="K170" s="1" t="s">
        <v>861</v>
      </c>
      <c r="L170" s="1" t="s">
        <v>859</v>
      </c>
      <c r="M170" s="1">
        <v>3484890</v>
      </c>
      <c r="N170" s="1">
        <v>0</v>
      </c>
      <c r="O170" s="1" t="s">
        <v>869</v>
      </c>
      <c r="P170" s="1" t="s">
        <v>874</v>
      </c>
      <c r="Q170" s="1">
        <v>2.134</v>
      </c>
      <c r="R170" s="1">
        <v>-1.612</v>
      </c>
      <c r="S170" s="2">
        <f>HYPERLINK("https://vdatum.noaa.gov/vdatumweb/api/convert?s_x=-77.1&amp;s_y=34.65&amp;s_z=0.0&amp;region=contiguous&amp;s_h_frame=NAD83_2011&amp;s_coor=geo&amp;s_v_frame=NAVD88&amp;s_v_unit=us_ft&amp;t_h_frame=NAD83_2011&amp;t_coor=geo&amp;t_v_frame=MLLW&amp;t_v_unit=us_ft", "NAVD88 to MLLW")</f>
        <v>0</v>
      </c>
      <c r="T170" s="2">
        <f>HYPERLINK("https://vdatum.noaa.gov/vdatumweb/api/convert?s_x=-77.1&amp;s_y=34.65&amp;s_z=0.0&amp;region=contiguous&amp;s_h_frame=NAD83_2011&amp;s_coor=geo&amp;s_v_frame=NAVD88&amp;s_v_unit=us_ft&amp;t_h_frame=NAD83_2011&amp;t_coor=geo&amp;t_v_frame=MHHW&amp;t_v_unit=us_ft", "NAVD88 to MHHW")</f>
        <v>0</v>
      </c>
    </row>
    <row r="171" spans="1:20">
      <c r="A171" s="1" t="s">
        <v>195</v>
      </c>
      <c r="B171" s="1" t="s">
        <v>620</v>
      </c>
      <c r="C171" s="1" t="s">
        <v>645</v>
      </c>
      <c r="D171" s="1" t="s">
        <v>652</v>
      </c>
      <c r="E171" s="1" t="s">
        <v>716</v>
      </c>
      <c r="F171" s="1" t="s">
        <v>832</v>
      </c>
      <c r="G171" s="1" t="s">
        <v>854</v>
      </c>
      <c r="H171" s="1">
        <v>-76.25</v>
      </c>
      <c r="I171" s="1">
        <v>35.92</v>
      </c>
      <c r="J171" s="1" t="s">
        <v>859</v>
      </c>
      <c r="K171" s="1" t="s">
        <v>861</v>
      </c>
      <c r="L171" s="1" t="s">
        <v>859</v>
      </c>
      <c r="M171" s="1">
        <v>8741679</v>
      </c>
      <c r="N171" s="1">
        <v>0</v>
      </c>
      <c r="O171" s="1" t="s">
        <v>869</v>
      </c>
      <c r="P171" s="1" t="s">
        <v>874</v>
      </c>
      <c r="Q171" s="1">
        <v>-999999</v>
      </c>
      <c r="R171" s="1">
        <v>-999999</v>
      </c>
      <c r="S171" s="2">
        <f>HYPERLINK("https://vdatum.noaa.gov/vdatumweb/api/convert?s_x=-76.25&amp;s_y=35.92&amp;s_z=0.0&amp;region=contiguous&amp;s_h_frame=NAD83_2011&amp;s_coor=geo&amp;s_v_frame=NAVD88&amp;s_v_unit=us_ft&amp;t_h_frame=NAD83_2011&amp;t_coor=geo&amp;t_v_frame=MLLW&amp;t_v_unit=us_ft", "Missing")</f>
        <v>0</v>
      </c>
      <c r="T171" s="2">
        <f>HYPERLINK("https://vdatum.noaa.gov/vdatumweb/api/convert?s_x=-76.25&amp;s_y=35.92&amp;s_z=0.0&amp;region=contiguous&amp;s_h_frame=NAD83_2011&amp;s_coor=geo&amp;s_v_frame=NAVD88&amp;s_v_unit=us_ft&amp;t_h_frame=NAD83_2011&amp;t_coor=geo&amp;t_v_frame=MHHW&amp;t_v_unit=us_ft", "Missing")</f>
        <v>0</v>
      </c>
    </row>
    <row r="172" spans="1:20">
      <c r="A172" s="1" t="s">
        <v>196</v>
      </c>
      <c r="B172" s="1" t="s">
        <v>620</v>
      </c>
      <c r="C172" s="1" t="s">
        <v>645</v>
      </c>
      <c r="D172" s="1" t="s">
        <v>652</v>
      </c>
      <c r="E172" s="1" t="s">
        <v>715</v>
      </c>
      <c r="F172" s="1" t="s">
        <v>832</v>
      </c>
      <c r="G172" s="1" t="s">
        <v>854</v>
      </c>
      <c r="H172" s="1">
        <v>-75.98999999999999</v>
      </c>
      <c r="I172" s="1">
        <v>35.51</v>
      </c>
      <c r="J172" s="1" t="s">
        <v>859</v>
      </c>
      <c r="K172" s="1" t="s">
        <v>860</v>
      </c>
      <c r="L172" s="1" t="s">
        <v>859</v>
      </c>
      <c r="M172" s="1">
        <v>7323174</v>
      </c>
      <c r="N172" s="1">
        <v>0</v>
      </c>
      <c r="O172" s="1" t="s">
        <v>869</v>
      </c>
      <c r="P172" s="1" t="s">
        <v>874</v>
      </c>
      <c r="Q172" s="1">
        <v>0.433</v>
      </c>
      <c r="R172" s="1">
        <v>-0.235</v>
      </c>
      <c r="S172" s="2">
        <f>HYPERLINK("https://vdatum.noaa.gov/vdatumweb/api/convert?s_x=-75.99&amp;s_y=35.51&amp;s_z=0.0&amp;region=contiguous&amp;s_h_frame=NAD83_2011&amp;s_coor=geo&amp;s_v_frame=NAVD88&amp;s_v_unit=us_ft&amp;t_h_frame=NAD83_2011&amp;t_coor=geo&amp;t_v_frame=MLLW&amp;t_v_unit=us_ft", "NAVD88 to MLLW")</f>
        <v>0</v>
      </c>
      <c r="T172" s="2">
        <f>HYPERLINK("https://vdatum.noaa.gov/vdatumweb/api/convert?s_x=-75.99&amp;s_y=35.51&amp;s_z=0.0&amp;region=contiguous&amp;s_h_frame=NAD83_2011&amp;s_coor=geo&amp;s_v_frame=NAVD88&amp;s_v_unit=us_ft&amp;t_h_frame=NAD83_2011&amp;t_coor=geo&amp;t_v_frame=MHHW&amp;t_v_unit=us_ft", "NAVD88 to MHHW")</f>
        <v>0</v>
      </c>
    </row>
    <row r="173" spans="1:20">
      <c r="A173" s="1" t="s">
        <v>197</v>
      </c>
      <c r="B173" s="1" t="s">
        <v>620</v>
      </c>
      <c r="C173" s="1" t="s">
        <v>645</v>
      </c>
      <c r="D173" s="1" t="s">
        <v>652</v>
      </c>
      <c r="H173" s="1">
        <v>-77.0634</v>
      </c>
      <c r="I173" s="1">
        <v>34.6677</v>
      </c>
      <c r="J173" s="1" t="s">
        <v>859</v>
      </c>
      <c r="K173" s="1" t="s">
        <v>861</v>
      </c>
      <c r="L173" s="1" t="s">
        <v>859</v>
      </c>
      <c r="M173" s="1">
        <v>3815606</v>
      </c>
      <c r="N173" s="1">
        <v>0</v>
      </c>
      <c r="O173" s="1" t="s">
        <v>869</v>
      </c>
      <c r="P173" s="1" t="s">
        <v>874</v>
      </c>
      <c r="Q173" s="1">
        <v>1.213</v>
      </c>
      <c r="R173" s="1">
        <v>-0.616</v>
      </c>
      <c r="S173" s="2">
        <f>HYPERLINK("https://vdatum.noaa.gov/vdatumweb/api/convert?s_x=-77.0634&amp;s_y=34.6677&amp;s_z=0.0&amp;region=contiguous&amp;s_h_frame=NAD83_2011&amp;s_coor=geo&amp;s_v_frame=NAVD88&amp;s_v_unit=us_ft&amp;t_h_frame=NAD83_2011&amp;t_coor=geo&amp;t_v_frame=MLLW&amp;t_v_unit=us_ft", "NAVD88 to MLLW")</f>
        <v>0</v>
      </c>
      <c r="T173" s="2">
        <f>HYPERLINK("https://vdatum.noaa.gov/vdatumweb/api/convert?s_x=-77.0634&amp;s_y=34.6677&amp;s_z=0.0&amp;region=contiguous&amp;s_h_frame=NAD83_2011&amp;s_coor=geo&amp;s_v_frame=NAVD88&amp;s_v_unit=us_ft&amp;t_h_frame=NAD83_2011&amp;t_coor=geo&amp;t_v_frame=MHHW&amp;t_v_unit=us_ft", "NAVD88 to MHHW")</f>
        <v>0</v>
      </c>
    </row>
    <row r="174" spans="1:20">
      <c r="A174" s="1" t="s">
        <v>198</v>
      </c>
      <c r="B174" s="1" t="s">
        <v>620</v>
      </c>
      <c r="C174" s="1" t="s">
        <v>645</v>
      </c>
      <c r="D174" s="1" t="s">
        <v>652</v>
      </c>
      <c r="E174" s="1" t="s">
        <v>714</v>
      </c>
      <c r="F174" s="1" t="s">
        <v>832</v>
      </c>
      <c r="G174" s="1" t="s">
        <v>854</v>
      </c>
      <c r="H174" s="1">
        <v>-75.5218</v>
      </c>
      <c r="I174" s="1">
        <v>35.2676</v>
      </c>
      <c r="J174" s="1" t="s">
        <v>859</v>
      </c>
      <c r="K174" s="1" t="s">
        <v>861</v>
      </c>
      <c r="L174" s="1" t="s">
        <v>859</v>
      </c>
      <c r="M174" s="1">
        <v>2902838</v>
      </c>
      <c r="N174" s="1">
        <v>0</v>
      </c>
      <c r="O174" s="1" t="s">
        <v>869</v>
      </c>
      <c r="P174" s="1" t="s">
        <v>874</v>
      </c>
      <c r="Q174" s="1">
        <v>0.414</v>
      </c>
      <c r="R174" s="1">
        <v>-0.225</v>
      </c>
      <c r="S174" s="2">
        <f>HYPERLINK("https://vdatum.noaa.gov/vdatumweb/api/convert?s_x=-75.5218&amp;s_y=35.2676&amp;s_z=0.0&amp;region=contiguous&amp;s_h_frame=NAD83_2011&amp;s_coor=geo&amp;s_v_frame=NAVD88&amp;s_v_unit=us_ft&amp;t_h_frame=NAD83_2011&amp;t_coor=geo&amp;t_v_frame=MLLW&amp;t_v_unit=us_ft", "NAVD88 to MLLW")</f>
        <v>0</v>
      </c>
      <c r="T174" s="2">
        <f>HYPERLINK("https://vdatum.noaa.gov/vdatumweb/api/convert?s_x=-75.5218&amp;s_y=35.2676&amp;s_z=0.0&amp;region=contiguous&amp;s_h_frame=NAD83_2011&amp;s_coor=geo&amp;s_v_frame=NAVD88&amp;s_v_unit=us_ft&amp;t_h_frame=NAD83_2011&amp;t_coor=geo&amp;t_v_frame=MHHW&amp;t_v_unit=us_ft", "NAVD88 to MHHW")</f>
        <v>0</v>
      </c>
    </row>
    <row r="175" spans="1:20">
      <c r="A175" s="1" t="s">
        <v>199</v>
      </c>
      <c r="B175" s="1" t="s">
        <v>620</v>
      </c>
      <c r="C175" s="1" t="s">
        <v>645</v>
      </c>
      <c r="D175" s="1" t="s">
        <v>652</v>
      </c>
      <c r="E175" s="1" t="s">
        <v>717</v>
      </c>
      <c r="F175" s="1" t="s">
        <v>832</v>
      </c>
      <c r="G175" s="1" t="s">
        <v>854</v>
      </c>
      <c r="H175" s="1">
        <v>-77.17583</v>
      </c>
      <c r="I175" s="1">
        <v>35.57389</v>
      </c>
      <c r="J175" s="1" t="s">
        <v>859</v>
      </c>
      <c r="K175" s="1" t="s">
        <v>861</v>
      </c>
      <c r="L175" s="1" t="s">
        <v>859</v>
      </c>
      <c r="M175" s="1">
        <v>3660720</v>
      </c>
      <c r="N175" s="1">
        <v>0</v>
      </c>
      <c r="O175" s="1" t="s">
        <v>869</v>
      </c>
      <c r="P175" s="1" t="s">
        <v>874</v>
      </c>
      <c r="Q175" s="1">
        <v>-999999</v>
      </c>
      <c r="R175" s="1">
        <v>-999999</v>
      </c>
      <c r="S175" s="2">
        <f>HYPERLINK("https://vdatum.noaa.gov/vdatumweb/api/convert?s_x=-77.17583&amp;s_y=35.57389&amp;s_z=0.0&amp;region=contiguous&amp;s_h_frame=NAD83_2011&amp;s_coor=geo&amp;s_v_frame=NAVD88&amp;s_v_unit=us_ft&amp;t_h_frame=NAD83_2011&amp;t_coor=geo&amp;t_v_frame=MLLW&amp;t_v_unit=us_ft", "Missing")</f>
        <v>0</v>
      </c>
      <c r="T175" s="2">
        <f>HYPERLINK("https://vdatum.noaa.gov/vdatumweb/api/convert?s_x=-77.17583&amp;s_y=35.57389&amp;s_z=0.0&amp;region=contiguous&amp;s_h_frame=NAD83_2011&amp;s_coor=geo&amp;s_v_frame=NAVD88&amp;s_v_unit=us_ft&amp;t_h_frame=NAD83_2011&amp;t_coor=geo&amp;t_v_frame=MHHW&amp;t_v_unit=us_ft", "Missing")</f>
        <v>0</v>
      </c>
    </row>
    <row r="176" spans="1:20">
      <c r="A176" s="1" t="s">
        <v>200</v>
      </c>
      <c r="B176" s="1" t="s">
        <v>620</v>
      </c>
      <c r="C176" s="1" t="s">
        <v>645</v>
      </c>
      <c r="D176" s="1" t="s">
        <v>652</v>
      </c>
      <c r="E176" s="1" t="s">
        <v>718</v>
      </c>
      <c r="F176" s="1" t="s">
        <v>832</v>
      </c>
      <c r="G176" s="1" t="s">
        <v>854</v>
      </c>
      <c r="H176" s="1">
        <v>-76.923</v>
      </c>
      <c r="I176" s="1">
        <v>34.891</v>
      </c>
      <c r="J176" s="1" t="s">
        <v>859</v>
      </c>
      <c r="K176" s="1" t="s">
        <v>861</v>
      </c>
      <c r="L176" s="1" t="s">
        <v>859</v>
      </c>
      <c r="M176" s="1">
        <v>7552979</v>
      </c>
      <c r="N176" s="1">
        <v>0</v>
      </c>
      <c r="O176" s="1" t="s">
        <v>869</v>
      </c>
      <c r="P176" s="1" t="s">
        <v>874</v>
      </c>
      <c r="Q176" s="1">
        <v>-999999</v>
      </c>
      <c r="R176" s="1">
        <v>-999999</v>
      </c>
      <c r="S176" s="2">
        <f>HYPERLINK("https://vdatum.noaa.gov/vdatumweb/api/convert?s_x=-76.923&amp;s_y=34.891&amp;s_z=0.0&amp;region=contiguous&amp;s_h_frame=NAD83_2011&amp;s_coor=geo&amp;s_v_frame=NAVD88&amp;s_v_unit=us_ft&amp;t_h_frame=NAD83_2011&amp;t_coor=geo&amp;t_v_frame=MLLW&amp;t_v_unit=us_ft", "Missing")</f>
        <v>0</v>
      </c>
      <c r="T176" s="2">
        <f>HYPERLINK("https://vdatum.noaa.gov/vdatumweb/api/convert?s_x=-76.923&amp;s_y=34.891&amp;s_z=0.0&amp;region=contiguous&amp;s_h_frame=NAD83_2011&amp;s_coor=geo&amp;s_v_frame=NAVD88&amp;s_v_unit=us_ft&amp;t_h_frame=NAD83_2011&amp;t_coor=geo&amp;t_v_frame=MHHW&amp;t_v_unit=us_ft", "Missing")</f>
        <v>0</v>
      </c>
    </row>
    <row r="177" spans="1:20">
      <c r="A177" s="1" t="s">
        <v>201</v>
      </c>
      <c r="B177" s="1" t="s">
        <v>620</v>
      </c>
      <c r="C177" s="1" t="s">
        <v>645</v>
      </c>
      <c r="D177" s="1" t="s">
        <v>652</v>
      </c>
      <c r="H177" s="1">
        <v>-77.43778</v>
      </c>
      <c r="I177" s="1">
        <v>34.74889</v>
      </c>
      <c r="J177" s="1" t="s">
        <v>859</v>
      </c>
      <c r="K177" s="1" t="s">
        <v>861</v>
      </c>
      <c r="L177" s="1" t="s">
        <v>859</v>
      </c>
      <c r="M177" s="1">
        <v>5070096</v>
      </c>
      <c r="N177" s="1">
        <v>0</v>
      </c>
      <c r="O177" s="1" t="s">
        <v>869</v>
      </c>
      <c r="P177" s="1" t="s">
        <v>874</v>
      </c>
      <c r="Q177" s="1">
        <v>0.433</v>
      </c>
      <c r="R177" s="1">
        <v>-0.23</v>
      </c>
      <c r="S177" s="2">
        <f>HYPERLINK("https://vdatum.noaa.gov/vdatumweb/api/convert?s_x=-77.43778&amp;s_y=34.74889&amp;s_z=0.0&amp;region=contiguous&amp;s_h_frame=NAD83_2011&amp;s_coor=geo&amp;s_v_frame=NAVD88&amp;s_v_unit=us_ft&amp;t_h_frame=NAD83_2011&amp;t_coor=geo&amp;t_v_frame=MLLW&amp;t_v_unit=us_ft", "NAVD88 to MLLW")</f>
        <v>0</v>
      </c>
      <c r="T177" s="2">
        <f>HYPERLINK("https://vdatum.noaa.gov/vdatumweb/api/convert?s_x=-77.43778&amp;s_y=34.74889&amp;s_z=0.0&amp;region=contiguous&amp;s_h_frame=NAD83_2011&amp;s_coor=geo&amp;s_v_frame=NAVD88&amp;s_v_unit=us_ft&amp;t_h_frame=NAD83_2011&amp;t_coor=geo&amp;t_v_frame=MHHW&amp;t_v_unit=us_ft", "NAVD88 to MHHW")</f>
        <v>0</v>
      </c>
    </row>
    <row r="178" spans="1:20">
      <c r="A178" s="1" t="s">
        <v>202</v>
      </c>
      <c r="B178" s="1" t="s">
        <v>620</v>
      </c>
      <c r="C178" s="1" t="s">
        <v>645</v>
      </c>
      <c r="D178" s="1" t="s">
        <v>652</v>
      </c>
      <c r="E178" s="1" t="s">
        <v>714</v>
      </c>
      <c r="F178" s="1" t="s">
        <v>832</v>
      </c>
      <c r="G178" s="1" t="s">
        <v>854</v>
      </c>
      <c r="H178" s="1">
        <v>-75.69994</v>
      </c>
      <c r="I178" s="1">
        <v>36.06071</v>
      </c>
      <c r="J178" s="1" t="s">
        <v>859</v>
      </c>
      <c r="K178" s="1" t="s">
        <v>861</v>
      </c>
      <c r="L178" s="1" t="s">
        <v>859</v>
      </c>
      <c r="M178" s="1">
        <v>3308803</v>
      </c>
      <c r="N178" s="1">
        <v>0</v>
      </c>
      <c r="O178" s="1" t="s">
        <v>869</v>
      </c>
      <c r="P178" s="1" t="s">
        <v>874</v>
      </c>
      <c r="Q178" s="1">
        <v>0.064</v>
      </c>
      <c r="R178" s="1">
        <v>0.064</v>
      </c>
      <c r="S178" s="2">
        <f>HYPERLINK("https://vdatum.noaa.gov/vdatumweb/api/convert?s_x=-75.69994&amp;s_y=36.06071&amp;s_z=0.0&amp;region=contiguous&amp;s_h_frame=NAD83_2011&amp;s_coor=geo&amp;s_v_frame=NAVD88&amp;s_v_unit=us_ft&amp;t_h_frame=NAD83_2011&amp;t_coor=geo&amp;t_v_frame=MLLW&amp;t_v_unit=us_ft", "NAVD88 to MLLW")</f>
        <v>0</v>
      </c>
      <c r="T178" s="2">
        <f>HYPERLINK("https://vdatum.noaa.gov/vdatumweb/api/convert?s_x=-75.69994&amp;s_y=36.06071&amp;s_z=0.0&amp;region=contiguous&amp;s_h_frame=NAD83_2011&amp;s_coor=geo&amp;s_v_frame=NAVD88&amp;s_v_unit=us_ft&amp;t_h_frame=NAD83_2011&amp;t_coor=geo&amp;t_v_frame=MHHW&amp;t_v_unit=us_ft", "NAVD88 to MHHW")</f>
        <v>0</v>
      </c>
    </row>
    <row r="179" spans="1:20">
      <c r="A179" s="1" t="s">
        <v>203</v>
      </c>
      <c r="B179" s="1" t="s">
        <v>620</v>
      </c>
      <c r="C179" s="1" t="s">
        <v>645</v>
      </c>
      <c r="D179" s="1" t="s">
        <v>652</v>
      </c>
      <c r="E179" s="1" t="s">
        <v>719</v>
      </c>
      <c r="F179" s="1" t="s">
        <v>832</v>
      </c>
      <c r="G179" s="1" t="s">
        <v>854</v>
      </c>
      <c r="H179" s="1">
        <v>-76.6919444</v>
      </c>
      <c r="I179" s="1">
        <v>35.0244</v>
      </c>
      <c r="J179" s="1" t="s">
        <v>859</v>
      </c>
      <c r="K179" s="1" t="s">
        <v>861</v>
      </c>
      <c r="L179" s="1" t="s">
        <v>859</v>
      </c>
      <c r="M179" s="1">
        <v>8691685</v>
      </c>
      <c r="N179" s="1">
        <v>0</v>
      </c>
      <c r="O179" s="1" t="s">
        <v>869</v>
      </c>
      <c r="P179" s="1" t="s">
        <v>874</v>
      </c>
      <c r="Q179" s="1">
        <v>0.294</v>
      </c>
      <c r="R179" s="1">
        <v>0.294</v>
      </c>
      <c r="S179" s="2">
        <f>HYPERLINK("https://vdatum.noaa.gov/vdatumweb/api/convert?s_x=-76.6919444&amp;s_y=35.0244&amp;s_z=0.0&amp;region=contiguous&amp;s_h_frame=NAD83_2011&amp;s_coor=geo&amp;s_v_frame=NAVD88&amp;s_v_unit=us_ft&amp;t_h_frame=NAD83_2011&amp;t_coor=geo&amp;t_v_frame=MLLW&amp;t_v_unit=us_ft", "NAVD88 to MLLW")</f>
        <v>0</v>
      </c>
      <c r="T179" s="2">
        <f>HYPERLINK("https://vdatum.noaa.gov/vdatumweb/api/convert?s_x=-76.6919444&amp;s_y=35.0244&amp;s_z=0.0&amp;region=contiguous&amp;s_h_frame=NAD83_2011&amp;s_coor=geo&amp;s_v_frame=NAVD88&amp;s_v_unit=us_ft&amp;t_h_frame=NAD83_2011&amp;t_coor=geo&amp;t_v_frame=MHHW&amp;t_v_unit=us_ft", "NAVD88 to MHHW")</f>
        <v>0</v>
      </c>
    </row>
    <row r="180" spans="1:20">
      <c r="A180" s="1" t="s">
        <v>204</v>
      </c>
      <c r="B180" s="1" t="s">
        <v>620</v>
      </c>
      <c r="C180" s="1" t="s">
        <v>645</v>
      </c>
      <c r="D180" s="1" t="s">
        <v>652</v>
      </c>
      <c r="E180" s="1" t="s">
        <v>715</v>
      </c>
      <c r="F180" s="1" t="s">
        <v>832</v>
      </c>
      <c r="G180" s="1" t="s">
        <v>854</v>
      </c>
      <c r="H180" s="1">
        <v>-76.33</v>
      </c>
      <c r="I180" s="1">
        <v>35.39</v>
      </c>
      <c r="J180" s="1" t="s">
        <v>859</v>
      </c>
      <c r="K180" s="1" t="s">
        <v>861</v>
      </c>
      <c r="L180" s="1" t="s">
        <v>859</v>
      </c>
      <c r="M180" s="1">
        <v>7901299</v>
      </c>
      <c r="N180" s="1">
        <v>0</v>
      </c>
      <c r="O180" s="1" t="s">
        <v>869</v>
      </c>
      <c r="P180" s="1" t="s">
        <v>874</v>
      </c>
      <c r="Q180" s="1">
        <v>0.166</v>
      </c>
      <c r="R180" s="1">
        <v>0.166</v>
      </c>
      <c r="S180" s="2">
        <f>HYPERLINK("https://vdatum.noaa.gov/vdatumweb/api/convert?s_x=-76.33&amp;s_y=35.39&amp;s_z=0.0&amp;region=contiguous&amp;s_h_frame=NAD83_2011&amp;s_coor=geo&amp;s_v_frame=NAVD88&amp;s_v_unit=us_ft&amp;t_h_frame=NAD83_2011&amp;t_coor=geo&amp;t_v_frame=MLLW&amp;t_v_unit=us_ft", "NAVD88 to MLLW")</f>
        <v>0</v>
      </c>
      <c r="T180" s="2">
        <f>HYPERLINK("https://vdatum.noaa.gov/vdatumweb/api/convert?s_x=-76.33&amp;s_y=35.39&amp;s_z=0.0&amp;region=contiguous&amp;s_h_frame=NAD83_2011&amp;s_coor=geo&amp;s_v_frame=NAVD88&amp;s_v_unit=us_ft&amp;t_h_frame=NAD83_2011&amp;t_coor=geo&amp;t_v_frame=MHHW&amp;t_v_unit=us_ft", "NAVD88 to MHHW")</f>
        <v>0</v>
      </c>
    </row>
    <row r="181" spans="1:20">
      <c r="A181" s="1" t="s">
        <v>205</v>
      </c>
      <c r="B181" s="1" t="s">
        <v>620</v>
      </c>
      <c r="D181" s="1" t="s">
        <v>652</v>
      </c>
      <c r="H181" s="1">
        <v>-77.06194228</v>
      </c>
      <c r="I181" s="1">
        <v>35.54332622</v>
      </c>
      <c r="J181" s="1">
        <f>HYPERLINK("https://waterdata.usgs.gov/nwis/nwismap/?site_no=02084472&amp;agency_cd=USGS", "US02084472")</f>
        <v>0</v>
      </c>
      <c r="K181" s="1" t="s">
        <v>861</v>
      </c>
      <c r="L181" s="1" t="s">
        <v>867</v>
      </c>
      <c r="M181" s="1">
        <v>4831325</v>
      </c>
      <c r="N181" s="1">
        <v>-0.3</v>
      </c>
      <c r="O181" s="1" t="s">
        <v>869</v>
      </c>
      <c r="P181" s="1" t="s">
        <v>874</v>
      </c>
      <c r="Q181" s="1">
        <v>0.931</v>
      </c>
      <c r="R181" s="1">
        <v>-0.121</v>
      </c>
      <c r="S181" s="2">
        <f>HYPERLINK("https://vdatum.noaa.gov/vdatumweb/api/convert?s_x=-77.06194228&amp;s_y=35.54332622&amp;s_z=0.0&amp;region=contiguous&amp;s_h_frame=NAD83_2011&amp;s_coor=geo&amp;s_v_frame=NAVD88&amp;s_v_unit=us_ft&amp;t_h_frame=NAD83_2011&amp;t_coor=geo&amp;t_v_frame=MLLW&amp;t_v_unit=us_ft", "NAVD88 to MLLW")</f>
        <v>0</v>
      </c>
      <c r="T181" s="2">
        <f>HYPERLINK("https://vdatum.noaa.gov/vdatumweb/api/convert?s_x=-77.06194228&amp;s_y=35.54332622&amp;s_z=0.0&amp;region=contiguous&amp;s_h_frame=NAD83_2011&amp;s_coor=geo&amp;s_v_frame=NAVD88&amp;s_v_unit=us_ft&amp;t_h_frame=NAD83_2011&amp;t_coor=geo&amp;t_v_frame=MHHW&amp;t_v_unit=us_ft", "NAVD88 to MHHW")</f>
        <v>0</v>
      </c>
    </row>
    <row r="182" spans="1:20">
      <c r="A182" s="1" t="s">
        <v>206</v>
      </c>
      <c r="B182" s="1" t="s">
        <v>621</v>
      </c>
      <c r="D182" s="1" t="s">
        <v>652</v>
      </c>
      <c r="H182" s="1">
        <v>-72.0955</v>
      </c>
      <c r="I182" s="1">
        <v>41.3717</v>
      </c>
      <c r="J182" s="1">
        <f>HYPERLINK("https://tidesandcurrents.noaa.gov/stationhome.html?id=8461490", "8461490")</f>
        <v>0</v>
      </c>
      <c r="K182" s="1" t="s">
        <v>860</v>
      </c>
      <c r="L182" s="1" t="s">
        <v>866</v>
      </c>
      <c r="M182" s="1">
        <v>2142348</v>
      </c>
      <c r="N182" s="1">
        <v>0</v>
      </c>
      <c r="O182" s="1" t="s">
        <v>869</v>
      </c>
      <c r="P182" s="1" t="s">
        <v>874</v>
      </c>
      <c r="Q182" s="1">
        <v>1.864</v>
      </c>
      <c r="R182" s="1">
        <v>-1.245</v>
      </c>
      <c r="S182" s="2">
        <f>HYPERLINK("https://vdatum.noaa.gov/vdatumweb/api/convert?s_x=-72.0955&amp;s_y=41.3717&amp;s_z=0.0&amp;region=contiguous&amp;s_h_frame=NAD83_2011&amp;s_coor=geo&amp;s_v_frame=NAVD88&amp;s_v_unit=us_ft&amp;t_h_frame=NAD83_2011&amp;t_coor=geo&amp;t_v_frame=MLLW&amp;t_v_unit=us_ft", "NAVD88 to MLLW")</f>
        <v>0</v>
      </c>
      <c r="T182" s="2">
        <f>HYPERLINK("https://vdatum.noaa.gov/vdatumweb/api/convert?s_x=-72.0955&amp;s_y=41.3717&amp;s_z=0.0&amp;region=contiguous&amp;s_h_frame=NAD83_2011&amp;s_coor=geo&amp;s_v_frame=NAVD88&amp;s_v_unit=us_ft&amp;t_h_frame=NAD83_2011&amp;t_coor=geo&amp;t_v_frame=MHHW&amp;t_v_unit=us_ft", "NAVD88 to MHHW")</f>
        <v>0</v>
      </c>
    </row>
    <row r="183" spans="1:20">
      <c r="A183" s="1" t="s">
        <v>207</v>
      </c>
      <c r="B183" s="1" t="s">
        <v>621</v>
      </c>
      <c r="D183" s="1" t="s">
        <v>652</v>
      </c>
      <c r="E183" s="1" t="s">
        <v>679</v>
      </c>
      <c r="F183" s="1" t="s">
        <v>841</v>
      </c>
      <c r="G183" s="1" t="s">
        <v>854</v>
      </c>
      <c r="H183" s="1">
        <v>-72.34999999999999</v>
      </c>
      <c r="I183" s="1">
        <v>41.283333</v>
      </c>
      <c r="J183" s="1">
        <f>HYPERLINK("https://tidesandcurrents.noaa.gov/stationhome.html?id=8462752", "8462752")</f>
        <v>0</v>
      </c>
      <c r="K183" s="1" t="s">
        <v>861</v>
      </c>
      <c r="L183" s="1" t="s">
        <v>866</v>
      </c>
      <c r="M183" s="1">
        <v>4852834</v>
      </c>
      <c r="N183" s="1">
        <v>0</v>
      </c>
      <c r="O183" s="1" t="s">
        <v>869</v>
      </c>
      <c r="P183" s="1" t="s">
        <v>874</v>
      </c>
      <c r="Q183" s="1">
        <v>2.115</v>
      </c>
      <c r="R183" s="1">
        <v>-1.662</v>
      </c>
      <c r="S183" s="2">
        <f>HYPERLINK("https://vdatum.noaa.gov/vdatumweb/api/convert?s_x=-72.35&amp;s_y=41.283333&amp;s_z=0.0&amp;region=contiguous&amp;s_h_frame=NAD83_2011&amp;s_coor=geo&amp;s_v_frame=NAVD88&amp;s_v_unit=us_ft&amp;t_h_frame=NAD83_2011&amp;t_coor=geo&amp;t_v_frame=MLLW&amp;t_v_unit=us_ft", "NAVD88 to MLLW")</f>
        <v>0</v>
      </c>
      <c r="T183" s="2">
        <f>HYPERLINK("https://vdatum.noaa.gov/vdatumweb/api/convert?s_x=-72.35&amp;s_y=41.283333&amp;s_z=0.0&amp;region=contiguous&amp;s_h_frame=NAD83_2011&amp;s_coor=geo&amp;s_v_frame=NAVD88&amp;s_v_unit=us_ft&amp;t_h_frame=NAD83_2011&amp;t_coor=geo&amp;t_v_frame=MHHW&amp;t_v_unit=us_ft", "NAVD88 to MHHW")</f>
        <v>0</v>
      </c>
    </row>
    <row r="184" spans="1:20">
      <c r="A184" s="1" t="s">
        <v>208</v>
      </c>
      <c r="B184" s="1" t="s">
        <v>621</v>
      </c>
      <c r="C184" s="1" t="s">
        <v>646</v>
      </c>
      <c r="D184" s="1" t="s">
        <v>652</v>
      </c>
      <c r="E184" s="1" t="s">
        <v>720</v>
      </c>
      <c r="F184" s="1" t="s">
        <v>841</v>
      </c>
      <c r="G184" s="1" t="s">
        <v>854</v>
      </c>
      <c r="H184" s="1">
        <v>-72.1867</v>
      </c>
      <c r="I184" s="1">
        <v>41.325</v>
      </c>
      <c r="J184" s="1">
        <f>HYPERLINK("https://tidesandcurrents.noaa.gov/stationhome.html?id=8462925", "8462925")</f>
        <v>0</v>
      </c>
      <c r="K184" s="1" t="s">
        <v>860</v>
      </c>
      <c r="L184" s="1" t="s">
        <v>866</v>
      </c>
      <c r="M184" s="1">
        <v>4158678</v>
      </c>
      <c r="N184" s="1">
        <v>0</v>
      </c>
      <c r="O184" s="1" t="s">
        <v>869</v>
      </c>
      <c r="P184" s="1" t="s">
        <v>874</v>
      </c>
      <c r="Q184" s="1">
        <v>1.827</v>
      </c>
      <c r="R184" s="1">
        <v>-1.265</v>
      </c>
      <c r="S184" s="2">
        <f>HYPERLINK("https://vdatum.noaa.gov/vdatumweb/api/convert?s_x=-72.1867&amp;s_y=41.325&amp;s_z=0.0&amp;region=contiguous&amp;s_h_frame=NAD83_2011&amp;s_coor=geo&amp;s_v_frame=NAVD88&amp;s_v_unit=us_ft&amp;t_h_frame=NAD83_2011&amp;t_coor=geo&amp;t_v_frame=MLLW&amp;t_v_unit=us_ft", "NAVD88 to MLLW")</f>
        <v>0</v>
      </c>
      <c r="T184" s="2">
        <f>HYPERLINK("https://vdatum.noaa.gov/vdatumweb/api/convert?s_x=-72.1867&amp;s_y=41.325&amp;s_z=0.0&amp;region=contiguous&amp;s_h_frame=NAD83_2011&amp;s_coor=geo&amp;s_v_frame=NAVD88&amp;s_v_unit=us_ft&amp;t_h_frame=NAD83_2011&amp;t_coor=geo&amp;t_v_frame=MHHW&amp;t_v_unit=us_ft", "NAVD88 to MHHW")</f>
        <v>0</v>
      </c>
    </row>
    <row r="185" spans="1:20">
      <c r="A185" s="1" t="s">
        <v>209</v>
      </c>
      <c r="B185" s="1" t="s">
        <v>621</v>
      </c>
      <c r="C185" s="1" t="s">
        <v>646</v>
      </c>
      <c r="D185" s="1" t="s">
        <v>652</v>
      </c>
      <c r="H185" s="1">
        <v>-72.5317</v>
      </c>
      <c r="I185" s="1">
        <v>41.2683</v>
      </c>
      <c r="J185" s="1">
        <f>HYPERLINK("https://tidesandcurrents.noaa.gov/stationhome.html?id=8463701", "8463701")</f>
        <v>0</v>
      </c>
      <c r="K185" s="1" t="s">
        <v>861</v>
      </c>
      <c r="L185" s="1" t="s">
        <v>866</v>
      </c>
      <c r="M185" s="1">
        <v>2825961</v>
      </c>
      <c r="N185" s="1">
        <v>0</v>
      </c>
      <c r="O185" s="1" t="s">
        <v>869</v>
      </c>
      <c r="P185" s="1" t="s">
        <v>874</v>
      </c>
      <c r="Q185" s="1">
        <v>2.802</v>
      </c>
      <c r="R185" s="1">
        <v>-2.258</v>
      </c>
      <c r="S185" s="2">
        <f>HYPERLINK("https://vdatum.noaa.gov/vdatumweb/api/convert?s_x=-72.5317&amp;s_y=41.2683&amp;s_z=0.0&amp;region=contiguous&amp;s_h_frame=NAD83_2011&amp;s_coor=geo&amp;s_v_frame=NAVD88&amp;s_v_unit=us_ft&amp;t_h_frame=NAD83_2011&amp;t_coor=geo&amp;t_v_frame=MLLW&amp;t_v_unit=us_ft", "NAVD88 to MLLW")</f>
        <v>0</v>
      </c>
      <c r="T185" s="2">
        <f>HYPERLINK("https://vdatum.noaa.gov/vdatumweb/api/convert?s_x=-72.5317&amp;s_y=41.2683&amp;s_z=0.0&amp;region=contiguous&amp;s_h_frame=NAD83_2011&amp;s_coor=geo&amp;s_v_frame=NAVD88&amp;s_v_unit=us_ft&amp;t_h_frame=NAD83_2011&amp;t_coor=geo&amp;t_v_frame=MHHW&amp;t_v_unit=us_ft", "NAVD88 to MHHW")</f>
        <v>0</v>
      </c>
    </row>
    <row r="186" spans="1:20">
      <c r="A186" s="1" t="s">
        <v>210</v>
      </c>
      <c r="B186" s="1" t="s">
        <v>621</v>
      </c>
      <c r="D186" s="1" t="s">
        <v>652</v>
      </c>
      <c r="H186" s="1">
        <v>-72.9083</v>
      </c>
      <c r="I186" s="1">
        <v>41.28333</v>
      </c>
      <c r="J186" s="1">
        <f>HYPERLINK("https://tidesandcurrents.noaa.gov/stationhome.html?id=8465705", "8465705")</f>
        <v>0</v>
      </c>
      <c r="K186" s="1" t="s">
        <v>860</v>
      </c>
      <c r="L186" s="1" t="s">
        <v>866</v>
      </c>
      <c r="M186" s="1">
        <v>2230210</v>
      </c>
      <c r="N186" s="1">
        <v>-0.09</v>
      </c>
      <c r="O186" s="1" t="s">
        <v>869</v>
      </c>
      <c r="P186" s="1" t="s">
        <v>874</v>
      </c>
      <c r="Q186" s="1">
        <v>3.622</v>
      </c>
      <c r="R186" s="1">
        <v>-3.107</v>
      </c>
      <c r="S186" s="2">
        <f>HYPERLINK("https://vdatum.noaa.gov/vdatumweb/api/convert?s_x=-72.9083&amp;s_y=41.28333&amp;s_z=0.0&amp;region=contiguous&amp;s_h_frame=NAD83_2011&amp;s_coor=geo&amp;s_v_frame=NAVD88&amp;s_v_unit=us_ft&amp;t_h_frame=NAD83_2011&amp;t_coor=geo&amp;t_v_frame=MLLW&amp;t_v_unit=us_ft", "NAVD88 to MLLW")</f>
        <v>0</v>
      </c>
      <c r="T186" s="2">
        <f>HYPERLINK("https://vdatum.noaa.gov/vdatumweb/api/convert?s_x=-72.9083&amp;s_y=41.28333&amp;s_z=0.0&amp;region=contiguous&amp;s_h_frame=NAD83_2011&amp;s_coor=geo&amp;s_v_frame=NAVD88&amp;s_v_unit=us_ft&amp;t_h_frame=NAD83_2011&amp;t_coor=geo&amp;t_v_frame=MHHW&amp;t_v_unit=us_ft", "NAVD88 to MHHW")</f>
        <v>0</v>
      </c>
    </row>
    <row r="187" spans="1:20">
      <c r="A187" s="1" t="s">
        <v>211</v>
      </c>
      <c r="B187" s="1" t="s">
        <v>621</v>
      </c>
      <c r="C187" s="1" t="s">
        <v>646</v>
      </c>
      <c r="D187" s="1" t="s">
        <v>652</v>
      </c>
      <c r="E187" s="1" t="s">
        <v>721</v>
      </c>
      <c r="F187" s="1" t="s">
        <v>841</v>
      </c>
      <c r="G187" s="1" t="s">
        <v>854</v>
      </c>
      <c r="H187" s="1">
        <v>-73.18170000000001</v>
      </c>
      <c r="I187" s="1">
        <v>41.1733</v>
      </c>
      <c r="J187" s="1">
        <f>HYPERLINK("https://tidesandcurrents.noaa.gov/stationhome.html?id=8467150", "8467150")</f>
        <v>0</v>
      </c>
      <c r="K187" s="1" t="s">
        <v>860</v>
      </c>
      <c r="L187" s="1" t="s">
        <v>866</v>
      </c>
      <c r="M187" s="1">
        <v>2825175</v>
      </c>
      <c r="N187" s="1">
        <v>0</v>
      </c>
      <c r="O187" s="1" t="s">
        <v>869</v>
      </c>
      <c r="P187" s="1" t="s">
        <v>874</v>
      </c>
      <c r="Q187" s="1">
        <v>3.841</v>
      </c>
      <c r="R187" s="1">
        <v>-3.494</v>
      </c>
      <c r="S187" s="2">
        <f>HYPERLINK("https://vdatum.noaa.gov/vdatumweb/api/convert?s_x=-73.1817&amp;s_y=41.1733&amp;s_z=0.0&amp;region=contiguous&amp;s_h_frame=NAD83_2011&amp;s_coor=geo&amp;s_v_frame=NAVD88&amp;s_v_unit=us_ft&amp;t_h_frame=NAD83_2011&amp;t_coor=geo&amp;t_v_frame=MLLW&amp;t_v_unit=us_ft", "NAVD88 to MLLW")</f>
        <v>0</v>
      </c>
      <c r="T187" s="2">
        <f>HYPERLINK("https://vdatum.noaa.gov/vdatumweb/api/convert?s_x=-73.1817&amp;s_y=41.1733&amp;s_z=0.0&amp;region=contiguous&amp;s_h_frame=NAD83_2011&amp;s_coor=geo&amp;s_v_frame=NAVD88&amp;s_v_unit=us_ft&amp;t_h_frame=NAD83_2011&amp;t_coor=geo&amp;t_v_frame=MHHW&amp;t_v_unit=us_ft", "NAVD88 to MHHW")</f>
        <v>0</v>
      </c>
    </row>
    <row r="188" spans="1:20">
      <c r="A188" s="1" t="s">
        <v>212</v>
      </c>
      <c r="B188" s="1" t="s">
        <v>621</v>
      </c>
      <c r="C188" s="1" t="s">
        <v>646</v>
      </c>
      <c r="D188" s="1" t="s">
        <v>652</v>
      </c>
      <c r="E188" s="1" t="s">
        <v>721</v>
      </c>
      <c r="F188" s="1" t="s">
        <v>841</v>
      </c>
      <c r="G188" s="1" t="s">
        <v>854</v>
      </c>
      <c r="H188" s="1">
        <v>-73.5467</v>
      </c>
      <c r="I188" s="1">
        <v>41.0383</v>
      </c>
      <c r="J188" s="1">
        <f>HYPERLINK("https://tidesandcurrents.noaa.gov/stationhome.html?id=8469198", "8469198")</f>
        <v>0</v>
      </c>
      <c r="K188" s="1" t="s">
        <v>860</v>
      </c>
      <c r="L188" s="1" t="s">
        <v>866</v>
      </c>
      <c r="M188" s="1">
        <v>2137787</v>
      </c>
      <c r="N188" s="1">
        <v>0</v>
      </c>
      <c r="O188" s="1" t="s">
        <v>869</v>
      </c>
      <c r="P188" s="1" t="s">
        <v>874</v>
      </c>
      <c r="Q188" s="1">
        <v>4.033</v>
      </c>
      <c r="R188" s="1">
        <v>-3.746</v>
      </c>
      <c r="S188" s="2">
        <f>HYPERLINK("https://vdatum.noaa.gov/vdatumweb/api/convert?s_x=-73.5467&amp;s_y=41.0383&amp;s_z=0.0&amp;region=contiguous&amp;s_h_frame=NAD83_2011&amp;s_coor=geo&amp;s_v_frame=NAVD88&amp;s_v_unit=us_ft&amp;t_h_frame=NAD83_2011&amp;t_coor=geo&amp;t_v_frame=MLLW&amp;t_v_unit=us_ft", "NAVD88 to MLLW")</f>
        <v>0</v>
      </c>
      <c r="T188" s="2">
        <f>HYPERLINK("https://vdatum.noaa.gov/vdatumweb/api/convert?s_x=-73.5467&amp;s_y=41.0383&amp;s_z=0.0&amp;region=contiguous&amp;s_h_frame=NAD83_2011&amp;s_coor=geo&amp;s_v_frame=NAVD88&amp;s_v_unit=us_ft&amp;t_h_frame=NAD83_2011&amp;t_coor=geo&amp;t_v_frame=MHHW&amp;t_v_unit=us_ft", "NAVD88 to MHHW")</f>
        <v>0</v>
      </c>
    </row>
    <row r="189" spans="1:20">
      <c r="A189" s="1" t="s">
        <v>213</v>
      </c>
      <c r="B189" s="1" t="s">
        <v>621</v>
      </c>
      <c r="D189" s="1" t="s">
        <v>652</v>
      </c>
      <c r="H189" s="1">
        <v>-71.9594</v>
      </c>
      <c r="I189" s="1">
        <v>41.04833</v>
      </c>
      <c r="J189" s="1">
        <f>HYPERLINK("https://tidesandcurrents.noaa.gov/stationhome.html?id=8510560", "8510560")</f>
        <v>0</v>
      </c>
      <c r="K189" s="1" t="s">
        <v>860</v>
      </c>
      <c r="L189" s="1" t="s">
        <v>866</v>
      </c>
      <c r="M189" s="1">
        <v>4161276</v>
      </c>
      <c r="N189" s="1">
        <v>0</v>
      </c>
      <c r="O189" s="1" t="s">
        <v>869</v>
      </c>
      <c r="P189" s="1" t="s">
        <v>874</v>
      </c>
      <c r="Q189" s="1">
        <v>1.559</v>
      </c>
      <c r="R189" s="1">
        <v>-0.959</v>
      </c>
      <c r="S189" s="2">
        <f>HYPERLINK("https://vdatum.noaa.gov/vdatumweb/api/convert?s_x=-71.9594&amp;s_y=41.04833&amp;s_z=0.0&amp;region=contiguous&amp;s_h_frame=NAD83_2011&amp;s_coor=geo&amp;s_v_frame=NAVD88&amp;s_v_unit=us_ft&amp;t_h_frame=NAD83_2011&amp;t_coor=geo&amp;t_v_frame=MLLW&amp;t_v_unit=us_ft", "NAVD88 to MLLW")</f>
        <v>0</v>
      </c>
      <c r="T189" s="2">
        <f>HYPERLINK("https://vdatum.noaa.gov/vdatumweb/api/convert?s_x=-71.9594&amp;s_y=41.04833&amp;s_z=0.0&amp;region=contiguous&amp;s_h_frame=NAD83_2011&amp;s_coor=geo&amp;s_v_frame=NAVD88&amp;s_v_unit=us_ft&amp;t_h_frame=NAD83_2011&amp;t_coor=geo&amp;t_v_frame=MHHW&amp;t_v_unit=us_ft", "NAVD88 to MHHW")</f>
        <v>0</v>
      </c>
    </row>
    <row r="190" spans="1:20">
      <c r="A190" s="1" t="s">
        <v>214</v>
      </c>
      <c r="B190" s="1" t="s">
        <v>621</v>
      </c>
      <c r="D190" s="1" t="s">
        <v>652</v>
      </c>
      <c r="H190" s="1">
        <v>-72.30670000000001</v>
      </c>
      <c r="I190" s="1">
        <v>41.1367</v>
      </c>
      <c r="J190" s="1">
        <f>HYPERLINK("https://tidesandcurrents.noaa.gov/stationhome.html?id=8511671", "8511671")</f>
        <v>0</v>
      </c>
      <c r="K190" s="1" t="s">
        <v>860</v>
      </c>
      <c r="L190" s="1" t="s">
        <v>866</v>
      </c>
      <c r="M190" s="1">
        <v>6411226</v>
      </c>
      <c r="N190" s="1">
        <v>-0.081</v>
      </c>
      <c r="O190" s="1" t="s">
        <v>869</v>
      </c>
      <c r="P190" s="1" t="s">
        <v>874</v>
      </c>
      <c r="Q190" s="1">
        <v>1.739</v>
      </c>
      <c r="R190" s="1">
        <v>-1.243</v>
      </c>
      <c r="S190" s="2">
        <f>HYPERLINK("https://vdatum.noaa.gov/vdatumweb/api/convert?s_x=-72.3067&amp;s_y=41.1367&amp;s_z=0.0&amp;region=contiguous&amp;s_h_frame=NAD83_2011&amp;s_coor=geo&amp;s_v_frame=NAVD88&amp;s_v_unit=us_ft&amp;t_h_frame=NAD83_2011&amp;t_coor=geo&amp;t_v_frame=MLLW&amp;t_v_unit=us_ft", "NAVD88 to MLLW")</f>
        <v>0</v>
      </c>
      <c r="T190" s="2">
        <f>HYPERLINK("https://vdatum.noaa.gov/vdatumweb/api/convert?s_x=-72.3067&amp;s_y=41.1367&amp;s_z=0.0&amp;region=contiguous&amp;s_h_frame=NAD83_2011&amp;s_coor=geo&amp;s_v_frame=NAVD88&amp;s_v_unit=us_ft&amp;t_h_frame=NAD83_2011&amp;t_coor=geo&amp;t_v_frame=MHHW&amp;t_v_unit=us_ft", "NAVD88 to MHHW")</f>
        <v>0</v>
      </c>
    </row>
    <row r="191" spans="1:20">
      <c r="A191" s="1" t="s">
        <v>215</v>
      </c>
      <c r="B191" s="1" t="s">
        <v>621</v>
      </c>
      <c r="C191" s="1" t="s">
        <v>646</v>
      </c>
      <c r="D191" s="1" t="s">
        <v>652</v>
      </c>
      <c r="E191" s="1" t="s">
        <v>722</v>
      </c>
      <c r="F191" s="1" t="s">
        <v>833</v>
      </c>
      <c r="G191" s="1" t="s">
        <v>854</v>
      </c>
      <c r="H191" s="1">
        <v>-72.5033</v>
      </c>
      <c r="I191" s="1">
        <v>40.85</v>
      </c>
      <c r="J191" s="1">
        <f>HYPERLINK("https://tidesandcurrents.noaa.gov/stationhome.html?id=8512451", "8512451")</f>
        <v>0</v>
      </c>
      <c r="K191" s="1" t="s">
        <v>860</v>
      </c>
      <c r="L191" s="1" t="s">
        <v>866</v>
      </c>
      <c r="M191" s="1">
        <v>3702215</v>
      </c>
      <c r="N191" s="1">
        <v>0</v>
      </c>
      <c r="O191" s="1" t="s">
        <v>869</v>
      </c>
      <c r="P191" s="1" t="s">
        <v>874</v>
      </c>
      <c r="Q191" s="1">
        <v>1.757</v>
      </c>
      <c r="R191" s="1">
        <v>-1.412</v>
      </c>
      <c r="S191" s="2">
        <f>HYPERLINK("https://vdatum.noaa.gov/vdatumweb/api/convert?s_x=-72.5033&amp;s_y=40.85&amp;s_z=0.0&amp;region=contiguous&amp;s_h_frame=NAD83_2011&amp;s_coor=geo&amp;s_v_frame=NAVD88&amp;s_v_unit=us_ft&amp;t_h_frame=NAD83_2011&amp;t_coor=geo&amp;t_v_frame=MLLW&amp;t_v_unit=us_ft", "NAVD88 to MLLW")</f>
        <v>0</v>
      </c>
      <c r="T191" s="2">
        <f>HYPERLINK("https://vdatum.noaa.gov/vdatumweb/api/convert?s_x=-72.5033&amp;s_y=40.85&amp;s_z=0.0&amp;region=contiguous&amp;s_h_frame=NAD83_2011&amp;s_coor=geo&amp;s_v_frame=NAVD88&amp;s_v_unit=us_ft&amp;t_h_frame=NAD83_2011&amp;t_coor=geo&amp;t_v_frame=MHHW&amp;t_v_unit=us_ft", "NAVD88 to MHHW")</f>
        <v>0</v>
      </c>
    </row>
    <row r="192" spans="1:20">
      <c r="A192" s="1" t="s">
        <v>216</v>
      </c>
      <c r="B192" s="1" t="s">
        <v>621</v>
      </c>
      <c r="D192" s="1" t="s">
        <v>652</v>
      </c>
      <c r="H192" s="1">
        <v>-72.5617</v>
      </c>
      <c r="I192" s="1">
        <v>41.015</v>
      </c>
      <c r="J192" s="1">
        <f>HYPERLINK("https://tidesandcurrents.noaa.gov/stationhome.html?id=8512668", "8512668")</f>
        <v>0</v>
      </c>
      <c r="K192" s="1" t="s">
        <v>861</v>
      </c>
      <c r="L192" s="1" t="s">
        <v>866</v>
      </c>
      <c r="M192" s="1">
        <v>2836611</v>
      </c>
      <c r="N192" s="1">
        <v>-0.11</v>
      </c>
      <c r="O192" s="1" t="s">
        <v>869</v>
      </c>
      <c r="P192" s="1" t="s">
        <v>874</v>
      </c>
      <c r="Q192" s="1">
        <v>3.07</v>
      </c>
      <c r="R192" s="1">
        <v>-2.478</v>
      </c>
      <c r="S192" s="2">
        <f>HYPERLINK("https://vdatum.noaa.gov/vdatumweb/api/convert?s_x=-72.5617&amp;s_y=41.015&amp;s_z=0.0&amp;region=contiguous&amp;s_h_frame=NAD83_2011&amp;s_coor=geo&amp;s_v_frame=NAVD88&amp;s_v_unit=us_ft&amp;t_h_frame=NAD83_2011&amp;t_coor=geo&amp;t_v_frame=MLLW&amp;t_v_unit=us_ft", "NAVD88 to MLLW")</f>
        <v>0</v>
      </c>
      <c r="T192" s="2">
        <f>HYPERLINK("https://vdatum.noaa.gov/vdatumweb/api/convert?s_x=-72.5617&amp;s_y=41.015&amp;s_z=0.0&amp;region=contiguous&amp;s_h_frame=NAD83_2011&amp;s_coor=geo&amp;s_v_frame=NAVD88&amp;s_v_unit=us_ft&amp;t_h_frame=NAD83_2011&amp;t_coor=geo&amp;t_v_frame=MHHW&amp;t_v_unit=us_ft", "NAVD88 to MHHW")</f>
        <v>0</v>
      </c>
    </row>
    <row r="193" spans="1:20">
      <c r="A193" s="1" t="s">
        <v>217</v>
      </c>
      <c r="B193" s="1" t="s">
        <v>621</v>
      </c>
      <c r="C193" s="1" t="s">
        <v>646</v>
      </c>
      <c r="D193" s="1" t="s">
        <v>652</v>
      </c>
      <c r="H193" s="1">
        <v>-72.5817</v>
      </c>
      <c r="I193" s="1">
        <v>40.935</v>
      </c>
      <c r="J193" s="1">
        <f>HYPERLINK("https://tidesandcurrents.noaa.gov/stationhome.html?id=8512735", "8512735")</f>
        <v>0</v>
      </c>
      <c r="K193" s="1" t="s">
        <v>861</v>
      </c>
      <c r="L193" s="1" t="s">
        <v>866</v>
      </c>
      <c r="M193" s="1">
        <v>3860754</v>
      </c>
      <c r="N193" s="1">
        <v>-1.66</v>
      </c>
      <c r="O193" s="1" t="s">
        <v>869</v>
      </c>
      <c r="P193" s="1" t="s">
        <v>874</v>
      </c>
      <c r="Q193" s="1">
        <v>2.065</v>
      </c>
      <c r="R193" s="1">
        <v>-1.277</v>
      </c>
      <c r="S193" s="2">
        <f>HYPERLINK("https://vdatum.noaa.gov/vdatumweb/api/convert?s_x=-72.5817&amp;s_y=40.935&amp;s_z=0.0&amp;region=contiguous&amp;s_h_frame=NAD83_2011&amp;s_coor=geo&amp;s_v_frame=NAVD88&amp;s_v_unit=us_ft&amp;t_h_frame=NAD83_2011&amp;t_coor=geo&amp;t_v_frame=MLLW&amp;t_v_unit=us_ft", "NAVD88 to MLLW")</f>
        <v>0</v>
      </c>
      <c r="T193" s="2">
        <f>HYPERLINK("https://vdatum.noaa.gov/vdatumweb/api/convert?s_x=-72.5817&amp;s_y=40.935&amp;s_z=0.0&amp;region=contiguous&amp;s_h_frame=NAD83_2011&amp;s_coor=geo&amp;s_v_frame=NAVD88&amp;s_v_unit=us_ft&amp;t_h_frame=NAD83_2011&amp;t_coor=geo&amp;t_v_frame=MHHW&amp;t_v_unit=us_ft", "NAVD88 to MHHW")</f>
        <v>0</v>
      </c>
    </row>
    <row r="194" spans="1:20">
      <c r="A194" s="1" t="s">
        <v>218</v>
      </c>
      <c r="B194" s="1" t="s">
        <v>621</v>
      </c>
      <c r="D194" s="1" t="s">
        <v>652</v>
      </c>
      <c r="H194" s="1">
        <v>-72.75</v>
      </c>
      <c r="I194" s="1">
        <v>40.7867</v>
      </c>
      <c r="J194" s="1">
        <f>HYPERLINK("https://tidesandcurrents.noaa.gov/stationhome.html?id=8513388", "8513388")</f>
        <v>0</v>
      </c>
      <c r="K194" s="1" t="s">
        <v>860</v>
      </c>
      <c r="L194" s="1" t="s">
        <v>866</v>
      </c>
      <c r="M194" s="1">
        <v>5586466</v>
      </c>
      <c r="N194" s="1">
        <v>-0.047</v>
      </c>
      <c r="O194" s="1" t="s">
        <v>869</v>
      </c>
      <c r="P194" s="1" t="s">
        <v>874</v>
      </c>
      <c r="Q194" s="1">
        <v>1.315</v>
      </c>
      <c r="R194" s="1">
        <v>-1.128</v>
      </c>
      <c r="S194" s="2">
        <f>HYPERLINK("https://vdatum.noaa.gov/vdatumweb/api/convert?s_x=-72.75&amp;s_y=40.7867&amp;s_z=0.0&amp;region=contiguous&amp;s_h_frame=NAD83_2011&amp;s_coor=geo&amp;s_v_frame=NAVD88&amp;s_v_unit=us_ft&amp;t_h_frame=NAD83_2011&amp;t_coor=geo&amp;t_v_frame=MLLW&amp;t_v_unit=us_ft", "NAVD88 to MLLW")</f>
        <v>0</v>
      </c>
      <c r="T194" s="2">
        <f>HYPERLINK("https://vdatum.noaa.gov/vdatumweb/api/convert?s_x=-72.75&amp;s_y=40.7867&amp;s_z=0.0&amp;region=contiguous&amp;s_h_frame=NAD83_2011&amp;s_coor=geo&amp;s_v_frame=NAVD88&amp;s_v_unit=us_ft&amp;t_h_frame=NAD83_2011&amp;t_coor=geo&amp;t_v_frame=MHHW&amp;t_v_unit=us_ft", "NAVD88 to MHHW")</f>
        <v>0</v>
      </c>
    </row>
    <row r="195" spans="1:20">
      <c r="A195" s="1" t="s">
        <v>219</v>
      </c>
      <c r="B195" s="1" t="s">
        <v>621</v>
      </c>
      <c r="C195" s="1" t="s">
        <v>646</v>
      </c>
      <c r="D195" s="1" t="s">
        <v>652</v>
      </c>
      <c r="E195" s="1" t="s">
        <v>722</v>
      </c>
      <c r="F195" s="1" t="s">
        <v>833</v>
      </c>
      <c r="G195" s="1" t="s">
        <v>854</v>
      </c>
      <c r="H195" s="1">
        <v>-73</v>
      </c>
      <c r="I195" s="1">
        <v>40.75</v>
      </c>
      <c r="J195" s="1">
        <f>HYPERLINK("https://tidesandcurrents.noaa.gov/stationhome.html?id=8514322", "8514322")</f>
        <v>0</v>
      </c>
      <c r="K195" s="1" t="s">
        <v>860</v>
      </c>
      <c r="L195" s="1" t="s">
        <v>866</v>
      </c>
      <c r="M195" s="1">
        <v>1978745</v>
      </c>
      <c r="N195" s="1">
        <v>-0.026</v>
      </c>
      <c r="O195" s="1" t="s">
        <v>869</v>
      </c>
      <c r="P195" s="1" t="s">
        <v>874</v>
      </c>
      <c r="Q195" s="1">
        <v>0.704</v>
      </c>
      <c r="R195" s="1">
        <v>-0.724</v>
      </c>
      <c r="S195" s="2">
        <f>HYPERLINK("https://vdatum.noaa.gov/vdatumweb/api/convert?s_x=-73.0&amp;s_y=40.75&amp;s_z=0.0&amp;region=contiguous&amp;s_h_frame=NAD83_2011&amp;s_coor=geo&amp;s_v_frame=NAVD88&amp;s_v_unit=us_ft&amp;t_h_frame=NAD83_2011&amp;t_coor=geo&amp;t_v_frame=MLLW&amp;t_v_unit=us_ft", "NAVD88 to MLLW")</f>
        <v>0</v>
      </c>
      <c r="T195" s="2">
        <f>HYPERLINK("https://vdatum.noaa.gov/vdatumweb/api/convert?s_x=-73.0&amp;s_y=40.75&amp;s_z=0.0&amp;region=contiguous&amp;s_h_frame=NAD83_2011&amp;s_coor=geo&amp;s_v_frame=NAVD88&amp;s_v_unit=us_ft&amp;t_h_frame=NAD83_2011&amp;t_coor=geo&amp;t_v_frame=MHHW&amp;t_v_unit=us_ft", "NAVD88 to MHHW")</f>
        <v>0</v>
      </c>
    </row>
    <row r="196" spans="1:20">
      <c r="A196" s="1" t="s">
        <v>220</v>
      </c>
      <c r="B196" s="1" t="s">
        <v>621</v>
      </c>
      <c r="D196" s="1" t="s">
        <v>652</v>
      </c>
      <c r="E196" s="1" t="s">
        <v>722</v>
      </c>
      <c r="F196" s="1" t="s">
        <v>833</v>
      </c>
      <c r="G196" s="1" t="s">
        <v>854</v>
      </c>
      <c r="H196" s="1">
        <v>-73.091667</v>
      </c>
      <c r="I196" s="1">
        <v>40.971666</v>
      </c>
      <c r="J196" s="1">
        <f>HYPERLINK("https://tidesandcurrents.noaa.gov/stationhome.html?id=8514594", "8514594")</f>
        <v>0</v>
      </c>
      <c r="K196" s="1" t="s">
        <v>860</v>
      </c>
      <c r="L196" s="1" t="s">
        <v>866</v>
      </c>
      <c r="M196" s="1">
        <v>4448810</v>
      </c>
      <c r="N196" s="1">
        <v>0</v>
      </c>
      <c r="O196" s="1" t="s">
        <v>869</v>
      </c>
      <c r="P196" s="1" t="s">
        <v>874</v>
      </c>
      <c r="Q196" s="1">
        <v>3.691</v>
      </c>
      <c r="R196" s="1">
        <v>-3.431</v>
      </c>
      <c r="S196" s="2">
        <f>HYPERLINK("https://vdatum.noaa.gov/vdatumweb/api/convert?s_x=-73.091667&amp;s_y=40.971666&amp;s_z=0.0&amp;region=contiguous&amp;s_h_frame=NAD83_2011&amp;s_coor=geo&amp;s_v_frame=NAVD88&amp;s_v_unit=us_ft&amp;t_h_frame=NAD83_2011&amp;t_coor=geo&amp;t_v_frame=MLLW&amp;t_v_unit=us_ft", "NAVD88 to MLLW")</f>
        <v>0</v>
      </c>
      <c r="T196" s="2">
        <f>HYPERLINK("https://vdatum.noaa.gov/vdatumweb/api/convert?s_x=-73.091667&amp;s_y=40.971666&amp;s_z=0.0&amp;region=contiguous&amp;s_h_frame=NAD83_2011&amp;s_coor=geo&amp;s_v_frame=NAVD88&amp;s_v_unit=us_ft&amp;t_h_frame=NAD83_2011&amp;t_coor=geo&amp;t_v_frame=MHHW&amp;t_v_unit=us_ft", "NAVD88 to MHHW")</f>
        <v>0</v>
      </c>
    </row>
    <row r="197" spans="1:20">
      <c r="A197" s="1" t="s">
        <v>221</v>
      </c>
      <c r="B197" s="1" t="s">
        <v>621</v>
      </c>
      <c r="C197" s="1" t="s">
        <v>646</v>
      </c>
      <c r="D197" s="1" t="s">
        <v>652</v>
      </c>
      <c r="E197" s="1" t="s">
        <v>723</v>
      </c>
      <c r="F197" s="1" t="s">
        <v>833</v>
      </c>
      <c r="G197" s="1" t="s">
        <v>854</v>
      </c>
      <c r="H197" s="1">
        <v>-73.58</v>
      </c>
      <c r="I197" s="1">
        <v>40.59</v>
      </c>
      <c r="J197" s="1">
        <f>HYPERLINK("https://tidesandcurrents.noaa.gov/stationhome.html?id=8516402", "8516402")</f>
        <v>0</v>
      </c>
      <c r="K197" s="1" t="s">
        <v>860</v>
      </c>
      <c r="L197" s="1" t="s">
        <v>866</v>
      </c>
      <c r="M197" s="1">
        <v>3697461</v>
      </c>
      <c r="N197" s="1">
        <v>-0.109</v>
      </c>
      <c r="O197" s="1" t="s">
        <v>869</v>
      </c>
      <c r="P197" s="1" t="s">
        <v>874</v>
      </c>
      <c r="Q197" s="1">
        <v>2.639</v>
      </c>
      <c r="R197" s="1">
        <v>-2.044</v>
      </c>
      <c r="S197" s="2">
        <f>HYPERLINK("https://vdatum.noaa.gov/vdatumweb/api/convert?s_x=-73.58&amp;s_y=40.59&amp;s_z=0.0&amp;region=contiguous&amp;s_h_frame=NAD83_2011&amp;s_coor=geo&amp;s_v_frame=NAVD88&amp;s_v_unit=us_ft&amp;t_h_frame=NAD83_2011&amp;t_coor=geo&amp;t_v_frame=MLLW&amp;t_v_unit=us_ft", "NAVD88 to MLLW")</f>
        <v>0</v>
      </c>
      <c r="T197" s="2">
        <f>HYPERLINK("https://vdatum.noaa.gov/vdatumweb/api/convert?s_x=-73.58&amp;s_y=40.59&amp;s_z=0.0&amp;region=contiguous&amp;s_h_frame=NAD83_2011&amp;s_coor=geo&amp;s_v_frame=NAVD88&amp;s_v_unit=us_ft&amp;t_h_frame=NAD83_2011&amp;t_coor=geo&amp;t_v_frame=MHHW&amp;t_v_unit=us_ft", "NAVD88 to MHHW")</f>
        <v>0</v>
      </c>
    </row>
    <row r="198" spans="1:20">
      <c r="A198" s="1" t="s">
        <v>222</v>
      </c>
      <c r="B198" s="1" t="s">
        <v>621</v>
      </c>
      <c r="C198" s="1" t="s">
        <v>646</v>
      </c>
      <c r="D198" s="1" t="s">
        <v>652</v>
      </c>
      <c r="H198" s="1">
        <v>-73.584</v>
      </c>
      <c r="I198" s="1">
        <v>40.5939</v>
      </c>
      <c r="J198" s="1">
        <f>HYPERLINK("https://tidesandcurrents.noaa.gov/stationhome.html?id=8516411", "8516411")</f>
        <v>0</v>
      </c>
      <c r="K198" s="1" t="s">
        <v>860</v>
      </c>
      <c r="L198" s="1" t="s">
        <v>866</v>
      </c>
      <c r="M198" s="1">
        <v>3697468</v>
      </c>
      <c r="N198" s="1">
        <v>0</v>
      </c>
      <c r="O198" s="1" t="s">
        <v>869</v>
      </c>
      <c r="P198" s="1" t="s">
        <v>874</v>
      </c>
      <c r="Q198" s="1">
        <v>2.676</v>
      </c>
      <c r="R198" s="1">
        <v>-1.976</v>
      </c>
      <c r="S198" s="2">
        <f>HYPERLINK("https://vdatum.noaa.gov/vdatumweb/api/convert?s_x=-73.584&amp;s_y=40.5939&amp;s_z=0.0&amp;region=contiguous&amp;s_h_frame=NAD83_2011&amp;s_coor=geo&amp;s_v_frame=NAVD88&amp;s_v_unit=us_ft&amp;t_h_frame=NAD83_2011&amp;t_coor=geo&amp;t_v_frame=MLLW&amp;t_v_unit=us_ft", "NAVD88 to MLLW")</f>
        <v>0</v>
      </c>
      <c r="T198" s="2">
        <f>HYPERLINK("https://vdatum.noaa.gov/vdatumweb/api/convert?s_x=-73.584&amp;s_y=40.5939&amp;s_z=0.0&amp;region=contiguous&amp;s_h_frame=NAD83_2011&amp;s_coor=geo&amp;s_v_frame=NAVD88&amp;s_v_unit=us_ft&amp;t_h_frame=NAD83_2011&amp;t_coor=geo&amp;t_v_frame=MHHW&amp;t_v_unit=us_ft", "NAVD88 to MHHW")</f>
        <v>0</v>
      </c>
    </row>
    <row r="199" spans="1:20">
      <c r="A199" s="1" t="s">
        <v>223</v>
      </c>
      <c r="B199" s="1" t="s">
        <v>621</v>
      </c>
      <c r="D199" s="1" t="s">
        <v>652</v>
      </c>
      <c r="H199" s="1">
        <v>-73.655</v>
      </c>
      <c r="I199" s="1">
        <v>40.8633</v>
      </c>
      <c r="J199" s="1">
        <f>HYPERLINK("https://tidesandcurrents.noaa.gov/stationhome.html?id=8516614", "8516614")</f>
        <v>0</v>
      </c>
      <c r="K199" s="1" t="s">
        <v>860</v>
      </c>
      <c r="L199" s="1" t="s">
        <v>866</v>
      </c>
      <c r="M199" s="1">
        <v>3018829</v>
      </c>
      <c r="N199" s="1">
        <v>0</v>
      </c>
      <c r="O199" s="1" t="s">
        <v>869</v>
      </c>
      <c r="P199" s="1" t="s">
        <v>874</v>
      </c>
      <c r="Q199" s="1">
        <v>4.171</v>
      </c>
      <c r="R199" s="1">
        <v>-3.724</v>
      </c>
      <c r="S199" s="2">
        <f>HYPERLINK("https://vdatum.noaa.gov/vdatumweb/api/convert?s_x=-73.655&amp;s_y=40.8633&amp;s_z=0.0&amp;region=contiguous&amp;s_h_frame=NAD83_2011&amp;s_coor=geo&amp;s_v_frame=NAVD88&amp;s_v_unit=us_ft&amp;t_h_frame=NAD83_2011&amp;t_coor=geo&amp;t_v_frame=MLLW&amp;t_v_unit=us_ft", "NAVD88 to MLLW")</f>
        <v>0</v>
      </c>
      <c r="T199" s="2">
        <f>HYPERLINK("https://vdatum.noaa.gov/vdatumweb/api/convert?s_x=-73.655&amp;s_y=40.8633&amp;s_z=0.0&amp;region=contiguous&amp;s_h_frame=NAD83_2011&amp;s_coor=geo&amp;s_v_frame=NAVD88&amp;s_v_unit=us_ft&amp;t_h_frame=NAD83_2011&amp;t_coor=geo&amp;t_v_frame=MHHW&amp;t_v_unit=us_ft", "NAVD88 to MHHW")</f>
        <v>0</v>
      </c>
    </row>
    <row r="200" spans="1:20">
      <c r="A200" s="1" t="s">
        <v>224</v>
      </c>
      <c r="B200" s="1" t="s">
        <v>621</v>
      </c>
      <c r="D200" s="1" t="s">
        <v>652</v>
      </c>
      <c r="E200" s="1" t="s">
        <v>724</v>
      </c>
      <c r="F200" s="1" t="s">
        <v>833</v>
      </c>
      <c r="G200" s="1" t="s">
        <v>854</v>
      </c>
      <c r="H200" s="1">
        <v>-73.7433</v>
      </c>
      <c r="I200" s="1">
        <v>40.595</v>
      </c>
      <c r="J200" s="1">
        <f>HYPERLINK("https://tidesandcurrents.noaa.gov/stationhome.html?id=8516881", "8516881")</f>
        <v>0</v>
      </c>
      <c r="K200" s="1" t="s">
        <v>860</v>
      </c>
      <c r="L200" s="1" t="s">
        <v>866</v>
      </c>
      <c r="M200" s="1">
        <v>3697620</v>
      </c>
      <c r="N200" s="1">
        <v>0</v>
      </c>
      <c r="O200" s="1" t="s">
        <v>869</v>
      </c>
      <c r="P200" s="1" t="s">
        <v>874</v>
      </c>
      <c r="Q200" s="1">
        <v>2.878</v>
      </c>
      <c r="R200" s="1">
        <v>-2.025</v>
      </c>
      <c r="S200" s="2">
        <f>HYPERLINK("https://vdatum.noaa.gov/vdatumweb/api/convert?s_x=-73.7433&amp;s_y=40.595&amp;s_z=0.0&amp;region=contiguous&amp;s_h_frame=NAD83_2011&amp;s_coor=geo&amp;s_v_frame=NAVD88&amp;s_v_unit=us_ft&amp;t_h_frame=NAD83_2011&amp;t_coor=geo&amp;t_v_frame=MLLW&amp;t_v_unit=us_ft", "NAVD88 to MLLW")</f>
        <v>0</v>
      </c>
      <c r="T200" s="2">
        <f>HYPERLINK("https://vdatum.noaa.gov/vdatumweb/api/convert?s_x=-73.7433&amp;s_y=40.595&amp;s_z=0.0&amp;region=contiguous&amp;s_h_frame=NAD83_2011&amp;s_coor=geo&amp;s_v_frame=NAVD88&amp;s_v_unit=us_ft&amp;t_h_frame=NAD83_2011&amp;t_coor=geo&amp;t_v_frame=MHHW&amp;t_v_unit=us_ft", "NAVD88 to MHHW")</f>
        <v>0</v>
      </c>
    </row>
    <row r="201" spans="1:20">
      <c r="A201" s="1" t="s">
        <v>225</v>
      </c>
      <c r="B201" s="1" t="s">
        <v>621</v>
      </c>
      <c r="C201" s="1" t="s">
        <v>646</v>
      </c>
      <c r="D201" s="1" t="s">
        <v>652</v>
      </c>
      <c r="E201" s="1" t="s">
        <v>723</v>
      </c>
      <c r="F201" s="1" t="s">
        <v>833</v>
      </c>
      <c r="G201" s="1" t="s">
        <v>854</v>
      </c>
      <c r="H201" s="1">
        <v>-73.75833299999999</v>
      </c>
      <c r="I201" s="1">
        <v>40.616666</v>
      </c>
      <c r="J201" s="1">
        <f>HYPERLINK("https://tidesandcurrents.noaa.gov/stationhome.html?id=8516925", "8516925")</f>
        <v>0</v>
      </c>
      <c r="K201" s="1" t="s">
        <v>860</v>
      </c>
      <c r="L201" s="1" t="s">
        <v>866</v>
      </c>
      <c r="M201" s="1">
        <v>5586754</v>
      </c>
      <c r="N201" s="1">
        <v>0</v>
      </c>
      <c r="O201" s="1" t="s">
        <v>869</v>
      </c>
      <c r="P201" s="1" t="s">
        <v>874</v>
      </c>
      <c r="Q201" s="1">
        <v>3.405</v>
      </c>
      <c r="R201" s="1">
        <v>-2.787</v>
      </c>
      <c r="S201" s="2">
        <f>HYPERLINK("https://vdatum.noaa.gov/vdatumweb/api/convert?s_x=-73.758333&amp;s_y=40.616666&amp;s_z=0.0&amp;region=contiguous&amp;s_h_frame=NAD83_2011&amp;s_coor=geo&amp;s_v_frame=NAVD88&amp;s_v_unit=us_ft&amp;t_h_frame=NAD83_2011&amp;t_coor=geo&amp;t_v_frame=MLLW&amp;t_v_unit=us_ft", "NAVD88 to MLLW")</f>
        <v>0</v>
      </c>
      <c r="T201" s="2">
        <f>HYPERLINK("https://vdatum.noaa.gov/vdatumweb/api/convert?s_x=-73.758333&amp;s_y=40.616666&amp;s_z=0.0&amp;region=contiguous&amp;s_h_frame=NAD83_2011&amp;s_coor=geo&amp;s_v_frame=NAVD88&amp;s_v_unit=us_ft&amp;t_h_frame=NAD83_2011&amp;t_coor=geo&amp;t_v_frame=MHHW&amp;t_v_unit=us_ft", "NAVD88 to MHHW")</f>
        <v>0</v>
      </c>
    </row>
    <row r="202" spans="1:20">
      <c r="A202" s="1" t="s">
        <v>226</v>
      </c>
      <c r="B202" s="1" t="s">
        <v>621</v>
      </c>
      <c r="D202" s="1" t="s">
        <v>652</v>
      </c>
      <c r="H202" s="1">
        <v>-73.765</v>
      </c>
      <c r="I202" s="1">
        <v>40.81031</v>
      </c>
      <c r="J202" s="1">
        <f>HYPERLINK("https://tidesandcurrents.noaa.gov/stationhome.html?id=8516945", "8516945")</f>
        <v>0</v>
      </c>
      <c r="K202" s="1" t="s">
        <v>860</v>
      </c>
      <c r="L202" s="1" t="s">
        <v>866</v>
      </c>
      <c r="M202" s="1">
        <v>2645148</v>
      </c>
      <c r="N202" s="1">
        <v>0</v>
      </c>
      <c r="O202" s="1" t="s">
        <v>869</v>
      </c>
      <c r="P202" s="1" t="s">
        <v>874</v>
      </c>
      <c r="Q202" s="1">
        <v>4.123</v>
      </c>
      <c r="R202" s="1">
        <v>-3.682</v>
      </c>
      <c r="S202" s="2">
        <f>HYPERLINK("https://vdatum.noaa.gov/vdatumweb/api/convert?s_x=-73.765&amp;s_y=40.81031&amp;s_z=0.0&amp;region=contiguous&amp;s_h_frame=NAD83_2011&amp;s_coor=geo&amp;s_v_frame=NAVD88&amp;s_v_unit=us_ft&amp;t_h_frame=NAD83_2011&amp;t_coor=geo&amp;t_v_frame=MLLW&amp;t_v_unit=us_ft", "NAVD88 to MLLW")</f>
        <v>0</v>
      </c>
      <c r="T202" s="2">
        <f>HYPERLINK("https://vdatum.noaa.gov/vdatumweb/api/convert?s_x=-73.765&amp;s_y=40.81031&amp;s_z=0.0&amp;region=contiguous&amp;s_h_frame=NAD83_2011&amp;s_coor=geo&amp;s_v_frame=NAVD88&amp;s_v_unit=us_ft&amp;t_h_frame=NAD83_2011&amp;t_coor=geo&amp;t_v_frame=MHHW&amp;t_v_unit=us_ft", "NAVD88 to MHHW")</f>
        <v>0</v>
      </c>
    </row>
    <row r="203" spans="1:20">
      <c r="A203" s="1" t="s">
        <v>227</v>
      </c>
      <c r="B203" s="1" t="s">
        <v>621</v>
      </c>
      <c r="C203" s="1" t="s">
        <v>646</v>
      </c>
      <c r="D203" s="1" t="s">
        <v>652</v>
      </c>
      <c r="H203" s="1">
        <v>-73.888333</v>
      </c>
      <c r="I203" s="1">
        <v>40.578333</v>
      </c>
      <c r="J203" s="1">
        <f>HYPERLINK("https://tidesandcurrents.noaa.gov/stationhome.html?id=8517394", "8517394")</f>
        <v>0</v>
      </c>
      <c r="K203" s="1" t="s">
        <v>860</v>
      </c>
      <c r="L203" s="1" t="s">
        <v>866</v>
      </c>
      <c r="M203" s="1">
        <v>4725014</v>
      </c>
      <c r="N203" s="1">
        <v>0</v>
      </c>
      <c r="O203" s="1" t="s">
        <v>869</v>
      </c>
      <c r="P203" s="1" t="s">
        <v>874</v>
      </c>
      <c r="Q203" s="1">
        <v>3.16</v>
      </c>
      <c r="R203" s="1">
        <v>-2.461</v>
      </c>
      <c r="S203" s="2">
        <f>HYPERLINK("https://vdatum.noaa.gov/vdatumweb/api/convert?s_x=-73.888333&amp;s_y=40.578333&amp;s_z=0.0&amp;region=contiguous&amp;s_h_frame=NAD83_2011&amp;s_coor=geo&amp;s_v_frame=NAVD88&amp;s_v_unit=us_ft&amp;t_h_frame=NAD83_2011&amp;t_coor=geo&amp;t_v_frame=MLLW&amp;t_v_unit=us_ft", "NAVD88 to MLLW")</f>
        <v>0</v>
      </c>
      <c r="T203" s="2">
        <f>HYPERLINK("https://vdatum.noaa.gov/vdatumweb/api/convert?s_x=-73.888333&amp;s_y=40.578333&amp;s_z=0.0&amp;region=contiguous&amp;s_h_frame=NAD83_2011&amp;s_coor=geo&amp;s_v_frame=NAVD88&amp;s_v_unit=us_ft&amp;t_h_frame=NAD83_2011&amp;t_coor=geo&amp;t_v_frame=MHHW&amp;t_v_unit=us_ft", "NAVD88 to MHHW")</f>
        <v>0</v>
      </c>
    </row>
    <row r="204" spans="1:20">
      <c r="A204" s="1" t="s">
        <v>228</v>
      </c>
      <c r="B204" s="1" t="s">
        <v>621</v>
      </c>
      <c r="D204" s="1" t="s">
        <v>652</v>
      </c>
      <c r="H204" s="1">
        <v>-73.6717</v>
      </c>
      <c r="I204" s="1">
        <v>40.9617</v>
      </c>
      <c r="J204" s="1">
        <f>HYPERLINK("https://tidesandcurrents.noaa.gov/stationhome.html?id=8518091", "8518091")</f>
        <v>0</v>
      </c>
      <c r="K204" s="1" t="s">
        <v>861</v>
      </c>
      <c r="L204" s="1" t="s">
        <v>866</v>
      </c>
      <c r="M204" s="1">
        <v>2633669</v>
      </c>
      <c r="N204" s="1">
        <v>0</v>
      </c>
      <c r="O204" s="1" t="s">
        <v>869</v>
      </c>
      <c r="P204" s="1" t="s">
        <v>874</v>
      </c>
      <c r="Q204" s="1">
        <v>4.131</v>
      </c>
      <c r="R204" s="1">
        <v>-3.754</v>
      </c>
      <c r="S204" s="2">
        <f>HYPERLINK("https://vdatum.noaa.gov/vdatumweb/api/convert?s_x=-73.6717&amp;s_y=40.9617&amp;s_z=0.0&amp;region=contiguous&amp;s_h_frame=NAD83_2011&amp;s_coor=geo&amp;s_v_frame=NAVD88&amp;s_v_unit=us_ft&amp;t_h_frame=NAD83_2011&amp;t_coor=geo&amp;t_v_frame=MLLW&amp;t_v_unit=us_ft", "NAVD88 to MLLW")</f>
        <v>0</v>
      </c>
      <c r="T204" s="2">
        <f>HYPERLINK("https://vdatum.noaa.gov/vdatumweb/api/convert?s_x=-73.6717&amp;s_y=40.9617&amp;s_z=0.0&amp;region=contiguous&amp;s_h_frame=NAD83_2011&amp;s_coor=geo&amp;s_v_frame=NAVD88&amp;s_v_unit=us_ft&amp;t_h_frame=NAD83_2011&amp;t_coor=geo&amp;t_v_frame=MHHW&amp;t_v_unit=us_ft", "NAVD88 to MHHW")</f>
        <v>0</v>
      </c>
    </row>
    <row r="205" spans="1:20">
      <c r="A205" s="1" t="s">
        <v>229</v>
      </c>
      <c r="B205" s="1" t="s">
        <v>621</v>
      </c>
      <c r="C205" s="1" t="s">
        <v>646</v>
      </c>
      <c r="D205" s="1" t="s">
        <v>652</v>
      </c>
      <c r="H205" s="1">
        <v>-74.0142</v>
      </c>
      <c r="I205" s="1">
        <v>40.70056</v>
      </c>
      <c r="J205" s="1">
        <f>HYPERLINK("https://tidesandcurrents.noaa.gov/stationhome.html?id=8518750", "8518750")</f>
        <v>0</v>
      </c>
      <c r="K205" s="1" t="s">
        <v>860</v>
      </c>
      <c r="L205" s="1" t="s">
        <v>866</v>
      </c>
      <c r="M205" s="1">
        <v>5110586</v>
      </c>
      <c r="N205" s="1">
        <v>0</v>
      </c>
      <c r="O205" s="1" t="s">
        <v>869</v>
      </c>
      <c r="P205" s="1" t="s">
        <v>874</v>
      </c>
      <c r="Q205" s="1">
        <v>2.805</v>
      </c>
      <c r="R205" s="1">
        <v>-2.31</v>
      </c>
      <c r="S205" s="2">
        <f>HYPERLINK("https://vdatum.noaa.gov/vdatumweb/api/convert?s_x=-74.0142&amp;s_y=40.70056&amp;s_z=0.0&amp;region=contiguous&amp;s_h_frame=NAD83_2011&amp;s_coor=geo&amp;s_v_frame=NAVD88&amp;s_v_unit=us_ft&amp;t_h_frame=NAD83_2011&amp;t_coor=geo&amp;t_v_frame=MLLW&amp;t_v_unit=us_ft", "NAVD88 to MLLW")</f>
        <v>0</v>
      </c>
      <c r="T205" s="2">
        <f>HYPERLINK("https://vdatum.noaa.gov/vdatumweb/api/convert?s_x=-74.0142&amp;s_y=40.70056&amp;s_z=0.0&amp;region=contiguous&amp;s_h_frame=NAD83_2011&amp;s_coor=geo&amp;s_v_frame=NAVD88&amp;s_v_unit=us_ft&amp;t_h_frame=NAD83_2011&amp;t_coor=geo&amp;t_v_frame=MHHW&amp;t_v_unit=us_ft", "NAVD88 to MHHW")</f>
        <v>0</v>
      </c>
    </row>
    <row r="206" spans="1:20">
      <c r="A206" s="1" t="s">
        <v>230</v>
      </c>
      <c r="B206" s="1" t="s">
        <v>621</v>
      </c>
      <c r="C206" s="1" t="s">
        <v>646</v>
      </c>
      <c r="D206" s="1" t="s">
        <v>652</v>
      </c>
      <c r="E206" s="1" t="s">
        <v>725</v>
      </c>
      <c r="F206" s="1" t="s">
        <v>833</v>
      </c>
      <c r="G206" s="1" t="s">
        <v>854</v>
      </c>
      <c r="H206" s="1">
        <v>-73.87</v>
      </c>
      <c r="I206" s="1">
        <v>41.0783333</v>
      </c>
      <c r="J206" s="1">
        <f>HYPERLINK("https://tidesandcurrents.noaa.gov/stationhome.html?id=8518919", "8518919")</f>
        <v>0</v>
      </c>
      <c r="K206" s="1" t="s">
        <v>860</v>
      </c>
      <c r="L206" s="1" t="s">
        <v>866</v>
      </c>
      <c r="M206" s="1">
        <v>2136846</v>
      </c>
      <c r="N206" s="1">
        <v>0</v>
      </c>
      <c r="O206" s="1" t="s">
        <v>869</v>
      </c>
      <c r="P206" s="1" t="s">
        <v>874</v>
      </c>
      <c r="Q206" s="1">
        <v>1.916</v>
      </c>
      <c r="R206" s="1">
        <v>-2.161</v>
      </c>
      <c r="S206" s="2">
        <f>HYPERLINK("https://vdatum.noaa.gov/vdatumweb/api/convert?s_x=-73.87&amp;s_y=41.0783333&amp;s_z=0.0&amp;region=contiguous&amp;s_h_frame=NAD83_2011&amp;s_coor=geo&amp;s_v_frame=NAVD88&amp;s_v_unit=us_ft&amp;t_h_frame=NAD83_2011&amp;t_coor=geo&amp;t_v_frame=MLLW&amp;t_v_unit=us_ft", "NAVD88 to MLLW")</f>
        <v>0</v>
      </c>
      <c r="T206" s="2">
        <f>HYPERLINK("https://vdatum.noaa.gov/vdatumweb/api/convert?s_x=-73.87&amp;s_y=41.0783333&amp;s_z=0.0&amp;region=contiguous&amp;s_h_frame=NAD83_2011&amp;s_coor=geo&amp;s_v_frame=NAVD88&amp;s_v_unit=us_ft&amp;t_h_frame=NAD83_2011&amp;t_coor=geo&amp;t_v_frame=MHHW&amp;t_v_unit=us_ft", "NAVD88 to MHHW")</f>
        <v>0</v>
      </c>
    </row>
    <row r="207" spans="1:20">
      <c r="A207" s="1" t="s">
        <v>231</v>
      </c>
      <c r="B207" s="1" t="s">
        <v>621</v>
      </c>
      <c r="D207" s="1" t="s">
        <v>652</v>
      </c>
      <c r="E207" s="1" t="s">
        <v>726</v>
      </c>
      <c r="F207" s="1" t="s">
        <v>833</v>
      </c>
      <c r="G207" s="1" t="s">
        <v>854</v>
      </c>
      <c r="H207" s="1">
        <v>-74.1463</v>
      </c>
      <c r="I207" s="1">
        <v>40.6391</v>
      </c>
      <c r="J207" s="1">
        <f>HYPERLINK("https://tidesandcurrents.noaa.gov/stationhome.html?id=8519483", "8519483")</f>
        <v>0</v>
      </c>
      <c r="K207" s="1" t="s">
        <v>860</v>
      </c>
      <c r="L207" s="1" t="s">
        <v>866</v>
      </c>
      <c r="M207" s="1">
        <v>4855207</v>
      </c>
      <c r="N207" s="1">
        <v>-0.054</v>
      </c>
      <c r="O207" s="1" t="s">
        <v>869</v>
      </c>
      <c r="P207" s="1" t="s">
        <v>874</v>
      </c>
      <c r="Q207" s="1">
        <v>2.949</v>
      </c>
      <c r="R207" s="1">
        <v>-2.554</v>
      </c>
      <c r="S207" s="2">
        <f>HYPERLINK("https://vdatum.noaa.gov/vdatumweb/api/convert?s_x=-74.1463&amp;s_y=40.6391&amp;s_z=0.0&amp;region=contiguous&amp;s_h_frame=NAD83_2011&amp;s_coor=geo&amp;s_v_frame=NAVD88&amp;s_v_unit=us_ft&amp;t_h_frame=NAD83_2011&amp;t_coor=geo&amp;t_v_frame=MLLW&amp;t_v_unit=us_ft", "NAVD88 to MLLW")</f>
        <v>0</v>
      </c>
      <c r="T207" s="2">
        <f>HYPERLINK("https://vdatum.noaa.gov/vdatumweb/api/convert?s_x=-74.1463&amp;s_y=40.6391&amp;s_z=0.0&amp;region=contiguous&amp;s_h_frame=NAD83_2011&amp;s_coor=geo&amp;s_v_frame=NAVD88&amp;s_v_unit=us_ft&amp;t_h_frame=NAD83_2011&amp;t_coor=geo&amp;t_v_frame=MHHW&amp;t_v_unit=us_ft", "NAVD88 to MHHW")</f>
        <v>0</v>
      </c>
    </row>
    <row r="208" spans="1:20">
      <c r="A208" s="1" t="s">
        <v>232</v>
      </c>
      <c r="B208" s="1" t="s">
        <v>621</v>
      </c>
      <c r="C208" s="1" t="s">
        <v>644</v>
      </c>
      <c r="D208" s="1" t="s">
        <v>652</v>
      </c>
      <c r="E208" s="1" t="s">
        <v>727</v>
      </c>
      <c r="F208" s="1" t="s">
        <v>842</v>
      </c>
      <c r="G208" s="1" t="s">
        <v>854</v>
      </c>
      <c r="H208" s="1">
        <v>-74.04000000000001</v>
      </c>
      <c r="I208" s="1">
        <v>40.88</v>
      </c>
      <c r="J208" s="1">
        <f>HYPERLINK("https://tidesandcurrents.noaa.gov/stationhome.html?id=8530278", "8530278")</f>
        <v>0</v>
      </c>
      <c r="K208" s="1" t="s">
        <v>861</v>
      </c>
      <c r="L208" s="1" t="s">
        <v>866</v>
      </c>
      <c r="M208" s="1">
        <v>4446695</v>
      </c>
      <c r="N208" s="1">
        <v>0</v>
      </c>
      <c r="O208" s="1" t="s">
        <v>869</v>
      </c>
      <c r="P208" s="1" t="s">
        <v>874</v>
      </c>
      <c r="Q208" s="1">
        <v>3.524</v>
      </c>
      <c r="R208" s="1">
        <v>-3.046</v>
      </c>
      <c r="S208" s="2">
        <f>HYPERLINK("https://vdatum.noaa.gov/vdatumweb/api/convert?s_x=-74.04&amp;s_y=40.88&amp;s_z=0.0&amp;region=contiguous&amp;s_h_frame=NAD83_2011&amp;s_coor=geo&amp;s_v_frame=NAVD88&amp;s_v_unit=us_ft&amp;t_h_frame=NAD83_2011&amp;t_coor=geo&amp;t_v_frame=MLLW&amp;t_v_unit=us_ft", "NAVD88 to MLLW")</f>
        <v>0</v>
      </c>
      <c r="T208" s="2">
        <f>HYPERLINK("https://vdatum.noaa.gov/vdatumweb/api/convert?s_x=-74.04&amp;s_y=40.88&amp;s_z=0.0&amp;region=contiguous&amp;s_h_frame=NAD83_2011&amp;s_coor=geo&amp;s_v_frame=NAVD88&amp;s_v_unit=us_ft&amp;t_h_frame=NAD83_2011&amp;t_coor=geo&amp;t_v_frame=MHHW&amp;t_v_unit=us_ft", "NAVD88 to MHHW")</f>
        <v>0</v>
      </c>
    </row>
    <row r="209" spans="1:20">
      <c r="A209" s="1" t="s">
        <v>233</v>
      </c>
      <c r="B209" s="1" t="s">
        <v>621</v>
      </c>
      <c r="C209" s="1" t="s">
        <v>644</v>
      </c>
      <c r="D209" s="1" t="s">
        <v>652</v>
      </c>
      <c r="E209" s="1" t="s">
        <v>728</v>
      </c>
      <c r="F209" s="1" t="s">
        <v>842</v>
      </c>
      <c r="G209" s="1" t="s">
        <v>854</v>
      </c>
      <c r="H209" s="1">
        <v>-74.11669999999999</v>
      </c>
      <c r="I209" s="1">
        <v>40.7317</v>
      </c>
      <c r="J209" s="1">
        <f>HYPERLINK("https://tidesandcurrents.noaa.gov/stationhome.html?id=8530743", "8530743")</f>
        <v>0</v>
      </c>
      <c r="K209" s="1" t="s">
        <v>860</v>
      </c>
      <c r="L209" s="1" t="s">
        <v>866</v>
      </c>
      <c r="M209" s="1">
        <v>3533955</v>
      </c>
      <c r="N209" s="1">
        <v>0</v>
      </c>
      <c r="O209" s="1" t="s">
        <v>869</v>
      </c>
      <c r="P209" s="1" t="s">
        <v>874</v>
      </c>
      <c r="Q209" s="1">
        <v>3.016</v>
      </c>
      <c r="R209" s="1">
        <v>-2.787</v>
      </c>
      <c r="S209" s="2">
        <f>HYPERLINK("https://vdatum.noaa.gov/vdatumweb/api/convert?s_x=-74.1167&amp;s_y=40.7317&amp;s_z=0.0&amp;region=contiguous&amp;s_h_frame=NAD83_2011&amp;s_coor=geo&amp;s_v_frame=NAVD88&amp;s_v_unit=us_ft&amp;t_h_frame=NAD83_2011&amp;t_coor=geo&amp;t_v_frame=MLLW&amp;t_v_unit=us_ft", "NAVD88 to MLLW")</f>
        <v>0</v>
      </c>
      <c r="T209" s="2">
        <f>HYPERLINK("https://vdatum.noaa.gov/vdatumweb/api/convert?s_x=-74.1167&amp;s_y=40.7317&amp;s_z=0.0&amp;region=contiguous&amp;s_h_frame=NAD83_2011&amp;s_coor=geo&amp;s_v_frame=NAVD88&amp;s_v_unit=us_ft&amp;t_h_frame=NAD83_2011&amp;t_coor=geo&amp;t_v_frame=MHHW&amp;t_v_unit=us_ft", "NAVD88 to MHHW")</f>
        <v>0</v>
      </c>
    </row>
    <row r="210" spans="1:20">
      <c r="A210" s="1" t="s">
        <v>234</v>
      </c>
      <c r="B210" s="1" t="s">
        <v>621</v>
      </c>
      <c r="D210" s="1" t="s">
        <v>652</v>
      </c>
      <c r="H210" s="1">
        <v>-74.0094</v>
      </c>
      <c r="I210" s="1">
        <v>40.46694</v>
      </c>
      <c r="J210" s="1">
        <f>HYPERLINK("https://tidesandcurrents.noaa.gov/stationhome.html?id=8531680", "8531680")</f>
        <v>0</v>
      </c>
      <c r="K210" s="1" t="s">
        <v>860</v>
      </c>
      <c r="L210" s="1" t="s">
        <v>866</v>
      </c>
      <c r="M210" s="1">
        <v>3538987</v>
      </c>
      <c r="N210" s="1">
        <v>0</v>
      </c>
      <c r="O210" s="1" t="s">
        <v>869</v>
      </c>
      <c r="P210" s="1" t="s">
        <v>874</v>
      </c>
      <c r="Q210" s="1">
        <v>2.814</v>
      </c>
      <c r="R210" s="1">
        <v>-2.41</v>
      </c>
      <c r="S210" s="2">
        <f>HYPERLINK("https://vdatum.noaa.gov/vdatumweb/api/convert?s_x=-74.0094&amp;s_y=40.46694&amp;s_z=0.0&amp;region=contiguous&amp;s_h_frame=NAD83_2011&amp;s_coor=geo&amp;s_v_frame=NAVD88&amp;s_v_unit=us_ft&amp;t_h_frame=NAD83_2011&amp;t_coor=geo&amp;t_v_frame=MLLW&amp;t_v_unit=us_ft", "NAVD88 to MLLW")</f>
        <v>0</v>
      </c>
      <c r="T210" s="2">
        <f>HYPERLINK("https://vdatum.noaa.gov/vdatumweb/api/convert?s_x=-74.0094&amp;s_y=40.46694&amp;s_z=0.0&amp;region=contiguous&amp;s_h_frame=NAD83_2011&amp;s_coor=geo&amp;s_v_frame=NAVD88&amp;s_v_unit=us_ft&amp;t_h_frame=NAD83_2011&amp;t_coor=geo&amp;t_v_frame=MHHW&amp;t_v_unit=us_ft", "NAVD88 to MHHW")</f>
        <v>0</v>
      </c>
    </row>
    <row r="211" spans="1:20">
      <c r="A211" s="1" t="s">
        <v>235</v>
      </c>
      <c r="B211" s="1" t="s">
        <v>621</v>
      </c>
      <c r="C211" s="1" t="s">
        <v>646</v>
      </c>
      <c r="D211" s="1" t="s">
        <v>652</v>
      </c>
      <c r="E211" s="1" t="s">
        <v>722</v>
      </c>
      <c r="F211" s="1" t="s">
        <v>833</v>
      </c>
      <c r="G211" s="1" t="s">
        <v>854</v>
      </c>
      <c r="H211" s="1">
        <v>-73.36</v>
      </c>
      <c r="I211" s="1">
        <v>40.67</v>
      </c>
      <c r="J211" s="1" t="s">
        <v>859</v>
      </c>
      <c r="K211" s="1" t="s">
        <v>860</v>
      </c>
      <c r="L211" s="1" t="s">
        <v>859</v>
      </c>
      <c r="M211" s="1">
        <v>5112495</v>
      </c>
      <c r="N211" s="1">
        <v>0</v>
      </c>
      <c r="O211" s="1" t="s">
        <v>869</v>
      </c>
      <c r="P211" s="1" t="s">
        <v>874</v>
      </c>
      <c r="Q211" s="1">
        <v>0.797</v>
      </c>
      <c r="R211" s="1">
        <v>-0.783</v>
      </c>
      <c r="S211" s="2">
        <f>HYPERLINK("https://vdatum.noaa.gov/vdatumweb/api/convert?s_x=-73.36&amp;s_y=40.67&amp;s_z=0.0&amp;region=contiguous&amp;s_h_frame=NAD83_2011&amp;s_coor=geo&amp;s_v_frame=NAVD88&amp;s_v_unit=us_ft&amp;t_h_frame=NAD83_2011&amp;t_coor=geo&amp;t_v_frame=MLLW&amp;t_v_unit=us_ft", "NAVD88 to MLLW")</f>
        <v>0</v>
      </c>
      <c r="T211" s="2">
        <f>HYPERLINK("https://vdatum.noaa.gov/vdatumweb/api/convert?s_x=-73.36&amp;s_y=40.67&amp;s_z=0.0&amp;region=contiguous&amp;s_h_frame=NAD83_2011&amp;s_coor=geo&amp;s_v_frame=NAVD88&amp;s_v_unit=us_ft&amp;t_h_frame=NAD83_2011&amp;t_coor=geo&amp;t_v_frame=MHHW&amp;t_v_unit=us_ft", "NAVD88 to MHHW")</f>
        <v>0</v>
      </c>
    </row>
    <row r="212" spans="1:20">
      <c r="A212" s="1" t="s">
        <v>236</v>
      </c>
      <c r="B212" s="1" t="s">
        <v>621</v>
      </c>
      <c r="D212" s="1" t="s">
        <v>652</v>
      </c>
      <c r="H212" s="1">
        <v>-72.19</v>
      </c>
      <c r="I212" s="1">
        <v>40.94</v>
      </c>
      <c r="J212" s="1" t="s">
        <v>859</v>
      </c>
      <c r="K212" s="1" t="s">
        <v>861</v>
      </c>
      <c r="L212" s="1" t="s">
        <v>859</v>
      </c>
      <c r="M212" s="1">
        <v>1799067</v>
      </c>
      <c r="N212" s="1">
        <v>0</v>
      </c>
      <c r="O212" s="1" t="s">
        <v>869</v>
      </c>
      <c r="P212" s="1" t="s">
        <v>874</v>
      </c>
      <c r="Q212" s="1">
        <v>1.759</v>
      </c>
      <c r="R212" s="1">
        <v>-1.338</v>
      </c>
      <c r="S212" s="2">
        <f>HYPERLINK("https://vdatum.noaa.gov/vdatumweb/api/convert?s_x=-72.19&amp;s_y=40.94&amp;s_z=0.0&amp;region=contiguous&amp;s_h_frame=NAD83_2011&amp;s_coor=geo&amp;s_v_frame=NAVD88&amp;s_v_unit=us_ft&amp;t_h_frame=NAD83_2011&amp;t_coor=geo&amp;t_v_frame=MLLW&amp;t_v_unit=us_ft", "NAVD88 to MLLW")</f>
        <v>0</v>
      </c>
      <c r="T212" s="2">
        <f>HYPERLINK("https://vdatum.noaa.gov/vdatumweb/api/convert?s_x=-72.19&amp;s_y=40.94&amp;s_z=0.0&amp;region=contiguous&amp;s_h_frame=NAD83_2011&amp;s_coor=geo&amp;s_v_frame=NAVD88&amp;s_v_unit=us_ft&amp;t_h_frame=NAD83_2011&amp;t_coor=geo&amp;t_v_frame=MHHW&amp;t_v_unit=us_ft", "NAVD88 to MHHW")</f>
        <v>0</v>
      </c>
    </row>
    <row r="213" spans="1:20">
      <c r="A213" s="1" t="s">
        <v>237</v>
      </c>
      <c r="B213" s="1" t="s">
        <v>621</v>
      </c>
      <c r="C213" s="1" t="s">
        <v>646</v>
      </c>
      <c r="D213" s="1" t="s">
        <v>652</v>
      </c>
      <c r="E213" s="1" t="s">
        <v>722</v>
      </c>
      <c r="F213" s="1" t="s">
        <v>833</v>
      </c>
      <c r="G213" s="1" t="s">
        <v>854</v>
      </c>
      <c r="H213" s="1">
        <v>-72.64</v>
      </c>
      <c r="I213" s="1">
        <v>40.92</v>
      </c>
      <c r="J213" s="1" t="s">
        <v>859</v>
      </c>
      <c r="K213" s="1" t="s">
        <v>860</v>
      </c>
      <c r="L213" s="1" t="s">
        <v>859</v>
      </c>
      <c r="M213" s="1">
        <v>4305502</v>
      </c>
      <c r="N213" s="1">
        <v>0</v>
      </c>
      <c r="O213" s="1" t="s">
        <v>869</v>
      </c>
      <c r="P213" s="1" t="s">
        <v>874</v>
      </c>
      <c r="Q213" s="1">
        <v>2.1</v>
      </c>
      <c r="R213" s="1">
        <v>-1.305</v>
      </c>
      <c r="S213" s="2">
        <f>HYPERLINK("https://vdatum.noaa.gov/vdatumweb/api/convert?s_x=-72.64&amp;s_y=40.92&amp;s_z=0.0&amp;region=contiguous&amp;s_h_frame=NAD83_2011&amp;s_coor=geo&amp;s_v_frame=NAVD88&amp;s_v_unit=us_ft&amp;t_h_frame=NAD83_2011&amp;t_coor=geo&amp;t_v_frame=MLLW&amp;t_v_unit=us_ft", "NAVD88 to MLLW")</f>
        <v>0</v>
      </c>
      <c r="T213" s="2">
        <f>HYPERLINK("https://vdatum.noaa.gov/vdatumweb/api/convert?s_x=-72.64&amp;s_y=40.92&amp;s_z=0.0&amp;region=contiguous&amp;s_h_frame=NAD83_2011&amp;s_coor=geo&amp;s_v_frame=NAVD88&amp;s_v_unit=us_ft&amp;t_h_frame=NAD83_2011&amp;t_coor=geo&amp;t_v_frame=MHHW&amp;t_v_unit=us_ft", "NAVD88 to MHHW")</f>
        <v>0</v>
      </c>
    </row>
    <row r="214" spans="1:20">
      <c r="A214" s="1" t="s">
        <v>238</v>
      </c>
      <c r="B214" s="1" t="s">
        <v>621</v>
      </c>
      <c r="C214" s="1" t="s">
        <v>646</v>
      </c>
      <c r="D214" s="1" t="s">
        <v>652</v>
      </c>
      <c r="H214" s="1">
        <v>-72.3459166</v>
      </c>
      <c r="I214" s="1">
        <v>41.3125983</v>
      </c>
      <c r="J214" s="1">
        <f>HYPERLINK("https://waterdata.usgs.gov/nwis/nwismap/?site_no=01194796&amp;agency_cd=USGS", "US01194796")</f>
        <v>0</v>
      </c>
      <c r="K214" s="1" t="s">
        <v>861</v>
      </c>
      <c r="L214" s="1" t="s">
        <v>867</v>
      </c>
      <c r="M214" s="1">
        <v>3014956</v>
      </c>
      <c r="N214" s="1">
        <v>-0.31</v>
      </c>
      <c r="O214" s="1" t="s">
        <v>869</v>
      </c>
      <c r="P214" s="1" t="s">
        <v>874</v>
      </c>
      <c r="Q214" s="1">
        <v>2.078</v>
      </c>
      <c r="R214" s="1">
        <v>-1.709</v>
      </c>
      <c r="S214" s="2">
        <f>HYPERLINK("https://vdatum.noaa.gov/vdatumweb/api/convert?s_x=-72.3459166&amp;s_y=41.3125983&amp;s_z=0.0&amp;region=contiguous&amp;s_h_frame=NAD83_2011&amp;s_coor=geo&amp;s_v_frame=NAVD88&amp;s_v_unit=us_ft&amp;t_h_frame=NAD83_2011&amp;t_coor=geo&amp;t_v_frame=MLLW&amp;t_v_unit=us_ft", "NAVD88 to MLLW")</f>
        <v>0</v>
      </c>
      <c r="T214" s="2">
        <f>HYPERLINK("https://vdatum.noaa.gov/vdatumweb/api/convert?s_x=-72.3459166&amp;s_y=41.3125983&amp;s_z=0.0&amp;region=contiguous&amp;s_h_frame=NAD83_2011&amp;s_coor=geo&amp;s_v_frame=NAVD88&amp;s_v_unit=us_ft&amp;t_h_frame=NAD83_2011&amp;t_coor=geo&amp;t_v_frame=MHHW&amp;t_v_unit=us_ft", "NAVD88 to MHHW")</f>
        <v>0</v>
      </c>
    </row>
    <row r="215" spans="1:20">
      <c r="A215" s="1" t="s">
        <v>239</v>
      </c>
      <c r="B215" s="1" t="s">
        <v>621</v>
      </c>
      <c r="C215" s="1" t="s">
        <v>646</v>
      </c>
      <c r="D215" s="1" t="s">
        <v>652</v>
      </c>
      <c r="E215" s="1" t="s">
        <v>723</v>
      </c>
      <c r="F215" s="1" t="s">
        <v>833</v>
      </c>
      <c r="G215" s="1" t="s">
        <v>854</v>
      </c>
      <c r="H215" s="1">
        <v>-73.71019440000001</v>
      </c>
      <c r="I215" s="1">
        <v>40.8662222</v>
      </c>
      <c r="J215" s="1">
        <f>HYPERLINK("https://waterdata.usgs.gov/nwis/nwismap/?site_no=01302250&amp;agency_cd=USGS", "US01302250")</f>
        <v>0</v>
      </c>
      <c r="K215" s="1" t="s">
        <v>860</v>
      </c>
      <c r="L215" s="1" t="s">
        <v>867</v>
      </c>
      <c r="M215" s="1">
        <v>2834032</v>
      </c>
      <c r="N215" s="1">
        <v>-0.333</v>
      </c>
      <c r="O215" s="1" t="s">
        <v>869</v>
      </c>
      <c r="P215" s="1" t="s">
        <v>874</v>
      </c>
      <c r="Q215" s="1">
        <v>4.189</v>
      </c>
      <c r="R215" s="1">
        <v>-3.698</v>
      </c>
      <c r="S215" s="2">
        <f>HYPERLINK("https://vdatum.noaa.gov/vdatumweb/api/convert?s_x=-73.7101944&amp;s_y=40.8662222&amp;s_z=0.0&amp;region=contiguous&amp;s_h_frame=NAD83_2011&amp;s_coor=geo&amp;s_v_frame=NAVD88&amp;s_v_unit=us_ft&amp;t_h_frame=NAD83_2011&amp;t_coor=geo&amp;t_v_frame=MLLW&amp;t_v_unit=us_ft", "NAVD88 to MLLW")</f>
        <v>0</v>
      </c>
      <c r="T215" s="2">
        <f>HYPERLINK("https://vdatum.noaa.gov/vdatumweb/api/convert?s_x=-73.7101944&amp;s_y=40.8662222&amp;s_z=0.0&amp;region=contiguous&amp;s_h_frame=NAD83_2011&amp;s_coor=geo&amp;s_v_frame=NAVD88&amp;s_v_unit=us_ft&amp;t_h_frame=NAD83_2011&amp;t_coor=geo&amp;t_v_frame=MHHW&amp;t_v_unit=us_ft", "NAVD88 to MHHW")</f>
        <v>0</v>
      </c>
    </row>
    <row r="216" spans="1:20">
      <c r="A216" s="1" t="s">
        <v>240</v>
      </c>
      <c r="B216" s="1" t="s">
        <v>621</v>
      </c>
      <c r="D216" s="1" t="s">
        <v>652</v>
      </c>
      <c r="E216" s="1" t="s">
        <v>722</v>
      </c>
      <c r="F216" s="1" t="s">
        <v>833</v>
      </c>
      <c r="G216" s="1" t="s">
        <v>854</v>
      </c>
      <c r="H216" s="1">
        <v>-73.09125</v>
      </c>
      <c r="I216" s="1">
        <v>40.72105556</v>
      </c>
      <c r="J216" s="1">
        <f>HYPERLINK("https://waterdata.usgs.gov/nwis/nwismap/?site_no=01306402&amp;agency_cd=USGS", "US01306402")</f>
        <v>0</v>
      </c>
      <c r="K216" s="1" t="s">
        <v>860</v>
      </c>
      <c r="L216" s="1" t="s">
        <v>867</v>
      </c>
      <c r="M216" s="1">
        <v>4453358</v>
      </c>
      <c r="N216" s="1">
        <v>-0.339</v>
      </c>
      <c r="O216" s="1" t="s">
        <v>869</v>
      </c>
      <c r="P216" s="1" t="s">
        <v>874</v>
      </c>
      <c r="Q216" s="1">
        <v>0.694</v>
      </c>
      <c r="R216" s="1">
        <v>-0.749</v>
      </c>
      <c r="S216" s="2">
        <f>HYPERLINK("https://vdatum.noaa.gov/vdatumweb/api/convert?s_x=-73.09125&amp;s_y=40.72105556&amp;s_z=0.0&amp;region=contiguous&amp;s_h_frame=NAD83_2011&amp;s_coor=geo&amp;s_v_frame=NAVD88&amp;s_v_unit=us_ft&amp;t_h_frame=NAD83_2011&amp;t_coor=geo&amp;t_v_frame=MLLW&amp;t_v_unit=us_ft", "NAVD88 to MLLW")</f>
        <v>0</v>
      </c>
      <c r="T216" s="2">
        <f>HYPERLINK("https://vdatum.noaa.gov/vdatumweb/api/convert?s_x=-73.09125&amp;s_y=40.72105556&amp;s_z=0.0&amp;region=contiguous&amp;s_h_frame=NAD83_2011&amp;s_coor=geo&amp;s_v_frame=NAVD88&amp;s_v_unit=us_ft&amp;t_h_frame=NAD83_2011&amp;t_coor=geo&amp;t_v_frame=MHHW&amp;t_v_unit=us_ft", "NAVD88 to MHHW")</f>
        <v>0</v>
      </c>
    </row>
    <row r="217" spans="1:20">
      <c r="A217" s="1" t="s">
        <v>241</v>
      </c>
      <c r="B217" s="1" t="s">
        <v>621</v>
      </c>
      <c r="D217" s="1" t="s">
        <v>652</v>
      </c>
      <c r="H217" s="1">
        <v>-73.6561111</v>
      </c>
      <c r="I217" s="1">
        <v>40.6088333</v>
      </c>
      <c r="J217" s="1">
        <f>HYPERLINK("https://waterdata.usgs.gov/nwis/nwismap/?site_no=01311143&amp;agency_cd=USGS", "US01311143")</f>
        <v>0</v>
      </c>
      <c r="K217" s="1" t="s">
        <v>860</v>
      </c>
      <c r="L217" s="1" t="s">
        <v>867</v>
      </c>
      <c r="M217" s="1">
        <v>5700588</v>
      </c>
      <c r="N217" s="1">
        <v>-0.342</v>
      </c>
      <c r="O217" s="1" t="s">
        <v>869</v>
      </c>
      <c r="P217" s="1" t="s">
        <v>874</v>
      </c>
      <c r="Q217" s="1">
        <v>2.793</v>
      </c>
      <c r="R217" s="1">
        <v>-2.242</v>
      </c>
      <c r="S217" s="2">
        <f>HYPERLINK("https://vdatum.noaa.gov/vdatumweb/api/convert?s_x=-73.6561111&amp;s_y=40.6088333&amp;s_z=0.0&amp;region=contiguous&amp;s_h_frame=NAD83_2011&amp;s_coor=geo&amp;s_v_frame=NAVD88&amp;s_v_unit=us_ft&amp;t_h_frame=NAD83_2011&amp;t_coor=geo&amp;t_v_frame=MLLW&amp;t_v_unit=us_ft", "NAVD88 to MLLW")</f>
        <v>0</v>
      </c>
      <c r="T217" s="2">
        <f>HYPERLINK("https://vdatum.noaa.gov/vdatumweb/api/convert?s_x=-73.6561111&amp;s_y=40.6088333&amp;s_z=0.0&amp;region=contiguous&amp;s_h_frame=NAD83_2011&amp;s_coor=geo&amp;s_v_frame=NAVD88&amp;s_v_unit=us_ft&amp;t_h_frame=NAD83_2011&amp;t_coor=geo&amp;t_v_frame=MHHW&amp;t_v_unit=us_ft", "NAVD88 to MHHW")</f>
        <v>0</v>
      </c>
    </row>
    <row r="218" spans="1:20">
      <c r="A218" s="1" t="s">
        <v>242</v>
      </c>
      <c r="B218" s="1" t="s">
        <v>621</v>
      </c>
      <c r="D218" s="1" t="s">
        <v>652</v>
      </c>
      <c r="E218" s="1" t="s">
        <v>726</v>
      </c>
      <c r="F218" s="1" t="s">
        <v>833</v>
      </c>
      <c r="G218" s="1" t="s">
        <v>854</v>
      </c>
      <c r="H218" s="1">
        <v>-74.12988889</v>
      </c>
      <c r="I218" s="1">
        <v>40.53888889</v>
      </c>
      <c r="J218" s="1">
        <f>HYPERLINK("https://waterdata.usgs.gov/nwis/nwismap/?site_no=01376562&amp;agency_cd=USGS", "US01376562")</f>
        <v>0</v>
      </c>
      <c r="K218" s="1" t="s">
        <v>860</v>
      </c>
      <c r="L218" s="1" t="s">
        <v>867</v>
      </c>
      <c r="M218" s="1">
        <v>7102279</v>
      </c>
      <c r="N218" s="1">
        <v>-0.326</v>
      </c>
      <c r="O218" s="1" t="s">
        <v>869</v>
      </c>
      <c r="P218" s="1" t="s">
        <v>874</v>
      </c>
      <c r="Q218" s="1">
        <v>3.023</v>
      </c>
      <c r="R218" s="1">
        <v>-2.366</v>
      </c>
      <c r="S218" s="2">
        <f>HYPERLINK("https://vdatum.noaa.gov/vdatumweb/api/convert?s_x=-74.12988889&amp;s_y=40.53888889&amp;s_z=0.0&amp;region=contiguous&amp;s_h_frame=NAD83_2011&amp;s_coor=geo&amp;s_v_frame=NAVD88&amp;s_v_unit=us_ft&amp;t_h_frame=NAD83_2011&amp;t_coor=geo&amp;t_v_frame=MLLW&amp;t_v_unit=us_ft", "NAVD88 to MLLW")</f>
        <v>0</v>
      </c>
      <c r="T218" s="2">
        <f>HYPERLINK("https://vdatum.noaa.gov/vdatumweb/api/convert?s_x=-74.12988889&amp;s_y=40.53888889&amp;s_z=0.0&amp;region=contiguous&amp;s_h_frame=NAD83_2011&amp;s_coor=geo&amp;s_v_frame=NAVD88&amp;s_v_unit=us_ft&amp;t_h_frame=NAD83_2011&amp;t_coor=geo&amp;t_v_frame=MHHW&amp;t_v_unit=us_ft", "NAVD88 to MHHW")</f>
        <v>0</v>
      </c>
    </row>
    <row r="219" spans="1:20">
      <c r="A219" s="1" t="s">
        <v>243</v>
      </c>
      <c r="B219" s="1" t="s">
        <v>622</v>
      </c>
      <c r="C219" s="1" t="s">
        <v>644</v>
      </c>
      <c r="D219" s="1" t="s">
        <v>652</v>
      </c>
      <c r="E219" s="1" t="s">
        <v>679</v>
      </c>
      <c r="F219" s="1" t="s">
        <v>842</v>
      </c>
      <c r="G219" s="1" t="s">
        <v>854</v>
      </c>
      <c r="H219" s="1">
        <v>-74.2817</v>
      </c>
      <c r="I219" s="1">
        <v>40.4917</v>
      </c>
      <c r="J219" s="1">
        <f>HYPERLINK("https://tidesandcurrents.noaa.gov/stationhome.html?id=8531232", "8531232")</f>
        <v>0</v>
      </c>
      <c r="K219" s="1" t="s">
        <v>860</v>
      </c>
      <c r="L219" s="1" t="s">
        <v>866</v>
      </c>
      <c r="M219" s="1">
        <v>2225068</v>
      </c>
      <c r="N219" s="1">
        <v>0</v>
      </c>
      <c r="O219" s="1" t="s">
        <v>869</v>
      </c>
      <c r="P219" s="1" t="s">
        <v>874</v>
      </c>
      <c r="Q219" s="1">
        <v>3.06</v>
      </c>
      <c r="R219" s="1">
        <v>-2.655</v>
      </c>
      <c r="S219" s="2">
        <f>HYPERLINK("https://vdatum.noaa.gov/vdatumweb/api/convert?s_x=-74.2817&amp;s_y=40.4917&amp;s_z=0.0&amp;region=contiguous&amp;s_h_frame=NAD83_2011&amp;s_coor=geo&amp;s_v_frame=NAVD88&amp;s_v_unit=us_ft&amp;t_h_frame=NAD83_2011&amp;t_coor=geo&amp;t_v_frame=MLLW&amp;t_v_unit=us_ft", "NAVD88 to MLLW")</f>
        <v>0</v>
      </c>
      <c r="T219" s="2">
        <f>HYPERLINK("https://vdatum.noaa.gov/vdatumweb/api/convert?s_x=-74.2817&amp;s_y=40.4917&amp;s_z=0.0&amp;region=contiguous&amp;s_h_frame=NAD83_2011&amp;s_coor=geo&amp;s_v_frame=NAVD88&amp;s_v_unit=us_ft&amp;t_h_frame=NAD83_2011&amp;t_coor=geo&amp;t_v_frame=MHHW&amp;t_v_unit=us_ft", "NAVD88 to MHHW")</f>
        <v>0</v>
      </c>
    </row>
    <row r="220" spans="1:20">
      <c r="A220" s="1" t="s">
        <v>244</v>
      </c>
      <c r="B220" s="1" t="s">
        <v>622</v>
      </c>
      <c r="C220" s="1" t="s">
        <v>644</v>
      </c>
      <c r="D220" s="1" t="s">
        <v>652</v>
      </c>
      <c r="E220" s="1" t="s">
        <v>679</v>
      </c>
      <c r="F220" s="1" t="s">
        <v>842</v>
      </c>
      <c r="G220" s="1" t="s">
        <v>854</v>
      </c>
      <c r="H220" s="1">
        <v>-74.2817</v>
      </c>
      <c r="I220" s="1">
        <v>40.4917</v>
      </c>
      <c r="J220" s="1">
        <f>HYPERLINK("https://tidesandcurrents.noaa.gov/stationhome.html?id=8531232", "8531232")</f>
        <v>0</v>
      </c>
      <c r="K220" s="1" t="s">
        <v>861</v>
      </c>
      <c r="L220" s="1" t="s">
        <v>866</v>
      </c>
      <c r="M220" s="1">
        <v>2225068</v>
      </c>
      <c r="N220" s="1">
        <v>0</v>
      </c>
      <c r="O220" s="1" t="s">
        <v>869</v>
      </c>
      <c r="P220" s="1" t="s">
        <v>874</v>
      </c>
      <c r="Q220" s="1">
        <v>3.06</v>
      </c>
      <c r="R220" s="1">
        <v>-2.655</v>
      </c>
      <c r="S220" s="2">
        <f>HYPERLINK("https://vdatum.noaa.gov/vdatumweb/api/convert?s_x=-74.2817&amp;s_y=40.4917&amp;s_z=0.0&amp;region=contiguous&amp;s_h_frame=NAD83_2011&amp;s_coor=geo&amp;s_v_frame=NAVD88&amp;s_v_unit=us_ft&amp;t_h_frame=NAD83_2011&amp;t_coor=geo&amp;t_v_frame=MLLW&amp;t_v_unit=us_ft", "NAVD88 to MLLW")</f>
        <v>0</v>
      </c>
      <c r="T220" s="2">
        <f>HYPERLINK("https://vdatum.noaa.gov/vdatumweb/api/convert?s_x=-74.2817&amp;s_y=40.4917&amp;s_z=0.0&amp;region=contiguous&amp;s_h_frame=NAD83_2011&amp;s_coor=geo&amp;s_v_frame=NAVD88&amp;s_v_unit=us_ft&amp;t_h_frame=NAD83_2011&amp;t_coor=geo&amp;t_v_frame=MHHW&amp;t_v_unit=us_ft", "NAVD88 to MHHW")</f>
        <v>0</v>
      </c>
    </row>
    <row r="221" spans="1:20">
      <c r="A221" s="1" t="s">
        <v>245</v>
      </c>
      <c r="B221" s="1" t="s">
        <v>622</v>
      </c>
      <c r="C221" s="1" t="s">
        <v>644</v>
      </c>
      <c r="D221" s="1" t="s">
        <v>652</v>
      </c>
      <c r="E221" s="1" t="s">
        <v>729</v>
      </c>
      <c r="F221" s="1" t="s">
        <v>842</v>
      </c>
      <c r="G221" s="1" t="s">
        <v>854</v>
      </c>
      <c r="H221" s="1">
        <v>-74.1433</v>
      </c>
      <c r="I221" s="1">
        <v>40.4483</v>
      </c>
      <c r="J221" s="1">
        <f>HYPERLINK("https://tidesandcurrents.noaa.gov/stationhome.html?id=8531592", "8531592")</f>
        <v>0</v>
      </c>
      <c r="K221" s="1" t="s">
        <v>860</v>
      </c>
      <c r="L221" s="1" t="s">
        <v>866</v>
      </c>
      <c r="M221" s="1">
        <v>4588067</v>
      </c>
      <c r="N221" s="1">
        <v>0</v>
      </c>
      <c r="O221" s="1" t="s">
        <v>869</v>
      </c>
      <c r="P221" s="1" t="s">
        <v>874</v>
      </c>
      <c r="Q221" s="1">
        <v>2.924</v>
      </c>
      <c r="R221" s="1">
        <v>-2.507</v>
      </c>
      <c r="S221" s="2">
        <f>HYPERLINK("https://vdatum.noaa.gov/vdatumweb/api/convert?s_x=-74.1433&amp;s_y=40.4483&amp;s_z=0.0&amp;region=contiguous&amp;s_h_frame=NAD83_2011&amp;s_coor=geo&amp;s_v_frame=NAVD88&amp;s_v_unit=us_ft&amp;t_h_frame=NAD83_2011&amp;t_coor=geo&amp;t_v_frame=MLLW&amp;t_v_unit=us_ft", "NAVD88 to MLLW")</f>
        <v>0</v>
      </c>
      <c r="T221" s="2">
        <f>HYPERLINK("https://vdatum.noaa.gov/vdatumweb/api/convert?s_x=-74.1433&amp;s_y=40.4483&amp;s_z=0.0&amp;region=contiguous&amp;s_h_frame=NAD83_2011&amp;s_coor=geo&amp;s_v_frame=NAVD88&amp;s_v_unit=us_ft&amp;t_h_frame=NAD83_2011&amp;t_coor=geo&amp;t_v_frame=MHHW&amp;t_v_unit=us_ft", "NAVD88 to MHHW")</f>
        <v>0</v>
      </c>
    </row>
    <row r="222" spans="1:20">
      <c r="A222" s="1" t="s">
        <v>246</v>
      </c>
      <c r="B222" s="1" t="s">
        <v>622</v>
      </c>
      <c r="D222" s="1" t="s">
        <v>652</v>
      </c>
      <c r="H222" s="1">
        <v>-73.97499999999999</v>
      </c>
      <c r="I222" s="1">
        <v>40.365</v>
      </c>
      <c r="J222" s="1">
        <f>HYPERLINK("https://tidesandcurrents.noaa.gov/stationhome.html?id=8531804", "8531804")</f>
        <v>0</v>
      </c>
      <c r="K222" s="1" t="s">
        <v>860</v>
      </c>
      <c r="L222" s="1" t="s">
        <v>866</v>
      </c>
      <c r="M222" s="1">
        <v>1800180</v>
      </c>
      <c r="N222" s="1">
        <v>0</v>
      </c>
      <c r="O222" s="1" t="s">
        <v>869</v>
      </c>
      <c r="P222" s="1" t="s">
        <v>874</v>
      </c>
      <c r="Q222" s="1">
        <v>2.096</v>
      </c>
      <c r="R222" s="1">
        <v>-1.775</v>
      </c>
      <c r="S222" s="2">
        <f>HYPERLINK("https://vdatum.noaa.gov/vdatumweb/api/convert?s_x=-73.975&amp;s_y=40.365&amp;s_z=0.0&amp;region=contiguous&amp;s_h_frame=NAD83_2011&amp;s_coor=geo&amp;s_v_frame=NAVD88&amp;s_v_unit=us_ft&amp;t_h_frame=NAD83_2011&amp;t_coor=geo&amp;t_v_frame=MLLW&amp;t_v_unit=us_ft", "NAVD88 to MLLW")</f>
        <v>0</v>
      </c>
      <c r="T222" s="2">
        <f>HYPERLINK("https://vdatum.noaa.gov/vdatumweb/api/convert?s_x=-73.975&amp;s_y=40.365&amp;s_z=0.0&amp;region=contiguous&amp;s_h_frame=NAD83_2011&amp;s_coor=geo&amp;s_v_frame=NAVD88&amp;s_v_unit=us_ft&amp;t_h_frame=NAD83_2011&amp;t_coor=geo&amp;t_v_frame=MHHW&amp;t_v_unit=us_ft", "NAVD88 to MHHW")</f>
        <v>0</v>
      </c>
    </row>
    <row r="223" spans="1:20">
      <c r="A223" s="1" t="s">
        <v>247</v>
      </c>
      <c r="B223" s="1" t="s">
        <v>622</v>
      </c>
      <c r="D223" s="1" t="s">
        <v>652</v>
      </c>
      <c r="H223" s="1">
        <v>-74.00830000000001</v>
      </c>
      <c r="I223" s="1">
        <v>40.185</v>
      </c>
      <c r="J223" s="1">
        <f>HYPERLINK("https://tidesandcurrents.noaa.gov/stationhome.html?id=8532337", "8532337")</f>
        <v>0</v>
      </c>
      <c r="K223" s="1" t="s">
        <v>860</v>
      </c>
      <c r="L223" s="1" t="s">
        <v>866</v>
      </c>
      <c r="M223" s="1">
        <v>1979602</v>
      </c>
      <c r="N223" s="1">
        <v>0</v>
      </c>
      <c r="O223" s="1" t="s">
        <v>869</v>
      </c>
      <c r="P223" s="1" t="s">
        <v>874</v>
      </c>
      <c r="Q223" s="1">
        <v>2.495</v>
      </c>
      <c r="R223" s="1">
        <v>-2.248</v>
      </c>
      <c r="S223" s="2">
        <f>HYPERLINK("https://vdatum.noaa.gov/vdatumweb/api/convert?s_x=-74.0083&amp;s_y=40.185&amp;s_z=0.0&amp;region=contiguous&amp;s_h_frame=NAD83_2011&amp;s_coor=geo&amp;s_v_frame=NAVD88&amp;s_v_unit=us_ft&amp;t_h_frame=NAD83_2011&amp;t_coor=geo&amp;t_v_frame=MLLW&amp;t_v_unit=us_ft", "NAVD88 to MLLW")</f>
        <v>0</v>
      </c>
      <c r="T223" s="2">
        <f>HYPERLINK("https://vdatum.noaa.gov/vdatumweb/api/convert?s_x=-74.0083&amp;s_y=40.185&amp;s_z=0.0&amp;region=contiguous&amp;s_h_frame=NAD83_2011&amp;s_coor=geo&amp;s_v_frame=NAVD88&amp;s_v_unit=us_ft&amp;t_h_frame=NAD83_2011&amp;t_coor=geo&amp;t_v_frame=MHHW&amp;t_v_unit=us_ft", "NAVD88 to MHHW")</f>
        <v>0</v>
      </c>
    </row>
    <row r="224" spans="1:20">
      <c r="A224" s="1" t="s">
        <v>248</v>
      </c>
      <c r="B224" s="1" t="s">
        <v>622</v>
      </c>
      <c r="D224" s="1" t="s">
        <v>652</v>
      </c>
      <c r="H224" s="1">
        <v>-74.05329999999999</v>
      </c>
      <c r="I224" s="1">
        <v>40.0367</v>
      </c>
      <c r="J224" s="1">
        <f>HYPERLINK("https://tidesandcurrents.noaa.gov/stationhome.html?id=8532786", "8532786")</f>
        <v>0</v>
      </c>
      <c r="K224" s="1" t="s">
        <v>860</v>
      </c>
      <c r="L224" s="1" t="s">
        <v>866</v>
      </c>
      <c r="M224" s="1">
        <v>1979717</v>
      </c>
      <c r="N224" s="1">
        <v>0</v>
      </c>
      <c r="O224" s="1" t="s">
        <v>869</v>
      </c>
      <c r="P224" s="1" t="s">
        <v>874</v>
      </c>
      <c r="Q224" s="1">
        <v>0.311</v>
      </c>
      <c r="R224" s="1">
        <v>-0.334</v>
      </c>
      <c r="S224" s="2">
        <f>HYPERLINK("https://vdatum.noaa.gov/vdatumweb/api/convert?s_x=-74.0533&amp;s_y=40.0367&amp;s_z=0.0&amp;region=contiguous&amp;s_h_frame=NAD83_2011&amp;s_coor=geo&amp;s_v_frame=NAVD88&amp;s_v_unit=us_ft&amp;t_h_frame=NAD83_2011&amp;t_coor=geo&amp;t_v_frame=MLLW&amp;t_v_unit=us_ft", "NAVD88 to MLLW")</f>
        <v>0</v>
      </c>
      <c r="T224" s="2">
        <f>HYPERLINK("https://vdatum.noaa.gov/vdatumweb/api/convert?s_x=-74.0533&amp;s_y=40.0367&amp;s_z=0.0&amp;region=contiguous&amp;s_h_frame=NAD83_2011&amp;s_coor=geo&amp;s_v_frame=NAVD88&amp;s_v_unit=us_ft&amp;t_h_frame=NAD83_2011&amp;t_coor=geo&amp;t_v_frame=MHHW&amp;t_v_unit=us_ft", "NAVD88 to MHHW")</f>
        <v>0</v>
      </c>
    </row>
    <row r="225" spans="1:20">
      <c r="A225" s="1" t="s">
        <v>249</v>
      </c>
      <c r="B225" s="1" t="s">
        <v>622</v>
      </c>
      <c r="C225" s="1" t="s">
        <v>644</v>
      </c>
      <c r="D225" s="1" t="s">
        <v>652</v>
      </c>
      <c r="E225" s="1" t="s">
        <v>730</v>
      </c>
      <c r="F225" s="1" t="s">
        <v>842</v>
      </c>
      <c r="G225" s="1" t="s">
        <v>854</v>
      </c>
      <c r="H225" s="1">
        <v>-74.11499999999999</v>
      </c>
      <c r="I225" s="1">
        <v>39.9483</v>
      </c>
      <c r="J225" s="1">
        <f>HYPERLINK("https://tidesandcurrents.noaa.gov/stationhome.html?id=8533055", "8533055")</f>
        <v>0</v>
      </c>
      <c r="K225" s="1" t="s">
        <v>860</v>
      </c>
      <c r="L225" s="1" t="s">
        <v>866</v>
      </c>
      <c r="M225" s="1">
        <v>3644325</v>
      </c>
      <c r="N225" s="1">
        <v>0</v>
      </c>
      <c r="O225" s="1" t="s">
        <v>869</v>
      </c>
      <c r="P225" s="1" t="s">
        <v>874</v>
      </c>
      <c r="Q225" s="1">
        <v>0.458</v>
      </c>
      <c r="R225" s="1">
        <v>-0.352</v>
      </c>
      <c r="S225" s="2">
        <f>HYPERLINK("https://vdatum.noaa.gov/vdatumweb/api/convert?s_x=-74.115&amp;s_y=39.9483&amp;s_z=0.0&amp;region=contiguous&amp;s_h_frame=NAD83_2011&amp;s_coor=geo&amp;s_v_frame=NAVD88&amp;s_v_unit=us_ft&amp;t_h_frame=NAD83_2011&amp;t_coor=geo&amp;t_v_frame=MLLW&amp;t_v_unit=us_ft", "NAVD88 to MLLW")</f>
        <v>0</v>
      </c>
      <c r="T225" s="2">
        <f>HYPERLINK("https://vdatum.noaa.gov/vdatumweb/api/convert?s_x=-74.115&amp;s_y=39.9483&amp;s_z=0.0&amp;region=contiguous&amp;s_h_frame=NAD83_2011&amp;s_coor=geo&amp;s_v_frame=NAVD88&amp;s_v_unit=us_ft&amp;t_h_frame=NAD83_2011&amp;t_coor=geo&amp;t_v_frame=MHHW&amp;t_v_unit=us_ft", "NAVD88 to MHHW")</f>
        <v>0</v>
      </c>
    </row>
    <row r="226" spans="1:20">
      <c r="A226" s="1" t="s">
        <v>250</v>
      </c>
      <c r="B226" s="1" t="s">
        <v>622</v>
      </c>
      <c r="D226" s="1" t="s">
        <v>652</v>
      </c>
      <c r="H226" s="1">
        <v>-74.18170000000001</v>
      </c>
      <c r="I226" s="1">
        <v>39.7917</v>
      </c>
      <c r="J226" s="1">
        <f>HYPERLINK("https://tidesandcurrents.noaa.gov/stationhome.html?id=8533541", "8533541")</f>
        <v>0</v>
      </c>
      <c r="K226" s="1" t="s">
        <v>860</v>
      </c>
      <c r="L226" s="1" t="s">
        <v>866</v>
      </c>
      <c r="M226" s="1">
        <v>5067738</v>
      </c>
      <c r="N226" s="1">
        <v>0</v>
      </c>
      <c r="O226" s="1" t="s">
        <v>869</v>
      </c>
      <c r="P226" s="1" t="s">
        <v>874</v>
      </c>
      <c r="Q226" s="1">
        <v>0.517</v>
      </c>
      <c r="R226" s="1">
        <v>-0.436</v>
      </c>
      <c r="S226" s="2">
        <f>HYPERLINK("https://vdatum.noaa.gov/vdatumweb/api/convert?s_x=-74.1817&amp;s_y=39.7917&amp;s_z=0.0&amp;region=contiguous&amp;s_h_frame=NAD83_2011&amp;s_coor=geo&amp;s_v_frame=NAVD88&amp;s_v_unit=us_ft&amp;t_h_frame=NAD83_2011&amp;t_coor=geo&amp;t_v_frame=MLLW&amp;t_v_unit=us_ft", "NAVD88 to MLLW")</f>
        <v>0</v>
      </c>
      <c r="T226" s="2">
        <f>HYPERLINK("https://vdatum.noaa.gov/vdatumweb/api/convert?s_x=-74.1817&amp;s_y=39.7917&amp;s_z=0.0&amp;region=contiguous&amp;s_h_frame=NAD83_2011&amp;s_coor=geo&amp;s_v_frame=NAVD88&amp;s_v_unit=us_ft&amp;t_h_frame=NAD83_2011&amp;t_coor=geo&amp;t_v_frame=MHHW&amp;t_v_unit=us_ft", "NAVD88 to MHHW")</f>
        <v>0</v>
      </c>
    </row>
    <row r="227" spans="1:20">
      <c r="A227" s="1" t="s">
        <v>251</v>
      </c>
      <c r="B227" s="1" t="s">
        <v>622</v>
      </c>
      <c r="D227" s="1" t="s">
        <v>652</v>
      </c>
      <c r="H227" s="1">
        <v>-74.1117</v>
      </c>
      <c r="I227" s="1">
        <v>39.7617</v>
      </c>
      <c r="J227" s="1">
        <f>HYPERLINK("https://tidesandcurrents.noaa.gov/stationhome.html?id=8533615", "8533615")</f>
        <v>0</v>
      </c>
      <c r="K227" s="1" t="s">
        <v>860</v>
      </c>
      <c r="L227" s="1" t="s">
        <v>866</v>
      </c>
      <c r="M227" s="1">
        <v>3964932</v>
      </c>
      <c r="N227" s="1">
        <v>0</v>
      </c>
      <c r="O227" s="1" t="s">
        <v>869</v>
      </c>
      <c r="P227" s="1" t="s">
        <v>874</v>
      </c>
      <c r="Q227" s="1">
        <v>1.187</v>
      </c>
      <c r="R227" s="1">
        <v>-1.32</v>
      </c>
      <c r="S227" s="2">
        <f>HYPERLINK("https://vdatum.noaa.gov/vdatumweb/api/convert?s_x=-74.1117&amp;s_y=39.7617&amp;s_z=0.0&amp;region=contiguous&amp;s_h_frame=NAD83_2011&amp;s_coor=geo&amp;s_v_frame=NAVD88&amp;s_v_unit=us_ft&amp;t_h_frame=NAD83_2011&amp;t_coor=geo&amp;t_v_frame=MLLW&amp;t_v_unit=us_ft", "NAVD88 to MLLW")</f>
        <v>0</v>
      </c>
      <c r="T227" s="2">
        <f>HYPERLINK("https://vdatum.noaa.gov/vdatumweb/api/convert?s_x=-74.1117&amp;s_y=39.7617&amp;s_z=0.0&amp;region=contiguous&amp;s_h_frame=NAD83_2011&amp;s_coor=geo&amp;s_v_frame=NAVD88&amp;s_v_unit=us_ft&amp;t_h_frame=NAD83_2011&amp;t_coor=geo&amp;t_v_frame=MHHW&amp;t_v_unit=us_ft", "NAVD88 to MHHW")</f>
        <v>0</v>
      </c>
    </row>
    <row r="228" spans="1:20">
      <c r="A228" s="1" t="s">
        <v>252</v>
      </c>
      <c r="B228" s="1" t="s">
        <v>622</v>
      </c>
      <c r="D228" s="1" t="s">
        <v>652</v>
      </c>
      <c r="H228" s="1">
        <v>-74.185</v>
      </c>
      <c r="I228" s="1">
        <v>39.6533</v>
      </c>
      <c r="J228" s="1">
        <f>HYPERLINK("https://tidesandcurrents.noaa.gov/stationhome.html?id=8533935", "8533935")</f>
        <v>0</v>
      </c>
      <c r="K228" s="1" t="s">
        <v>860</v>
      </c>
      <c r="L228" s="1" t="s">
        <v>866</v>
      </c>
      <c r="M228" s="1">
        <v>3645047</v>
      </c>
      <c r="N228" s="1">
        <v>0</v>
      </c>
      <c r="O228" s="1" t="s">
        <v>869</v>
      </c>
      <c r="P228" s="1" t="s">
        <v>874</v>
      </c>
      <c r="Q228" s="1">
        <v>0.947</v>
      </c>
      <c r="R228" s="1">
        <v>-0.997</v>
      </c>
      <c r="S228" s="2">
        <f>HYPERLINK("https://vdatum.noaa.gov/vdatumweb/api/convert?s_x=-74.185&amp;s_y=39.6533&amp;s_z=0.0&amp;region=contiguous&amp;s_h_frame=NAD83_2011&amp;s_coor=geo&amp;s_v_frame=NAVD88&amp;s_v_unit=us_ft&amp;t_h_frame=NAD83_2011&amp;t_coor=geo&amp;t_v_frame=MLLW&amp;t_v_unit=us_ft", "NAVD88 to MLLW")</f>
        <v>0</v>
      </c>
      <c r="T228" s="2">
        <f>HYPERLINK("https://vdatum.noaa.gov/vdatumweb/api/convert?s_x=-74.185&amp;s_y=39.6533&amp;s_z=0.0&amp;region=contiguous&amp;s_h_frame=NAD83_2011&amp;s_coor=geo&amp;s_v_frame=NAVD88&amp;s_v_unit=us_ft&amp;t_h_frame=NAD83_2011&amp;t_coor=geo&amp;t_v_frame=MHHW&amp;t_v_unit=us_ft", "NAVD88 to MHHW")</f>
        <v>0</v>
      </c>
    </row>
    <row r="229" spans="1:20">
      <c r="A229" s="1" t="s">
        <v>253</v>
      </c>
      <c r="B229" s="1" t="s">
        <v>622</v>
      </c>
      <c r="D229" s="1" t="s">
        <v>652</v>
      </c>
      <c r="E229" s="1" t="s">
        <v>730</v>
      </c>
      <c r="F229" s="1" t="s">
        <v>842</v>
      </c>
      <c r="G229" s="1" t="s">
        <v>854</v>
      </c>
      <c r="H229" s="1">
        <v>-74.325</v>
      </c>
      <c r="I229" s="1">
        <v>39.5083</v>
      </c>
      <c r="J229" s="1">
        <f>HYPERLINK("https://tidesandcurrents.noaa.gov/stationhome.html?id=8534319", "8534319")</f>
        <v>0</v>
      </c>
      <c r="K229" s="1" t="s">
        <v>860</v>
      </c>
      <c r="L229" s="1" t="s">
        <v>866</v>
      </c>
      <c r="M229" s="1">
        <v>4264448</v>
      </c>
      <c r="N229" s="1">
        <v>0</v>
      </c>
      <c r="O229" s="1" t="s">
        <v>869</v>
      </c>
      <c r="P229" s="1" t="s">
        <v>874</v>
      </c>
      <c r="Q229" s="1">
        <v>1.839</v>
      </c>
      <c r="R229" s="1">
        <v>-1.578</v>
      </c>
      <c r="S229" s="2">
        <f>HYPERLINK("https://vdatum.noaa.gov/vdatumweb/api/convert?s_x=-74.325&amp;s_y=39.5083&amp;s_z=0.0&amp;region=contiguous&amp;s_h_frame=NAD83_2011&amp;s_coor=geo&amp;s_v_frame=NAVD88&amp;s_v_unit=us_ft&amp;t_h_frame=NAD83_2011&amp;t_coor=geo&amp;t_v_frame=MLLW&amp;t_v_unit=us_ft", "NAVD88 to MLLW")</f>
        <v>0</v>
      </c>
      <c r="T229" s="2">
        <f>HYPERLINK("https://vdatum.noaa.gov/vdatumweb/api/convert?s_x=-74.325&amp;s_y=39.5083&amp;s_z=0.0&amp;region=contiguous&amp;s_h_frame=NAD83_2011&amp;s_coor=geo&amp;s_v_frame=NAVD88&amp;s_v_unit=us_ft&amp;t_h_frame=NAD83_2011&amp;t_coor=geo&amp;t_v_frame=MHHW&amp;t_v_unit=us_ft", "NAVD88 to MHHW")</f>
        <v>0</v>
      </c>
    </row>
    <row r="230" spans="1:20">
      <c r="A230" s="1" t="s">
        <v>254</v>
      </c>
      <c r="B230" s="1" t="s">
        <v>622</v>
      </c>
      <c r="C230" s="1" t="s">
        <v>644</v>
      </c>
      <c r="D230" s="1" t="s">
        <v>652</v>
      </c>
      <c r="E230" s="1" t="s">
        <v>731</v>
      </c>
      <c r="F230" s="1" t="s">
        <v>842</v>
      </c>
      <c r="G230" s="1" t="s">
        <v>854</v>
      </c>
      <c r="H230" s="1">
        <v>-74.5</v>
      </c>
      <c r="I230" s="1">
        <v>39.4233</v>
      </c>
      <c r="J230" s="1">
        <f>HYPERLINK("https://tidesandcurrents.noaa.gov/stationhome.html?id=8534540", "8534540")</f>
        <v>0</v>
      </c>
      <c r="K230" s="1" t="s">
        <v>860</v>
      </c>
      <c r="L230" s="1" t="s">
        <v>866</v>
      </c>
      <c r="M230" s="1">
        <v>4115144</v>
      </c>
      <c r="N230" s="1">
        <v>0</v>
      </c>
      <c r="O230" s="1" t="s">
        <v>869</v>
      </c>
      <c r="P230" s="1" t="s">
        <v>873</v>
      </c>
      <c r="Q230" s="1">
        <v>-999999</v>
      </c>
      <c r="R230" s="1">
        <v>-999999</v>
      </c>
      <c r="S230" s="2">
        <f>HYPERLINK("https://vdatum.noaa.gov/vdatumweb/api/convert?s_x=-74.5&amp;s_y=39.4233&amp;s_z=0.0&amp;region=chesapeak_delaware&amp;s_h_frame=NAD83_2011&amp;s_coor=geo&amp;s_v_frame=NAVD88&amp;s_v_unit=us_ft&amp;t_h_frame=IGS14&amp;t_coor=geo&amp;t_v_frame=MLLW&amp;t_v_unit=us_ft", "Missing")</f>
        <v>0</v>
      </c>
      <c r="T230" s="2">
        <f>HYPERLINK("https://vdatum.noaa.gov/vdatumweb/api/convert?s_x=-74.5&amp;s_y=39.4233&amp;s_z=0.0&amp;region=chesapeak_delaware&amp;s_h_frame=NAD83_2011&amp;s_coor=geo&amp;s_v_frame=NAVD88&amp;s_v_unit=us_ft&amp;t_h_frame=IGS14&amp;t_coor=geo&amp;t_v_frame=MHHW&amp;t_v_unit=us_ft", "Missing")</f>
        <v>0</v>
      </c>
    </row>
    <row r="231" spans="1:20">
      <c r="A231" s="1" t="s">
        <v>255</v>
      </c>
      <c r="B231" s="1" t="s">
        <v>622</v>
      </c>
      <c r="D231" s="1" t="s">
        <v>652</v>
      </c>
      <c r="E231" s="1" t="s">
        <v>731</v>
      </c>
      <c r="F231" s="1" t="s">
        <v>842</v>
      </c>
      <c r="G231" s="1" t="s">
        <v>854</v>
      </c>
      <c r="H231" s="1">
        <v>-74.425</v>
      </c>
      <c r="I231" s="1">
        <v>39.385</v>
      </c>
      <c r="J231" s="1">
        <f>HYPERLINK("https://tidesandcurrents.noaa.gov/stationhome.html?id=8534638", "8534638")</f>
        <v>0</v>
      </c>
      <c r="K231" s="1" t="s">
        <v>860</v>
      </c>
      <c r="L231" s="1" t="s">
        <v>866</v>
      </c>
      <c r="M231" s="1">
        <v>5313081</v>
      </c>
      <c r="N231" s="1">
        <v>0</v>
      </c>
      <c r="O231" s="1" t="s">
        <v>869</v>
      </c>
      <c r="P231" s="1" t="s">
        <v>873</v>
      </c>
      <c r="Q231" s="1">
        <v>2.316</v>
      </c>
      <c r="R231" s="1">
        <v>-2.077</v>
      </c>
      <c r="S231" s="2">
        <f>HYPERLINK("https://vdatum.noaa.gov/vdatumweb/api/convert?s_x=-74.425&amp;s_y=39.385&amp;s_z=0.0&amp;region=chesapeak_delaware&amp;s_h_frame=NAD83_2011&amp;s_coor=geo&amp;s_v_frame=NAVD88&amp;s_v_unit=us_ft&amp;t_h_frame=IGS14&amp;t_coor=geo&amp;t_v_frame=MLLW&amp;t_v_unit=us_ft", "NAVD88 to MLLW")</f>
        <v>0</v>
      </c>
      <c r="T231" s="2">
        <f>HYPERLINK("https://vdatum.noaa.gov/vdatumweb/api/convert?s_x=-74.425&amp;s_y=39.385&amp;s_z=0.0&amp;region=chesapeak_delaware&amp;s_h_frame=NAD83_2011&amp;s_coor=geo&amp;s_v_frame=NAVD88&amp;s_v_unit=us_ft&amp;t_h_frame=IGS14&amp;t_coor=geo&amp;t_v_frame=MHHW&amp;t_v_unit=us_ft", "NAVD88 to MHHW")</f>
        <v>0</v>
      </c>
    </row>
    <row r="232" spans="1:20">
      <c r="A232" s="1" t="s">
        <v>256</v>
      </c>
      <c r="B232" s="1" t="s">
        <v>622</v>
      </c>
      <c r="D232" s="1" t="s">
        <v>652</v>
      </c>
      <c r="H232" s="1">
        <v>-74.4181</v>
      </c>
      <c r="I232" s="1">
        <v>39.35667</v>
      </c>
      <c r="J232" s="1">
        <f>HYPERLINK("https://tidesandcurrents.noaa.gov/stationhome.html?id=8534720", "8534720")</f>
        <v>0</v>
      </c>
      <c r="K232" s="1" t="s">
        <v>860</v>
      </c>
      <c r="L232" s="1" t="s">
        <v>866</v>
      </c>
      <c r="M232" s="1">
        <v>1980212</v>
      </c>
      <c r="N232" s="1">
        <v>0</v>
      </c>
      <c r="O232" s="1" t="s">
        <v>869</v>
      </c>
      <c r="P232" s="1" t="s">
        <v>873</v>
      </c>
      <c r="Q232" s="1">
        <v>1.453</v>
      </c>
      <c r="R232" s="1">
        <v>-3.146</v>
      </c>
      <c r="S232" s="2">
        <f>HYPERLINK("https://vdatum.noaa.gov/vdatumweb/api/convert?s_x=-74.4181&amp;s_y=39.35667&amp;s_z=0.0&amp;region=chesapeak_delaware&amp;s_h_frame=NAD83_2011&amp;s_coor=geo&amp;s_v_frame=NAVD88&amp;s_v_unit=us_ft&amp;t_h_frame=IGS14&amp;t_coor=geo&amp;t_v_frame=MLLW&amp;t_v_unit=us_ft", "NAVD88 to MLLW")</f>
        <v>0</v>
      </c>
      <c r="T232" s="2">
        <f>HYPERLINK("https://vdatum.noaa.gov/vdatumweb/api/convert?s_x=-74.4181&amp;s_y=39.35667&amp;s_z=0.0&amp;region=chesapeak_delaware&amp;s_h_frame=NAD83_2011&amp;s_coor=geo&amp;s_v_frame=NAVD88&amp;s_v_unit=us_ft&amp;t_h_frame=IGS14&amp;t_coor=geo&amp;t_v_frame=MHHW&amp;t_v_unit=us_ft", "NAVD88 to MHHW")</f>
        <v>0</v>
      </c>
    </row>
    <row r="233" spans="1:20">
      <c r="A233" s="1" t="s">
        <v>257</v>
      </c>
      <c r="B233" s="1" t="s">
        <v>622</v>
      </c>
      <c r="D233" s="1" t="s">
        <v>652</v>
      </c>
      <c r="H233" s="1">
        <v>-74.5333</v>
      </c>
      <c r="I233" s="1">
        <v>39.3083</v>
      </c>
      <c r="J233" s="1">
        <f>HYPERLINK("https://tidesandcurrents.noaa.gov/stationhome.html?id=8534836", "8534836")</f>
        <v>0</v>
      </c>
      <c r="K233" s="1" t="s">
        <v>860</v>
      </c>
      <c r="L233" s="1" t="s">
        <v>866</v>
      </c>
      <c r="M233" s="1">
        <v>3126752</v>
      </c>
      <c r="N233" s="1">
        <v>-0.436</v>
      </c>
      <c r="O233" s="1" t="s">
        <v>869</v>
      </c>
      <c r="P233" s="1" t="s">
        <v>873</v>
      </c>
      <c r="Q233" s="1">
        <v>2.339</v>
      </c>
      <c r="R233" s="1">
        <v>-2.041</v>
      </c>
      <c r="S233" s="2">
        <f>HYPERLINK("https://vdatum.noaa.gov/vdatumweb/api/convert?s_x=-74.5333&amp;s_y=39.3083&amp;s_z=0.0&amp;region=chesapeak_delaware&amp;s_h_frame=NAD83_2011&amp;s_coor=geo&amp;s_v_frame=NAVD88&amp;s_v_unit=us_ft&amp;t_h_frame=IGS14&amp;t_coor=geo&amp;t_v_frame=MLLW&amp;t_v_unit=us_ft", "NAVD88 to MLLW")</f>
        <v>0</v>
      </c>
      <c r="T233" s="2">
        <f>HYPERLINK("https://vdatum.noaa.gov/vdatumweb/api/convert?s_x=-74.5333&amp;s_y=39.3083&amp;s_z=0.0&amp;region=chesapeak_delaware&amp;s_h_frame=NAD83_2011&amp;s_coor=geo&amp;s_v_frame=NAVD88&amp;s_v_unit=us_ft&amp;t_h_frame=IGS14&amp;t_coor=geo&amp;t_v_frame=MHHW&amp;t_v_unit=us_ft", "NAVD88 to MHHW")</f>
        <v>0</v>
      </c>
    </row>
    <row r="234" spans="1:20">
      <c r="A234" s="1" t="s">
        <v>258</v>
      </c>
      <c r="B234" s="1" t="s">
        <v>622</v>
      </c>
      <c r="D234" s="1" t="s">
        <v>652</v>
      </c>
      <c r="H234" s="1">
        <v>-74.6283</v>
      </c>
      <c r="I234" s="1">
        <v>39.2883</v>
      </c>
      <c r="J234" s="1">
        <f>HYPERLINK("https://tidesandcurrents.noaa.gov/stationhome.html?id=8534975", "8534975")</f>
        <v>0</v>
      </c>
      <c r="K234" s="1" t="s">
        <v>860</v>
      </c>
      <c r="L234" s="1" t="s">
        <v>866</v>
      </c>
      <c r="M234" s="1">
        <v>4117734</v>
      </c>
      <c r="N234" s="1">
        <v>0</v>
      </c>
      <c r="O234" s="1" t="s">
        <v>869</v>
      </c>
      <c r="P234" s="1" t="s">
        <v>873</v>
      </c>
      <c r="Q234" s="1">
        <v>2.139</v>
      </c>
      <c r="R234" s="1">
        <v>-2.234</v>
      </c>
      <c r="S234" s="2">
        <f>HYPERLINK("https://vdatum.noaa.gov/vdatumweb/api/convert?s_x=-74.6283&amp;s_y=39.2883&amp;s_z=0.0&amp;region=chesapeak_delaware&amp;s_h_frame=NAD83_2011&amp;s_coor=geo&amp;s_v_frame=NAVD88&amp;s_v_unit=us_ft&amp;t_h_frame=IGS14&amp;t_coor=geo&amp;t_v_frame=MLLW&amp;t_v_unit=us_ft", "NAVD88 to MLLW")</f>
        <v>0</v>
      </c>
      <c r="T234" s="2">
        <f>HYPERLINK("https://vdatum.noaa.gov/vdatumweb/api/convert?s_x=-74.6283&amp;s_y=39.2883&amp;s_z=0.0&amp;region=chesapeak_delaware&amp;s_h_frame=NAD83_2011&amp;s_coor=geo&amp;s_v_frame=NAVD88&amp;s_v_unit=us_ft&amp;t_h_frame=IGS14&amp;t_coor=geo&amp;t_v_frame=MHHW&amp;t_v_unit=us_ft", "NAVD88 to MHHW")</f>
        <v>0</v>
      </c>
    </row>
    <row r="235" spans="1:20">
      <c r="A235" s="1" t="s">
        <v>259</v>
      </c>
      <c r="B235" s="1" t="s">
        <v>622</v>
      </c>
      <c r="C235" s="1" t="s">
        <v>644</v>
      </c>
      <c r="D235" s="1" t="s">
        <v>652</v>
      </c>
      <c r="E235" s="1" t="s">
        <v>732</v>
      </c>
      <c r="F235" s="1" t="s">
        <v>842</v>
      </c>
      <c r="G235" s="1" t="s">
        <v>854</v>
      </c>
      <c r="H235" s="1">
        <v>-74.70999999999999</v>
      </c>
      <c r="I235" s="1">
        <v>39.1767</v>
      </c>
      <c r="J235" s="1">
        <f>HYPERLINK("https://tidesandcurrents.noaa.gov/stationhome.html?id=8535221", "8535221")</f>
        <v>0</v>
      </c>
      <c r="K235" s="1" t="s">
        <v>860</v>
      </c>
      <c r="L235" s="1" t="s">
        <v>866</v>
      </c>
      <c r="M235" s="1">
        <v>5431716</v>
      </c>
      <c r="N235" s="1">
        <v>0</v>
      </c>
      <c r="O235" s="1" t="s">
        <v>869</v>
      </c>
      <c r="P235" s="1" t="s">
        <v>873</v>
      </c>
      <c r="Q235" s="1">
        <v>2.507</v>
      </c>
      <c r="R235" s="1">
        <v>-1.962</v>
      </c>
      <c r="S235" s="2">
        <f>HYPERLINK("https://vdatum.noaa.gov/vdatumweb/api/convert?s_x=-74.71&amp;s_y=39.1767&amp;s_z=0.0&amp;region=chesapeak_delaware&amp;s_h_frame=NAD83_2011&amp;s_coor=geo&amp;s_v_frame=NAVD88&amp;s_v_unit=us_ft&amp;t_h_frame=IGS14&amp;t_coor=geo&amp;t_v_frame=MLLW&amp;t_v_unit=us_ft", "NAVD88 to MLLW")</f>
        <v>0</v>
      </c>
      <c r="T235" s="2">
        <f>HYPERLINK("https://vdatum.noaa.gov/vdatumweb/api/convert?s_x=-74.71&amp;s_y=39.1767&amp;s_z=0.0&amp;region=chesapeak_delaware&amp;s_h_frame=NAD83_2011&amp;s_coor=geo&amp;s_v_frame=NAVD88&amp;s_v_unit=us_ft&amp;t_h_frame=IGS14&amp;t_coor=geo&amp;t_v_frame=MHHW&amp;t_v_unit=us_ft", "NAVD88 to MHHW")</f>
        <v>0</v>
      </c>
    </row>
    <row r="236" spans="1:20">
      <c r="A236" s="1" t="s">
        <v>260</v>
      </c>
      <c r="B236" s="1" t="s">
        <v>622</v>
      </c>
      <c r="C236" s="1" t="s">
        <v>644</v>
      </c>
      <c r="D236" s="1" t="s">
        <v>652</v>
      </c>
      <c r="H236" s="1">
        <v>-74.7383</v>
      </c>
      <c r="I236" s="1">
        <v>39.11</v>
      </c>
      <c r="J236" s="1">
        <f>HYPERLINK("https://tidesandcurrents.noaa.gov/stationhome.html?id=8535419", "8535419")</f>
        <v>0</v>
      </c>
      <c r="K236" s="1" t="s">
        <v>860</v>
      </c>
      <c r="L236" s="1" t="s">
        <v>866</v>
      </c>
      <c r="M236" s="1">
        <v>6382209</v>
      </c>
      <c r="N236" s="1">
        <v>0</v>
      </c>
      <c r="O236" s="1" t="s">
        <v>869</v>
      </c>
      <c r="P236" s="1" t="s">
        <v>873</v>
      </c>
      <c r="Q236" s="1">
        <v>2.503</v>
      </c>
      <c r="R236" s="1">
        <v>-2.07</v>
      </c>
      <c r="S236" s="2">
        <f>HYPERLINK("https://vdatum.noaa.gov/vdatumweb/api/convert?s_x=-74.7383&amp;s_y=39.11&amp;s_z=0.0&amp;region=chesapeak_delaware&amp;s_h_frame=NAD83_2011&amp;s_coor=geo&amp;s_v_frame=NAVD88&amp;s_v_unit=us_ft&amp;t_h_frame=IGS14&amp;t_coor=geo&amp;t_v_frame=MLLW&amp;t_v_unit=us_ft", "NAVD88 to MLLW")</f>
        <v>0</v>
      </c>
      <c r="T236" s="2">
        <f>HYPERLINK("https://vdatum.noaa.gov/vdatumweb/api/convert?s_x=-74.7383&amp;s_y=39.11&amp;s_z=0.0&amp;region=chesapeak_delaware&amp;s_h_frame=NAD83_2011&amp;s_coor=geo&amp;s_v_frame=NAVD88&amp;s_v_unit=us_ft&amp;t_h_frame=IGS14&amp;t_coor=geo&amp;t_v_frame=MHHW&amp;t_v_unit=us_ft", "NAVD88 to MHHW")</f>
        <v>0</v>
      </c>
    </row>
    <row r="237" spans="1:20">
      <c r="A237" s="1" t="s">
        <v>261</v>
      </c>
      <c r="B237" s="1" t="s">
        <v>622</v>
      </c>
      <c r="D237" s="1" t="s">
        <v>652</v>
      </c>
      <c r="H237" s="1">
        <v>-74.765</v>
      </c>
      <c r="I237" s="1">
        <v>39.0567</v>
      </c>
      <c r="J237" s="1">
        <f>HYPERLINK("https://tidesandcurrents.noaa.gov/stationhome.html?id=8535581", "8535581")</f>
        <v>0</v>
      </c>
      <c r="K237" s="1" t="s">
        <v>860</v>
      </c>
      <c r="L237" s="1" t="s">
        <v>866</v>
      </c>
      <c r="M237" s="1">
        <v>4410955</v>
      </c>
      <c r="N237" s="1">
        <v>0</v>
      </c>
      <c r="O237" s="1" t="s">
        <v>869</v>
      </c>
      <c r="P237" s="1" t="s">
        <v>873</v>
      </c>
      <c r="Q237" s="1">
        <v>2.621</v>
      </c>
      <c r="R237" s="1">
        <v>-2.113</v>
      </c>
      <c r="S237" s="2">
        <f>HYPERLINK("https://vdatum.noaa.gov/vdatumweb/api/convert?s_x=-74.765&amp;s_y=39.0567&amp;s_z=0.0&amp;region=chesapeak_delaware&amp;s_h_frame=NAD83_2011&amp;s_coor=geo&amp;s_v_frame=NAVD88&amp;s_v_unit=us_ft&amp;t_h_frame=IGS14&amp;t_coor=geo&amp;t_v_frame=MLLW&amp;t_v_unit=us_ft", "NAVD88 to MLLW")</f>
        <v>0</v>
      </c>
      <c r="T237" s="2">
        <f>HYPERLINK("https://vdatum.noaa.gov/vdatumweb/api/convert?s_x=-74.765&amp;s_y=39.0567&amp;s_z=0.0&amp;region=chesapeak_delaware&amp;s_h_frame=NAD83_2011&amp;s_coor=geo&amp;s_v_frame=NAVD88&amp;s_v_unit=us_ft&amp;t_h_frame=IGS14&amp;t_coor=geo&amp;t_v_frame=MHHW&amp;t_v_unit=us_ft", "NAVD88 to MHHW")</f>
        <v>0</v>
      </c>
    </row>
    <row r="238" spans="1:20">
      <c r="A238" s="1" t="s">
        <v>262</v>
      </c>
      <c r="B238" s="1" t="s">
        <v>622</v>
      </c>
      <c r="D238" s="1" t="s">
        <v>652</v>
      </c>
      <c r="H238" s="1">
        <v>-74.8917</v>
      </c>
      <c r="I238" s="1">
        <v>38.9483</v>
      </c>
      <c r="J238" s="1">
        <f>HYPERLINK("https://tidesandcurrents.noaa.gov/stationhome.html?id=8535901", "8535901")</f>
        <v>0</v>
      </c>
      <c r="K238" s="1" t="s">
        <v>860</v>
      </c>
      <c r="L238" s="1" t="s">
        <v>866</v>
      </c>
      <c r="M238" s="1">
        <v>3810372</v>
      </c>
      <c r="N238" s="1">
        <v>0</v>
      </c>
      <c r="O238" s="1" t="s">
        <v>869</v>
      </c>
      <c r="P238" s="1" t="s">
        <v>873</v>
      </c>
      <c r="Q238" s="1">
        <v>2.756</v>
      </c>
      <c r="R238" s="1">
        <v>-2.254</v>
      </c>
      <c r="S238" s="2">
        <f>HYPERLINK("https://vdatum.noaa.gov/vdatumweb/api/convert?s_x=-74.8917&amp;s_y=38.9483&amp;s_z=0.0&amp;region=chesapeak_delaware&amp;s_h_frame=NAD83_2011&amp;s_coor=geo&amp;s_v_frame=NAVD88&amp;s_v_unit=us_ft&amp;t_h_frame=IGS14&amp;t_coor=geo&amp;t_v_frame=MLLW&amp;t_v_unit=us_ft", "NAVD88 to MLLW")</f>
        <v>0</v>
      </c>
      <c r="T238" s="2">
        <f>HYPERLINK("https://vdatum.noaa.gov/vdatumweb/api/convert?s_x=-74.8917&amp;s_y=38.9483&amp;s_z=0.0&amp;region=chesapeak_delaware&amp;s_h_frame=NAD83_2011&amp;s_coor=geo&amp;s_v_frame=NAVD88&amp;s_v_unit=us_ft&amp;t_h_frame=IGS14&amp;t_coor=geo&amp;t_v_frame=MHHW&amp;t_v_unit=us_ft", "NAVD88 to MHHW")</f>
        <v>0</v>
      </c>
    </row>
    <row r="239" spans="1:20">
      <c r="A239" s="1" t="s">
        <v>263</v>
      </c>
      <c r="B239" s="1" t="s">
        <v>622</v>
      </c>
      <c r="C239" s="1" t="s">
        <v>644</v>
      </c>
      <c r="D239" s="1" t="s">
        <v>652</v>
      </c>
      <c r="E239" s="1" t="s">
        <v>733</v>
      </c>
      <c r="F239" s="1" t="s">
        <v>842</v>
      </c>
      <c r="G239" s="1" t="s">
        <v>854</v>
      </c>
      <c r="H239" s="1">
        <v>-75.0367</v>
      </c>
      <c r="I239" s="1">
        <v>39.23</v>
      </c>
      <c r="J239" s="1">
        <f>HYPERLINK("https://tidesandcurrents.noaa.gov/stationhome.html?id=8536889", "8536889")</f>
        <v>0</v>
      </c>
      <c r="K239" s="1" t="s">
        <v>860</v>
      </c>
      <c r="L239" s="1" t="s">
        <v>866</v>
      </c>
      <c r="M239" s="1">
        <v>7317619</v>
      </c>
      <c r="N239" s="1">
        <v>0</v>
      </c>
      <c r="O239" s="1" t="s">
        <v>869</v>
      </c>
      <c r="P239" s="1" t="s">
        <v>873</v>
      </c>
      <c r="Q239" s="1">
        <v>3.409</v>
      </c>
      <c r="R239" s="1">
        <v>-2.913</v>
      </c>
      <c r="S239" s="2">
        <f>HYPERLINK("https://vdatum.noaa.gov/vdatumweb/api/convert?s_x=-75.0367&amp;s_y=39.23&amp;s_z=0.0&amp;region=chesapeak_delaware&amp;s_h_frame=NAD83_2011&amp;s_coor=geo&amp;s_v_frame=NAVD88&amp;s_v_unit=us_ft&amp;t_h_frame=IGS14&amp;t_coor=geo&amp;t_v_frame=MLLW&amp;t_v_unit=us_ft", "NAVD88 to MLLW")</f>
        <v>0</v>
      </c>
      <c r="T239" s="2">
        <f>HYPERLINK("https://vdatum.noaa.gov/vdatumweb/api/convert?s_x=-75.0367&amp;s_y=39.23&amp;s_z=0.0&amp;region=chesapeak_delaware&amp;s_h_frame=NAD83_2011&amp;s_coor=geo&amp;s_v_frame=NAVD88&amp;s_v_unit=us_ft&amp;t_h_frame=IGS14&amp;t_coor=geo&amp;t_v_frame=MHHW&amp;t_v_unit=us_ft", "NAVD88 to MHHW")</f>
        <v>0</v>
      </c>
    </row>
    <row r="240" spans="1:20">
      <c r="A240" s="1" t="s">
        <v>264</v>
      </c>
      <c r="B240" s="1" t="s">
        <v>622</v>
      </c>
      <c r="D240" s="1" t="s">
        <v>652</v>
      </c>
      <c r="H240" s="1">
        <v>-75.375</v>
      </c>
      <c r="I240" s="1">
        <v>39.305</v>
      </c>
      <c r="J240" s="1">
        <f>HYPERLINK("https://tidesandcurrents.noaa.gov/stationhome.html?id=8537121", "8537121")</f>
        <v>0</v>
      </c>
      <c r="K240" s="1" t="s">
        <v>861</v>
      </c>
      <c r="L240" s="1" t="s">
        <v>866</v>
      </c>
      <c r="M240" s="1">
        <v>7240214</v>
      </c>
      <c r="N240" s="1">
        <v>-0.391</v>
      </c>
      <c r="O240" s="1" t="s">
        <v>869</v>
      </c>
      <c r="P240" s="1" t="s">
        <v>873</v>
      </c>
      <c r="Q240" s="1">
        <v>3.11</v>
      </c>
      <c r="R240" s="1">
        <v>-3.166</v>
      </c>
      <c r="S240" s="2">
        <f>HYPERLINK("https://vdatum.noaa.gov/vdatumweb/api/convert?s_x=-75.375&amp;s_y=39.305&amp;s_z=0.0&amp;region=chesapeak_delaware&amp;s_h_frame=NAD83_2011&amp;s_coor=geo&amp;s_v_frame=NAVD88&amp;s_v_unit=us_ft&amp;t_h_frame=IGS14&amp;t_coor=geo&amp;t_v_frame=MLLW&amp;t_v_unit=us_ft", "NAVD88 to MLLW")</f>
        <v>0</v>
      </c>
      <c r="T240" s="2">
        <f>HYPERLINK("https://vdatum.noaa.gov/vdatumweb/api/convert?s_x=-75.375&amp;s_y=39.305&amp;s_z=0.0&amp;region=chesapeak_delaware&amp;s_h_frame=NAD83_2011&amp;s_coor=geo&amp;s_v_frame=NAVD88&amp;s_v_unit=us_ft&amp;t_h_frame=IGS14&amp;t_coor=geo&amp;t_v_frame=MHHW&amp;t_v_unit=us_ft", "NAVD88 to MHHW")</f>
        <v>0</v>
      </c>
    </row>
    <row r="241" spans="1:20">
      <c r="A241" s="1" t="s">
        <v>265</v>
      </c>
      <c r="B241" s="1" t="s">
        <v>622</v>
      </c>
      <c r="C241" s="1" t="s">
        <v>644</v>
      </c>
      <c r="D241" s="1" t="s">
        <v>652</v>
      </c>
      <c r="E241" s="1" t="s">
        <v>733</v>
      </c>
      <c r="F241" s="1" t="s">
        <v>842</v>
      </c>
      <c r="G241" s="1" t="s">
        <v>854</v>
      </c>
      <c r="H241" s="1">
        <v>-75.34999999999999</v>
      </c>
      <c r="I241" s="1">
        <v>39.3833</v>
      </c>
      <c r="J241" s="1">
        <f>HYPERLINK("https://tidesandcurrents.noaa.gov/stationhome.html?id=8537374", "8537374")</f>
        <v>0</v>
      </c>
      <c r="K241" s="1" t="s">
        <v>860</v>
      </c>
      <c r="L241" s="1" t="s">
        <v>866</v>
      </c>
      <c r="M241" s="1">
        <v>2893886</v>
      </c>
      <c r="N241" s="1">
        <v>0</v>
      </c>
      <c r="O241" s="1" t="s">
        <v>869</v>
      </c>
      <c r="P241" s="1" t="s">
        <v>873</v>
      </c>
      <c r="Q241" s="1">
        <v>-999999</v>
      </c>
      <c r="R241" s="1">
        <v>-999999</v>
      </c>
      <c r="S241" s="2">
        <f>HYPERLINK("https://vdatum.noaa.gov/vdatumweb/api/convert?s_x=-75.35&amp;s_y=39.3833&amp;s_z=0.0&amp;region=chesapeak_delaware&amp;s_h_frame=NAD83_2011&amp;s_coor=geo&amp;s_v_frame=NAVD88&amp;s_v_unit=us_ft&amp;t_h_frame=IGS14&amp;t_coor=geo&amp;t_v_frame=MLLW&amp;t_v_unit=us_ft", "Missing")</f>
        <v>0</v>
      </c>
      <c r="T241" s="2">
        <f>HYPERLINK("https://vdatum.noaa.gov/vdatumweb/api/convert?s_x=-75.35&amp;s_y=39.3833&amp;s_z=0.0&amp;region=chesapeak_delaware&amp;s_h_frame=NAD83_2011&amp;s_coor=geo&amp;s_v_frame=NAVD88&amp;s_v_unit=us_ft&amp;t_h_frame=IGS14&amp;t_coor=geo&amp;t_v_frame=MHHW&amp;t_v_unit=us_ft", "Missing")</f>
        <v>0</v>
      </c>
    </row>
    <row r="242" spans="1:20">
      <c r="A242" s="1" t="s">
        <v>266</v>
      </c>
      <c r="B242" s="1" t="s">
        <v>622</v>
      </c>
      <c r="C242" s="1" t="s">
        <v>644</v>
      </c>
      <c r="D242" s="1" t="s">
        <v>652</v>
      </c>
      <c r="E242" s="1" t="s">
        <v>734</v>
      </c>
      <c r="F242" s="1" t="s">
        <v>843</v>
      </c>
      <c r="G242" s="1" t="s">
        <v>854</v>
      </c>
      <c r="H242" s="1">
        <v>-75.04300000000001</v>
      </c>
      <c r="I242" s="1">
        <v>40.01194</v>
      </c>
      <c r="J242" s="1">
        <f>HYPERLINK("https://tidesandcurrents.noaa.gov/stationhome.html?id=8538886", "8538886")</f>
        <v>0</v>
      </c>
      <c r="K242" s="1" t="s">
        <v>861</v>
      </c>
      <c r="L242" s="1" t="s">
        <v>866</v>
      </c>
      <c r="M242" s="1">
        <v>2891947</v>
      </c>
      <c r="N242" s="1">
        <v>0</v>
      </c>
      <c r="O242" s="1" t="s">
        <v>869</v>
      </c>
      <c r="P242" s="1" t="s">
        <v>873</v>
      </c>
      <c r="Q242" s="1">
        <v>3.058</v>
      </c>
      <c r="R242" s="1">
        <v>-4.049</v>
      </c>
      <c r="S242" s="2">
        <f>HYPERLINK("https://vdatum.noaa.gov/vdatumweb/api/convert?s_x=-75.043&amp;s_y=40.01194&amp;s_z=0.0&amp;region=chesapeak_delaware&amp;s_h_frame=NAD83_2011&amp;s_coor=geo&amp;s_v_frame=NAVD88&amp;s_v_unit=us_ft&amp;t_h_frame=IGS14&amp;t_coor=geo&amp;t_v_frame=MLLW&amp;t_v_unit=us_ft", "NAVD88 to MLLW")</f>
        <v>0</v>
      </c>
      <c r="T242" s="2">
        <f>HYPERLINK("https://vdatum.noaa.gov/vdatumweb/api/convert?s_x=-75.043&amp;s_y=40.01194&amp;s_z=0.0&amp;region=chesapeak_delaware&amp;s_h_frame=NAD83_2011&amp;s_coor=geo&amp;s_v_frame=NAVD88&amp;s_v_unit=us_ft&amp;t_h_frame=IGS14&amp;t_coor=geo&amp;t_v_frame=MHHW&amp;t_v_unit=us_ft", "NAVD88 to MHHW")</f>
        <v>0</v>
      </c>
    </row>
    <row r="243" spans="1:20">
      <c r="A243" s="1" t="s">
        <v>267</v>
      </c>
      <c r="B243" s="1" t="s">
        <v>622</v>
      </c>
      <c r="C243" s="1" t="s">
        <v>644</v>
      </c>
      <c r="D243" s="1" t="s">
        <v>652</v>
      </c>
      <c r="E243" s="1" t="s">
        <v>735</v>
      </c>
      <c r="F243" s="1" t="s">
        <v>843</v>
      </c>
      <c r="G243" s="1" t="s">
        <v>854</v>
      </c>
      <c r="H243" s="1">
        <v>-74.86969999999999</v>
      </c>
      <c r="I243" s="1">
        <v>40.0817</v>
      </c>
      <c r="J243" s="1">
        <f>HYPERLINK("https://tidesandcurrents.noaa.gov/stationhome.html?id=8539094", "8539094")</f>
        <v>0</v>
      </c>
      <c r="K243" s="1" t="s">
        <v>860</v>
      </c>
      <c r="L243" s="1" t="s">
        <v>866</v>
      </c>
      <c r="M243" s="1">
        <v>4527570</v>
      </c>
      <c r="N243" s="1">
        <v>-0.219</v>
      </c>
      <c r="O243" s="1" t="s">
        <v>869</v>
      </c>
      <c r="P243" s="1" t="s">
        <v>873</v>
      </c>
      <c r="Q243" s="1">
        <v>3.461</v>
      </c>
      <c r="R243" s="1">
        <v>-4.377</v>
      </c>
      <c r="S243" s="2">
        <f>HYPERLINK("https://vdatum.noaa.gov/vdatumweb/api/convert?s_x=-74.8697&amp;s_y=40.0817&amp;s_z=0.0&amp;region=chesapeak_delaware&amp;s_h_frame=NAD83_2011&amp;s_coor=geo&amp;s_v_frame=NAVD88&amp;s_v_unit=us_ft&amp;t_h_frame=IGS14&amp;t_coor=geo&amp;t_v_frame=MLLW&amp;t_v_unit=us_ft", "NAVD88 to MLLW")</f>
        <v>0</v>
      </c>
      <c r="T243" s="2">
        <f>HYPERLINK("https://vdatum.noaa.gov/vdatumweb/api/convert?s_x=-74.8697&amp;s_y=40.0817&amp;s_z=0.0&amp;region=chesapeak_delaware&amp;s_h_frame=NAD83_2011&amp;s_coor=geo&amp;s_v_frame=NAVD88&amp;s_v_unit=us_ft&amp;t_h_frame=IGS14&amp;t_coor=geo&amp;t_v_frame=MHHW&amp;t_v_unit=us_ft", "NAVD88 to MHHW")</f>
        <v>0</v>
      </c>
    </row>
    <row r="244" spans="1:20">
      <c r="A244" s="1" t="s">
        <v>268</v>
      </c>
      <c r="B244" s="1" t="s">
        <v>622</v>
      </c>
      <c r="D244" s="1" t="s">
        <v>652</v>
      </c>
      <c r="E244" s="1" t="s">
        <v>736</v>
      </c>
      <c r="F244" s="1" t="s">
        <v>843</v>
      </c>
      <c r="G244" s="1" t="s">
        <v>854</v>
      </c>
      <c r="H244" s="1">
        <v>-75.40940000000001</v>
      </c>
      <c r="I244" s="1">
        <v>39.81167</v>
      </c>
      <c r="J244" s="1">
        <f>HYPERLINK("https://tidesandcurrents.noaa.gov/stationhome.html?id=8540433", "8540433")</f>
        <v>0</v>
      </c>
      <c r="K244" s="1" t="s">
        <v>860</v>
      </c>
      <c r="L244" s="1" t="s">
        <v>866</v>
      </c>
      <c r="M244" s="1">
        <v>2891440</v>
      </c>
      <c r="N244" s="1">
        <v>0</v>
      </c>
      <c r="O244" s="1" t="s">
        <v>869</v>
      </c>
      <c r="P244" s="1" t="s">
        <v>873</v>
      </c>
      <c r="Q244" s="1">
        <v>2.927</v>
      </c>
      <c r="R244" s="1">
        <v>-3.209</v>
      </c>
      <c r="S244" s="2">
        <f>HYPERLINK("https://vdatum.noaa.gov/vdatumweb/api/convert?s_x=-75.4094&amp;s_y=39.81167&amp;s_z=0.0&amp;region=chesapeak_delaware&amp;s_h_frame=NAD83_2011&amp;s_coor=geo&amp;s_v_frame=NAVD88&amp;s_v_unit=us_ft&amp;t_h_frame=IGS14&amp;t_coor=geo&amp;t_v_frame=MLLW&amp;t_v_unit=us_ft", "NAVD88 to MLLW")</f>
        <v>0</v>
      </c>
      <c r="T244" s="2">
        <f>HYPERLINK("https://vdatum.noaa.gov/vdatumweb/api/convert?s_x=-75.4094&amp;s_y=39.81167&amp;s_z=0.0&amp;region=chesapeak_delaware&amp;s_h_frame=NAD83_2011&amp;s_coor=geo&amp;s_v_frame=NAVD88&amp;s_v_unit=us_ft&amp;t_h_frame=IGS14&amp;t_coor=geo&amp;t_v_frame=MHHW&amp;t_v_unit=us_ft", "NAVD88 to MHHW")</f>
        <v>0</v>
      </c>
    </row>
    <row r="245" spans="1:20">
      <c r="A245" s="1" t="s">
        <v>269</v>
      </c>
      <c r="B245" s="1" t="s">
        <v>622</v>
      </c>
      <c r="D245" s="1" t="s">
        <v>652</v>
      </c>
      <c r="E245" s="1" t="s">
        <v>734</v>
      </c>
      <c r="F245" s="1" t="s">
        <v>843</v>
      </c>
      <c r="G245" s="1" t="s">
        <v>854</v>
      </c>
      <c r="H245" s="1">
        <v>-75.1417</v>
      </c>
      <c r="I245" s="1">
        <v>39.9333</v>
      </c>
      <c r="J245" s="1">
        <f>HYPERLINK("https://tidesandcurrents.noaa.gov/stationhome.html?id=8545240", "8545240")</f>
        <v>0</v>
      </c>
      <c r="K245" s="1" t="s">
        <v>860</v>
      </c>
      <c r="L245" s="1" t="s">
        <v>866</v>
      </c>
      <c r="M245" s="1">
        <v>2891787</v>
      </c>
      <c r="N245" s="1">
        <v>0</v>
      </c>
      <c r="O245" s="1" t="s">
        <v>869</v>
      </c>
      <c r="P245" s="1" t="s">
        <v>873</v>
      </c>
      <c r="Q245" s="1">
        <v>2.976</v>
      </c>
      <c r="R245" s="1">
        <v>-3.734</v>
      </c>
      <c r="S245" s="2">
        <f>HYPERLINK("https://vdatum.noaa.gov/vdatumweb/api/convert?s_x=-75.1417&amp;s_y=39.9333&amp;s_z=0.0&amp;region=chesapeak_delaware&amp;s_h_frame=NAD83_2011&amp;s_coor=geo&amp;s_v_frame=NAVD88&amp;s_v_unit=us_ft&amp;t_h_frame=IGS14&amp;t_coor=geo&amp;t_v_frame=MLLW&amp;t_v_unit=us_ft", "NAVD88 to MLLW")</f>
        <v>0</v>
      </c>
      <c r="T245" s="2">
        <f>HYPERLINK("https://vdatum.noaa.gov/vdatumweb/api/convert?s_x=-75.1417&amp;s_y=39.9333&amp;s_z=0.0&amp;region=chesapeak_delaware&amp;s_h_frame=NAD83_2011&amp;s_coor=geo&amp;s_v_frame=NAVD88&amp;s_v_unit=us_ft&amp;t_h_frame=IGS14&amp;t_coor=geo&amp;t_v_frame=MHHW&amp;t_v_unit=us_ft", "NAVD88 to MHHW")</f>
        <v>0</v>
      </c>
    </row>
    <row r="246" spans="1:20">
      <c r="A246" s="1" t="s">
        <v>270</v>
      </c>
      <c r="B246" s="1" t="s">
        <v>622</v>
      </c>
      <c r="C246" s="1" t="s">
        <v>644</v>
      </c>
      <c r="D246" s="1" t="s">
        <v>652</v>
      </c>
      <c r="E246" s="1" t="s">
        <v>734</v>
      </c>
      <c r="F246" s="1" t="s">
        <v>843</v>
      </c>
      <c r="G246" s="1" t="s">
        <v>854</v>
      </c>
      <c r="H246" s="1">
        <v>-75.075</v>
      </c>
      <c r="I246" s="1">
        <v>39.9833</v>
      </c>
      <c r="J246" s="1">
        <f>HYPERLINK("https://tidesandcurrents.noaa.gov/stationhome.html?id=8546252", "8546252")</f>
        <v>0</v>
      </c>
      <c r="K246" s="1" t="s">
        <v>860</v>
      </c>
      <c r="L246" s="1" t="s">
        <v>866</v>
      </c>
      <c r="M246" s="1">
        <v>4103140</v>
      </c>
      <c r="N246" s="1">
        <v>-0.27</v>
      </c>
      <c r="O246" s="1" t="s">
        <v>869</v>
      </c>
      <c r="P246" s="1" t="s">
        <v>873</v>
      </c>
      <c r="Q246" s="1">
        <v>3.202</v>
      </c>
      <c r="R246" s="1">
        <v>-3.78</v>
      </c>
      <c r="S246" s="2">
        <f>HYPERLINK("https://vdatum.noaa.gov/vdatumweb/api/convert?s_x=-75.075&amp;s_y=39.9833&amp;s_z=0.0&amp;region=chesapeak_delaware&amp;s_h_frame=NAD83_2011&amp;s_coor=geo&amp;s_v_frame=NAVD88&amp;s_v_unit=us_ft&amp;t_h_frame=IGS14&amp;t_coor=geo&amp;t_v_frame=MLLW&amp;t_v_unit=us_ft", "NAVD88 to MLLW")</f>
        <v>0</v>
      </c>
      <c r="T246" s="2">
        <f>HYPERLINK("https://vdatum.noaa.gov/vdatumweb/api/convert?s_x=-75.075&amp;s_y=39.9833&amp;s_z=0.0&amp;region=chesapeak_delaware&amp;s_h_frame=NAD83_2011&amp;s_coor=geo&amp;s_v_frame=NAVD88&amp;s_v_unit=us_ft&amp;t_h_frame=IGS14&amp;t_coor=geo&amp;t_v_frame=MHHW&amp;t_v_unit=us_ft", "NAVD88 to MHHW")</f>
        <v>0</v>
      </c>
    </row>
    <row r="247" spans="1:20">
      <c r="A247" s="1" t="s">
        <v>271</v>
      </c>
      <c r="B247" s="1" t="s">
        <v>622</v>
      </c>
      <c r="C247" s="1" t="s">
        <v>644</v>
      </c>
      <c r="D247" s="1" t="s">
        <v>652</v>
      </c>
      <c r="E247" s="1" t="s">
        <v>735</v>
      </c>
      <c r="F247" s="1" t="s">
        <v>843</v>
      </c>
      <c r="G247" s="1" t="s">
        <v>854</v>
      </c>
      <c r="H247" s="1">
        <v>-74.7517</v>
      </c>
      <c r="I247" s="1">
        <v>40.1367</v>
      </c>
      <c r="J247" s="1">
        <f>HYPERLINK("https://tidesandcurrents.noaa.gov/stationhome.html?id=8548989", "8548989")</f>
        <v>0</v>
      </c>
      <c r="K247" s="1" t="s">
        <v>860</v>
      </c>
      <c r="L247" s="1" t="s">
        <v>866</v>
      </c>
      <c r="M247" s="1">
        <v>4527495</v>
      </c>
      <c r="N247" s="1">
        <v>-0.18</v>
      </c>
      <c r="O247" s="1" t="s">
        <v>869</v>
      </c>
      <c r="P247" s="1" t="s">
        <v>873</v>
      </c>
      <c r="Q247" s="1">
        <v>3.629</v>
      </c>
      <c r="R247" s="1">
        <v>-4.764</v>
      </c>
      <c r="S247" s="2">
        <f>HYPERLINK("https://vdatum.noaa.gov/vdatumweb/api/convert?s_x=-74.7517&amp;s_y=40.1367&amp;s_z=0.0&amp;region=chesapeak_delaware&amp;s_h_frame=NAD83_2011&amp;s_coor=geo&amp;s_v_frame=NAVD88&amp;s_v_unit=us_ft&amp;t_h_frame=IGS14&amp;t_coor=geo&amp;t_v_frame=MLLW&amp;t_v_unit=us_ft", "NAVD88 to MLLW")</f>
        <v>0</v>
      </c>
      <c r="T247" s="2">
        <f>HYPERLINK("https://vdatum.noaa.gov/vdatumweb/api/convert?s_x=-74.7517&amp;s_y=40.1367&amp;s_z=0.0&amp;region=chesapeak_delaware&amp;s_h_frame=NAD83_2011&amp;s_coor=geo&amp;s_v_frame=NAVD88&amp;s_v_unit=us_ft&amp;t_h_frame=IGS14&amp;t_coor=geo&amp;t_v_frame=MHHW&amp;t_v_unit=us_ft", "NAVD88 to MHHW")</f>
        <v>0</v>
      </c>
    </row>
    <row r="248" spans="1:20">
      <c r="A248" s="1" t="s">
        <v>272</v>
      </c>
      <c r="B248" s="1" t="s">
        <v>622</v>
      </c>
      <c r="C248" s="1" t="s">
        <v>644</v>
      </c>
      <c r="D248" s="1" t="s">
        <v>652</v>
      </c>
      <c r="H248" s="1">
        <v>-75.52</v>
      </c>
      <c r="I248" s="1">
        <v>39.7183</v>
      </c>
      <c r="J248" s="1">
        <f>HYPERLINK("https://tidesandcurrents.noaa.gov/stationhome.html?id=8550714", "8550714")</f>
        <v>0</v>
      </c>
      <c r="K248" s="1" t="s">
        <v>860</v>
      </c>
      <c r="L248" s="1" t="s">
        <v>866</v>
      </c>
      <c r="M248" s="1">
        <v>4546665</v>
      </c>
      <c r="N248" s="1">
        <v>0</v>
      </c>
      <c r="O248" s="1" t="s">
        <v>869</v>
      </c>
      <c r="P248" s="1" t="s">
        <v>873</v>
      </c>
      <c r="Q248" s="1">
        <v>2.841</v>
      </c>
      <c r="R248" s="1">
        <v>-3.074</v>
      </c>
      <c r="S248" s="2">
        <f>HYPERLINK("https://vdatum.noaa.gov/vdatumweb/api/convert?s_x=-75.52&amp;s_y=39.7183&amp;s_z=0.0&amp;region=chesapeak_delaware&amp;s_h_frame=NAD83_2011&amp;s_coor=geo&amp;s_v_frame=NAVD88&amp;s_v_unit=us_ft&amp;t_h_frame=IGS14&amp;t_coor=geo&amp;t_v_frame=MLLW&amp;t_v_unit=us_ft", "NAVD88 to MLLW")</f>
        <v>0</v>
      </c>
      <c r="T248" s="2">
        <f>HYPERLINK("https://vdatum.noaa.gov/vdatumweb/api/convert?s_x=-75.52&amp;s_y=39.7183&amp;s_z=0.0&amp;region=chesapeak_delaware&amp;s_h_frame=NAD83_2011&amp;s_coor=geo&amp;s_v_frame=NAVD88&amp;s_v_unit=us_ft&amp;t_h_frame=IGS14&amp;t_coor=geo&amp;t_v_frame=MHHW&amp;t_v_unit=us_ft", "NAVD88 to MHHW")</f>
        <v>0</v>
      </c>
    </row>
    <row r="249" spans="1:20">
      <c r="A249" s="1" t="s">
        <v>273</v>
      </c>
      <c r="B249" s="1" t="s">
        <v>622</v>
      </c>
      <c r="D249" s="1" t="s">
        <v>652</v>
      </c>
      <c r="H249" s="1">
        <v>-75.5883</v>
      </c>
      <c r="I249" s="1">
        <v>39.5817</v>
      </c>
      <c r="J249" s="1">
        <f>HYPERLINK("https://tidesandcurrents.noaa.gov/stationhome.html?id=8551762", "8551762")</f>
        <v>0</v>
      </c>
      <c r="K249" s="1" t="s">
        <v>860</v>
      </c>
      <c r="L249" s="1" t="s">
        <v>866</v>
      </c>
      <c r="M249" s="1">
        <v>5322424</v>
      </c>
      <c r="N249" s="1">
        <v>-0.377</v>
      </c>
      <c r="O249" s="1" t="s">
        <v>869</v>
      </c>
      <c r="P249" s="1" t="s">
        <v>873</v>
      </c>
      <c r="Q249" s="1">
        <v>2.907</v>
      </c>
      <c r="R249" s="1">
        <v>-3.104</v>
      </c>
      <c r="S249" s="2">
        <f>HYPERLINK("https://vdatum.noaa.gov/vdatumweb/api/convert?s_x=-75.5883&amp;s_y=39.5817&amp;s_z=0.0&amp;region=chesapeak_delaware&amp;s_h_frame=NAD83_2011&amp;s_coor=geo&amp;s_v_frame=NAVD88&amp;s_v_unit=us_ft&amp;t_h_frame=IGS14&amp;t_coor=geo&amp;t_v_frame=MLLW&amp;t_v_unit=us_ft", "NAVD88 to MLLW")</f>
        <v>0</v>
      </c>
      <c r="T249" s="2">
        <f>HYPERLINK("https://vdatum.noaa.gov/vdatumweb/api/convert?s_x=-75.5883&amp;s_y=39.5817&amp;s_z=0.0&amp;region=chesapeak_delaware&amp;s_h_frame=NAD83_2011&amp;s_coor=geo&amp;s_v_frame=NAVD88&amp;s_v_unit=us_ft&amp;t_h_frame=IGS14&amp;t_coor=geo&amp;t_v_frame=MHHW&amp;t_v_unit=us_ft", "NAVD88 to MHHW")</f>
        <v>0</v>
      </c>
    </row>
    <row r="250" spans="1:20">
      <c r="A250" s="1" t="s">
        <v>274</v>
      </c>
      <c r="B250" s="1" t="s">
        <v>622</v>
      </c>
      <c r="C250" s="1" t="s">
        <v>644</v>
      </c>
      <c r="D250" s="1" t="s">
        <v>652</v>
      </c>
      <c r="E250" s="1" t="s">
        <v>737</v>
      </c>
      <c r="F250" s="1" t="s">
        <v>844</v>
      </c>
      <c r="G250" s="1" t="s">
        <v>854</v>
      </c>
      <c r="H250" s="1">
        <v>-75.5719</v>
      </c>
      <c r="I250" s="1">
        <v>39.55833</v>
      </c>
      <c r="J250" s="1">
        <f>HYPERLINK("https://tidesandcurrents.noaa.gov/stationhome.html?id=8551910", "8551910")</f>
        <v>0</v>
      </c>
      <c r="K250" s="1" t="s">
        <v>860</v>
      </c>
      <c r="L250" s="1" t="s">
        <v>866</v>
      </c>
      <c r="M250" s="1">
        <v>6913427</v>
      </c>
      <c r="N250" s="1">
        <v>0</v>
      </c>
      <c r="O250" s="1" t="s">
        <v>869</v>
      </c>
      <c r="P250" s="1" t="s">
        <v>873</v>
      </c>
      <c r="Q250" s="1">
        <v>3.054</v>
      </c>
      <c r="R250" s="1">
        <v>-2.782</v>
      </c>
      <c r="S250" s="2">
        <f>HYPERLINK("https://vdatum.noaa.gov/vdatumweb/api/convert?s_x=-75.5719&amp;s_y=39.55833&amp;s_z=0.0&amp;region=chesapeak_delaware&amp;s_h_frame=NAD83_2011&amp;s_coor=geo&amp;s_v_frame=NAVD88&amp;s_v_unit=us_ft&amp;t_h_frame=IGS14&amp;t_coor=geo&amp;t_v_frame=MLLW&amp;t_v_unit=us_ft", "NAVD88 to MLLW")</f>
        <v>0</v>
      </c>
      <c r="T250" s="2">
        <f>HYPERLINK("https://vdatum.noaa.gov/vdatumweb/api/convert?s_x=-75.5719&amp;s_y=39.55833&amp;s_z=0.0&amp;region=chesapeak_delaware&amp;s_h_frame=NAD83_2011&amp;s_coor=geo&amp;s_v_frame=NAVD88&amp;s_v_unit=us_ft&amp;t_h_frame=IGS14&amp;t_coor=geo&amp;t_v_frame=MHHW&amp;t_v_unit=us_ft", "NAVD88 to MHHW")</f>
        <v>0</v>
      </c>
    </row>
    <row r="251" spans="1:20">
      <c r="A251" s="1" t="s">
        <v>275</v>
      </c>
      <c r="B251" s="1" t="s">
        <v>622</v>
      </c>
      <c r="D251" s="1" t="s">
        <v>652</v>
      </c>
      <c r="H251" s="1">
        <v>-75.3967</v>
      </c>
      <c r="I251" s="1">
        <v>39.0583</v>
      </c>
      <c r="J251" s="1">
        <f>HYPERLINK("https://tidesandcurrents.noaa.gov/stationhome.html?id=8555388", "8555388")</f>
        <v>0</v>
      </c>
      <c r="K251" s="1" t="s">
        <v>860</v>
      </c>
      <c r="L251" s="1" t="s">
        <v>866</v>
      </c>
      <c r="M251" s="1">
        <v>5993486</v>
      </c>
      <c r="N251" s="1">
        <v>0</v>
      </c>
      <c r="O251" s="1" t="s">
        <v>869</v>
      </c>
      <c r="P251" s="1" t="s">
        <v>873</v>
      </c>
      <c r="Q251" s="1">
        <v>2.799</v>
      </c>
      <c r="R251" s="1">
        <v>-2.979</v>
      </c>
      <c r="S251" s="2">
        <f>HYPERLINK("https://vdatum.noaa.gov/vdatumweb/api/convert?s_x=-75.3967&amp;s_y=39.0583&amp;s_z=0.0&amp;region=chesapeak_delaware&amp;s_h_frame=NAD83_2011&amp;s_coor=geo&amp;s_v_frame=NAVD88&amp;s_v_unit=us_ft&amp;t_h_frame=IGS14&amp;t_coor=geo&amp;t_v_frame=MLLW&amp;t_v_unit=us_ft", "NAVD88 to MLLW")</f>
        <v>0</v>
      </c>
      <c r="T251" s="2">
        <f>HYPERLINK("https://vdatum.noaa.gov/vdatumweb/api/convert?s_x=-75.3967&amp;s_y=39.0583&amp;s_z=0.0&amp;region=chesapeak_delaware&amp;s_h_frame=NAD83_2011&amp;s_coor=geo&amp;s_v_frame=NAVD88&amp;s_v_unit=us_ft&amp;t_h_frame=IGS14&amp;t_coor=geo&amp;t_v_frame=MHHW&amp;t_v_unit=us_ft", "NAVD88 to MHHW")</f>
        <v>0</v>
      </c>
    </row>
    <row r="252" spans="1:20">
      <c r="A252" s="1" t="s">
        <v>276</v>
      </c>
      <c r="B252" s="1" t="s">
        <v>622</v>
      </c>
      <c r="D252" s="1" t="s">
        <v>652</v>
      </c>
      <c r="H252" s="1">
        <v>-75.113</v>
      </c>
      <c r="I252" s="1">
        <v>38.987</v>
      </c>
      <c r="J252" s="1">
        <f>HYPERLINK("https://tidesandcurrents.noaa.gov/stationhome.html?id=8555889", "8555889")</f>
        <v>0</v>
      </c>
      <c r="K252" s="1" t="s">
        <v>861</v>
      </c>
      <c r="L252" s="1" t="s">
        <v>866</v>
      </c>
      <c r="M252" s="1">
        <v>3810475</v>
      </c>
      <c r="N252" s="1">
        <v>-0.462</v>
      </c>
      <c r="O252" s="1" t="s">
        <v>869</v>
      </c>
      <c r="P252" s="1" t="s">
        <v>873</v>
      </c>
      <c r="Q252" s="1">
        <v>2.93</v>
      </c>
      <c r="R252" s="1">
        <v>-2.579</v>
      </c>
      <c r="S252" s="2">
        <f>HYPERLINK("https://vdatum.noaa.gov/vdatumweb/api/convert?s_x=-75.113&amp;s_y=38.987&amp;s_z=0.0&amp;region=chesapeak_delaware&amp;s_h_frame=NAD83_2011&amp;s_coor=geo&amp;s_v_frame=NAVD88&amp;s_v_unit=us_ft&amp;t_h_frame=IGS14&amp;t_coor=geo&amp;t_v_frame=MLLW&amp;t_v_unit=us_ft", "NAVD88 to MLLW")</f>
        <v>0</v>
      </c>
      <c r="T252" s="2">
        <f>HYPERLINK("https://vdatum.noaa.gov/vdatumweb/api/convert?s_x=-75.113&amp;s_y=38.987&amp;s_z=0.0&amp;region=chesapeak_delaware&amp;s_h_frame=NAD83_2011&amp;s_coor=geo&amp;s_v_frame=NAVD88&amp;s_v_unit=us_ft&amp;t_h_frame=IGS14&amp;t_coor=geo&amp;t_v_frame=MHHW&amp;t_v_unit=us_ft", "NAVD88 to MHHW")</f>
        <v>0</v>
      </c>
    </row>
    <row r="253" spans="1:20">
      <c r="A253" s="1" t="s">
        <v>277</v>
      </c>
      <c r="B253" s="1" t="s">
        <v>622</v>
      </c>
      <c r="C253" s="1" t="s">
        <v>644</v>
      </c>
      <c r="D253" s="1" t="s">
        <v>652</v>
      </c>
      <c r="E253" s="1" t="s">
        <v>738</v>
      </c>
      <c r="F253" s="1" t="s">
        <v>844</v>
      </c>
      <c r="G253" s="1" t="s">
        <v>854</v>
      </c>
      <c r="H253" s="1">
        <v>-75.12</v>
      </c>
      <c r="I253" s="1">
        <v>38.7817</v>
      </c>
      <c r="J253" s="1">
        <f>HYPERLINK("https://tidesandcurrents.noaa.gov/stationhome.html?id=8557380", "8557380")</f>
        <v>0</v>
      </c>
      <c r="K253" s="1" t="s">
        <v>860</v>
      </c>
      <c r="L253" s="1" t="s">
        <v>866</v>
      </c>
      <c r="M253" s="1">
        <v>4118549</v>
      </c>
      <c r="N253" s="1">
        <v>0</v>
      </c>
      <c r="O253" s="1" t="s">
        <v>869</v>
      </c>
      <c r="P253" s="1" t="s">
        <v>873</v>
      </c>
      <c r="Q253" s="1">
        <v>2.71</v>
      </c>
      <c r="R253" s="1">
        <v>-1.988</v>
      </c>
      <c r="S253" s="2">
        <f>HYPERLINK("https://vdatum.noaa.gov/vdatumweb/api/convert?s_x=-75.12&amp;s_y=38.7817&amp;s_z=0.0&amp;region=chesapeak_delaware&amp;s_h_frame=NAD83_2011&amp;s_coor=geo&amp;s_v_frame=NAVD88&amp;s_v_unit=us_ft&amp;t_h_frame=IGS14&amp;t_coor=geo&amp;t_v_frame=MLLW&amp;t_v_unit=us_ft", "NAVD88 to MLLW")</f>
        <v>0</v>
      </c>
      <c r="T253" s="2">
        <f>HYPERLINK("https://vdatum.noaa.gov/vdatumweb/api/convert?s_x=-75.12&amp;s_y=38.7817&amp;s_z=0.0&amp;region=chesapeak_delaware&amp;s_h_frame=NAD83_2011&amp;s_coor=geo&amp;s_v_frame=NAVD88&amp;s_v_unit=us_ft&amp;t_h_frame=IGS14&amp;t_coor=geo&amp;t_v_frame=MHHW&amp;t_v_unit=us_ft", "NAVD88 to MHHW")</f>
        <v>0</v>
      </c>
    </row>
    <row r="254" spans="1:20">
      <c r="A254" s="1" t="s">
        <v>278</v>
      </c>
      <c r="B254" s="1" t="s">
        <v>622</v>
      </c>
      <c r="D254" s="1" t="s">
        <v>652</v>
      </c>
      <c r="H254" s="1">
        <v>-75.06999999999999</v>
      </c>
      <c r="I254" s="1">
        <v>38.61</v>
      </c>
      <c r="J254" s="1">
        <f>HYPERLINK("https://tidesandcurrents.noaa.gov/stationhome.html?id=8558690", "8558690")</f>
        <v>0</v>
      </c>
      <c r="K254" s="1" t="s">
        <v>860</v>
      </c>
      <c r="L254" s="1" t="s">
        <v>866</v>
      </c>
      <c r="M254" s="1">
        <v>3479963</v>
      </c>
      <c r="N254" s="1">
        <v>-0.465</v>
      </c>
      <c r="O254" s="1" t="s">
        <v>869</v>
      </c>
      <c r="P254" s="1" t="s">
        <v>873</v>
      </c>
      <c r="Q254" s="1">
        <v>1.932</v>
      </c>
      <c r="R254" s="1">
        <v>-1.01</v>
      </c>
      <c r="S254" s="2">
        <f>HYPERLINK("https://vdatum.noaa.gov/vdatumweb/api/convert?s_x=-75.07&amp;s_y=38.61&amp;s_z=0.0&amp;region=chesapeak_delaware&amp;s_h_frame=NAD83_2011&amp;s_coor=geo&amp;s_v_frame=NAVD88&amp;s_v_unit=us_ft&amp;t_h_frame=IGS14&amp;t_coor=geo&amp;t_v_frame=MLLW&amp;t_v_unit=us_ft", "NAVD88 to MLLW")</f>
        <v>0</v>
      </c>
      <c r="T254" s="2">
        <f>HYPERLINK("https://vdatum.noaa.gov/vdatumweb/api/convert?s_x=-75.07&amp;s_y=38.61&amp;s_z=0.0&amp;region=chesapeak_delaware&amp;s_h_frame=NAD83_2011&amp;s_coor=geo&amp;s_v_frame=NAVD88&amp;s_v_unit=us_ft&amp;t_h_frame=IGS14&amp;t_coor=geo&amp;t_v_frame=MHHW&amp;t_v_unit=us_ft", "NAVD88 to MHHW")</f>
        <v>0</v>
      </c>
    </row>
    <row r="255" spans="1:20">
      <c r="A255" s="1" t="s">
        <v>279</v>
      </c>
      <c r="B255" s="1" t="s">
        <v>622</v>
      </c>
      <c r="C255" s="1" t="s">
        <v>644</v>
      </c>
      <c r="D255" s="1" t="s">
        <v>652</v>
      </c>
      <c r="E255" s="1" t="s">
        <v>739</v>
      </c>
      <c r="F255" s="1" t="s">
        <v>830</v>
      </c>
      <c r="G255" s="1" t="s">
        <v>854</v>
      </c>
      <c r="H255" s="1">
        <v>-76.2445</v>
      </c>
      <c r="I255" s="1">
        <v>39.2134</v>
      </c>
      <c r="J255" s="1">
        <f>HYPERLINK("https://tidesandcurrents.noaa.gov/stationhome.html?id=8573364", "8573364")</f>
        <v>0</v>
      </c>
      <c r="K255" s="1" t="s">
        <v>860</v>
      </c>
      <c r="L255" s="1" t="s">
        <v>866</v>
      </c>
      <c r="M255" s="1">
        <v>4399058</v>
      </c>
      <c r="N255" s="1">
        <v>0</v>
      </c>
      <c r="O255" s="1" t="s">
        <v>869</v>
      </c>
      <c r="P255" s="1" t="s">
        <v>873</v>
      </c>
      <c r="Q255" s="1">
        <v>0.84</v>
      </c>
      <c r="R255" s="1">
        <v>-0.896</v>
      </c>
      <c r="S255" s="2">
        <f>HYPERLINK("https://vdatum.noaa.gov/vdatumweb/api/convert?s_x=-76.2445&amp;s_y=39.2134&amp;s_z=0.0&amp;region=chesapeak_delaware&amp;s_h_frame=NAD83_2011&amp;s_coor=geo&amp;s_v_frame=NAVD88&amp;s_v_unit=us_ft&amp;t_h_frame=IGS14&amp;t_coor=geo&amp;t_v_frame=MLLW&amp;t_v_unit=us_ft", "NAVD88 to MLLW")</f>
        <v>0</v>
      </c>
      <c r="T255" s="2">
        <f>HYPERLINK("https://vdatum.noaa.gov/vdatumweb/api/convert?s_x=-76.2445&amp;s_y=39.2134&amp;s_z=0.0&amp;region=chesapeak_delaware&amp;s_h_frame=NAD83_2011&amp;s_coor=geo&amp;s_v_frame=NAVD88&amp;s_v_unit=us_ft&amp;t_h_frame=IGS14&amp;t_coor=geo&amp;t_v_frame=MHHW&amp;t_v_unit=us_ft", "NAVD88 to MHHW")</f>
        <v>0</v>
      </c>
    </row>
    <row r="256" spans="1:20">
      <c r="A256" s="1" t="s">
        <v>280</v>
      </c>
      <c r="B256" s="1" t="s">
        <v>622</v>
      </c>
      <c r="C256" s="1" t="s">
        <v>644</v>
      </c>
      <c r="D256" s="1" t="s">
        <v>652</v>
      </c>
      <c r="E256" s="1" t="s">
        <v>729</v>
      </c>
      <c r="F256" s="1" t="s">
        <v>842</v>
      </c>
      <c r="G256" s="1" t="s">
        <v>854</v>
      </c>
      <c r="H256" s="1">
        <v>-74.04000000000001</v>
      </c>
      <c r="I256" s="1">
        <v>40.11</v>
      </c>
      <c r="J256" s="1">
        <f>HYPERLINK("https://tidesandcurrents.noaa.gov/stationhome.html?id=8632591", "8632591")</f>
        <v>0</v>
      </c>
      <c r="K256" s="1" t="s">
        <v>860</v>
      </c>
      <c r="L256" s="1" t="s">
        <v>866</v>
      </c>
      <c r="M256" s="1">
        <v>3644621</v>
      </c>
      <c r="N256" s="1">
        <v>0</v>
      </c>
      <c r="O256" s="1" t="s">
        <v>869</v>
      </c>
      <c r="P256" s="1" t="s">
        <v>874</v>
      </c>
      <c r="Q256" s="1">
        <v>2.369</v>
      </c>
      <c r="R256" s="1">
        <v>-2.055</v>
      </c>
      <c r="S256" s="2">
        <f>HYPERLINK("https://vdatum.noaa.gov/vdatumweb/api/convert?s_x=-74.04&amp;s_y=40.11&amp;s_z=0.0&amp;region=contiguous&amp;s_h_frame=NAD83_2011&amp;s_coor=geo&amp;s_v_frame=NAVD88&amp;s_v_unit=us_ft&amp;t_h_frame=NAD83_2011&amp;t_coor=geo&amp;t_v_frame=MLLW&amp;t_v_unit=us_ft", "NAVD88 to MLLW")</f>
        <v>0</v>
      </c>
      <c r="T256" s="2">
        <f>HYPERLINK("https://vdatum.noaa.gov/vdatumweb/api/convert?s_x=-74.04&amp;s_y=40.11&amp;s_z=0.0&amp;region=contiguous&amp;s_h_frame=NAD83_2011&amp;s_coor=geo&amp;s_v_frame=NAVD88&amp;s_v_unit=us_ft&amp;t_h_frame=NAD83_2011&amp;t_coor=geo&amp;t_v_frame=MHHW&amp;t_v_unit=us_ft", "NAVD88 to MHHW")</f>
        <v>0</v>
      </c>
    </row>
    <row r="257" spans="1:20">
      <c r="A257" s="1" t="s">
        <v>281</v>
      </c>
      <c r="B257" s="1" t="s">
        <v>622</v>
      </c>
      <c r="C257" s="1" t="s">
        <v>644</v>
      </c>
      <c r="D257" s="1" t="s">
        <v>652</v>
      </c>
      <c r="E257" s="1" t="s">
        <v>731</v>
      </c>
      <c r="F257" s="1" t="s">
        <v>842</v>
      </c>
      <c r="G257" s="1" t="s">
        <v>854</v>
      </c>
      <c r="H257" s="1">
        <v>-74.45999999999999</v>
      </c>
      <c r="I257" s="1">
        <v>39.35</v>
      </c>
      <c r="J257" s="1" t="s">
        <v>859</v>
      </c>
      <c r="K257" s="1" t="s">
        <v>860</v>
      </c>
      <c r="L257" s="1" t="s">
        <v>859</v>
      </c>
      <c r="M257" s="1">
        <v>3645439</v>
      </c>
      <c r="N257" s="1">
        <v>0</v>
      </c>
      <c r="O257" s="1" t="s">
        <v>869</v>
      </c>
      <c r="P257" s="1" t="s">
        <v>873</v>
      </c>
      <c r="Q257" s="1">
        <v>2.388</v>
      </c>
      <c r="R257" s="1">
        <v>-2.064</v>
      </c>
      <c r="S257" s="2">
        <f>HYPERLINK("https://vdatum.noaa.gov/vdatumweb/api/convert?s_x=-74.46&amp;s_y=39.35&amp;s_z=0.0&amp;region=chesapeak_delaware&amp;s_h_frame=NAD83_2011&amp;s_coor=geo&amp;s_v_frame=NAVD88&amp;s_v_unit=us_ft&amp;t_h_frame=IGS14&amp;t_coor=geo&amp;t_v_frame=MLLW&amp;t_v_unit=us_ft", "NAVD88 to MLLW")</f>
        <v>0</v>
      </c>
      <c r="T257" s="2">
        <f>HYPERLINK("https://vdatum.noaa.gov/vdatumweb/api/convert?s_x=-74.46&amp;s_y=39.35&amp;s_z=0.0&amp;region=chesapeak_delaware&amp;s_h_frame=NAD83_2011&amp;s_coor=geo&amp;s_v_frame=NAVD88&amp;s_v_unit=us_ft&amp;t_h_frame=IGS14&amp;t_coor=geo&amp;t_v_frame=MHHW&amp;t_v_unit=us_ft", "NAVD88 to MHHW")</f>
        <v>0</v>
      </c>
    </row>
    <row r="258" spans="1:20">
      <c r="A258" s="1" t="s">
        <v>282</v>
      </c>
      <c r="B258" s="1" t="s">
        <v>622</v>
      </c>
      <c r="C258" s="1" t="s">
        <v>644</v>
      </c>
      <c r="D258" s="1" t="s">
        <v>652</v>
      </c>
      <c r="E258" s="1" t="s">
        <v>730</v>
      </c>
      <c r="F258" s="1" t="s">
        <v>842</v>
      </c>
      <c r="G258" s="1" t="s">
        <v>854</v>
      </c>
      <c r="H258" s="1">
        <v>-74.08</v>
      </c>
      <c r="I258" s="1">
        <v>39.94</v>
      </c>
      <c r="J258" s="1" t="s">
        <v>859</v>
      </c>
      <c r="K258" s="1" t="s">
        <v>861</v>
      </c>
      <c r="L258" s="1" t="s">
        <v>859</v>
      </c>
      <c r="M258" s="1">
        <v>3478393</v>
      </c>
      <c r="N258" s="1">
        <v>0</v>
      </c>
      <c r="O258" s="1" t="s">
        <v>869</v>
      </c>
      <c r="P258" s="1" t="s">
        <v>874</v>
      </c>
      <c r="Q258" s="1">
        <v>0.478</v>
      </c>
      <c r="R258" s="1">
        <v>-0.382</v>
      </c>
      <c r="S258" s="2">
        <f>HYPERLINK("https://vdatum.noaa.gov/vdatumweb/api/convert?s_x=-74.08&amp;s_y=39.94&amp;s_z=0.0&amp;region=contiguous&amp;s_h_frame=NAD83_2011&amp;s_coor=geo&amp;s_v_frame=NAVD88&amp;s_v_unit=us_ft&amp;t_h_frame=NAD83_2011&amp;t_coor=geo&amp;t_v_frame=MLLW&amp;t_v_unit=us_ft", "NAVD88 to MLLW")</f>
        <v>0</v>
      </c>
      <c r="T258" s="2">
        <f>HYPERLINK("https://vdatum.noaa.gov/vdatumweb/api/convert?s_x=-74.08&amp;s_y=39.94&amp;s_z=0.0&amp;region=contiguous&amp;s_h_frame=NAD83_2011&amp;s_coor=geo&amp;s_v_frame=NAVD88&amp;s_v_unit=us_ft&amp;t_h_frame=NAD83_2011&amp;t_coor=geo&amp;t_v_frame=MHHW&amp;t_v_unit=us_ft", "NAVD88 to MHHW")</f>
        <v>0</v>
      </c>
    </row>
    <row r="259" spans="1:20">
      <c r="A259" s="1" t="s">
        <v>283</v>
      </c>
      <c r="B259" s="1" t="s">
        <v>622</v>
      </c>
      <c r="C259" s="1" t="s">
        <v>644</v>
      </c>
      <c r="D259" s="1" t="s">
        <v>652</v>
      </c>
      <c r="E259" s="1" t="s">
        <v>731</v>
      </c>
      <c r="F259" s="1" t="s">
        <v>842</v>
      </c>
      <c r="G259" s="1" t="s">
        <v>854</v>
      </c>
      <c r="H259" s="1">
        <v>-74.52055405999999</v>
      </c>
      <c r="I259" s="1">
        <v>39.4302698</v>
      </c>
      <c r="J259" s="1">
        <f>HYPERLINK("https://waterdata.usgs.gov/nwis/nwismap/?site_no=01410500&amp;agency_cd=USGS", "US01410500")</f>
        <v>0</v>
      </c>
      <c r="K259" s="1" t="s">
        <v>864</v>
      </c>
      <c r="L259" s="1" t="s">
        <v>867</v>
      </c>
      <c r="M259" s="1">
        <v>4115144</v>
      </c>
      <c r="N259" s="1">
        <v>0</v>
      </c>
      <c r="O259" s="1" t="s">
        <v>869</v>
      </c>
      <c r="P259" s="1" t="s">
        <v>873</v>
      </c>
      <c r="Q259" s="1">
        <v>-999999</v>
      </c>
      <c r="R259" s="1">
        <v>-999999</v>
      </c>
      <c r="S259" s="2">
        <f>HYPERLINK("https://vdatum.noaa.gov/vdatumweb/api/convert?s_x=-74.52055406&amp;s_y=39.4302698&amp;s_z=0.0&amp;region=chesapeak_delaware&amp;s_h_frame=NAD83_2011&amp;s_coor=geo&amp;s_v_frame=NAVD88&amp;s_v_unit=us_ft&amp;t_h_frame=IGS14&amp;t_coor=geo&amp;t_v_frame=MLLW&amp;t_v_unit=us_ft", "Missing")</f>
        <v>0</v>
      </c>
      <c r="T259" s="2">
        <f>HYPERLINK("https://vdatum.noaa.gov/vdatumweb/api/convert?s_x=-74.52055406&amp;s_y=39.4302698&amp;s_z=0.0&amp;region=chesapeak_delaware&amp;s_h_frame=NAD83_2011&amp;s_coor=geo&amp;s_v_frame=NAVD88&amp;s_v_unit=us_ft&amp;t_h_frame=IGS14&amp;t_coor=geo&amp;t_v_frame=MHHW&amp;t_v_unit=us_ft", "Missing")</f>
        <v>0</v>
      </c>
    </row>
    <row r="260" spans="1:20">
      <c r="A260" s="1" t="s">
        <v>284</v>
      </c>
      <c r="B260" s="1" t="s">
        <v>622</v>
      </c>
      <c r="C260" s="1" t="s">
        <v>644</v>
      </c>
      <c r="D260" s="1" t="s">
        <v>652</v>
      </c>
      <c r="E260" s="1" t="s">
        <v>734</v>
      </c>
      <c r="F260" s="1" t="s">
        <v>843</v>
      </c>
      <c r="G260" s="1" t="s">
        <v>854</v>
      </c>
      <c r="H260" s="1">
        <v>-75.18030382000001</v>
      </c>
      <c r="I260" s="1">
        <v>39.95663082</v>
      </c>
      <c r="J260" s="1">
        <f>HYPERLINK("https://waterdata.usgs.gov/nwis/nwismap/?site_no=01474501&amp;agency_cd=USGS", "US01474501")</f>
        <v>0</v>
      </c>
      <c r="K260" s="1" t="s">
        <v>861</v>
      </c>
      <c r="L260" s="1" t="s">
        <v>867</v>
      </c>
      <c r="M260" s="1">
        <v>4815932</v>
      </c>
      <c r="N260" s="1">
        <v>0</v>
      </c>
      <c r="O260" s="1" t="s">
        <v>869</v>
      </c>
      <c r="P260" s="1" t="s">
        <v>873</v>
      </c>
      <c r="Q260" s="1">
        <v>-999999</v>
      </c>
      <c r="R260" s="1">
        <v>-999999</v>
      </c>
      <c r="S260" s="2">
        <f>HYPERLINK("https://vdatum.noaa.gov/vdatumweb/api/convert?s_x=-75.18030382&amp;s_y=39.95663082&amp;s_z=0.0&amp;region=chesapeak_delaware&amp;s_h_frame=NAD83_2011&amp;s_coor=geo&amp;s_v_frame=NAVD88&amp;s_v_unit=us_ft&amp;t_h_frame=IGS14&amp;t_coor=geo&amp;t_v_frame=MLLW&amp;t_v_unit=us_ft", "Missing")</f>
        <v>0</v>
      </c>
      <c r="T260" s="2">
        <f>HYPERLINK("https://vdatum.noaa.gov/vdatumweb/api/convert?s_x=-75.18030382&amp;s_y=39.95663082&amp;s_z=0.0&amp;region=chesapeak_delaware&amp;s_h_frame=NAD83_2011&amp;s_coor=geo&amp;s_v_frame=NAVD88&amp;s_v_unit=us_ft&amp;t_h_frame=IGS14&amp;t_coor=geo&amp;t_v_frame=MHHW&amp;t_v_unit=us_ft", "Missing")</f>
        <v>0</v>
      </c>
    </row>
    <row r="261" spans="1:20">
      <c r="A261" s="1" t="s">
        <v>285</v>
      </c>
      <c r="B261" s="1" t="s">
        <v>623</v>
      </c>
      <c r="D261" s="1" t="s">
        <v>653</v>
      </c>
      <c r="H261" s="1">
        <v>-157.832</v>
      </c>
      <c r="I261" s="1">
        <v>21.2882</v>
      </c>
      <c r="J261" s="1" t="s">
        <v>859</v>
      </c>
      <c r="K261" s="1" t="s">
        <v>861</v>
      </c>
      <c r="L261" s="1" t="s">
        <v>859</v>
      </c>
      <c r="M261" s="1">
        <v>437478</v>
      </c>
      <c r="N261" s="1">
        <v>0</v>
      </c>
      <c r="O261" s="1" t="s">
        <v>870</v>
      </c>
      <c r="P261" s="1" t="s">
        <v>875</v>
      </c>
      <c r="Q261" s="1">
        <v>-999999</v>
      </c>
      <c r="R261" s="1">
        <v>-999999</v>
      </c>
      <c r="S261" s="2">
        <f>HYPERLINK("https://vdatum.noaa.gov/vdatumweb/api/convert?s_x=-157.832&amp;s_y=21.2882&amp;s_z=0.0&amp;region=hi&amp;s_h_frame=None&amp;s_coor=geo&amp;s_v_frame=LMSL&amp;s_v_unit=us_ft&amp;t_h_frame=None&amp;t_coor=geo&amp;t_v_frame=MLLW&amp;t_v_unit=us_ft", "Error")</f>
        <v>0</v>
      </c>
      <c r="T261" s="2">
        <f>HYPERLINK("https://vdatum.noaa.gov/vdatumweb/api/convert?s_x=-157.832&amp;s_y=21.2882&amp;s_z=0.0&amp;region=hi&amp;s_h_frame=None&amp;s_coor=geo&amp;s_v_frame=LMSL&amp;s_v_unit=us_ft&amp;t_h_frame=None&amp;t_coor=geo&amp;t_v_frame=MHHW&amp;t_v_unit=us_ft", "Error")</f>
        <v>0</v>
      </c>
    </row>
    <row r="262" spans="1:20">
      <c r="A262" s="1" t="s">
        <v>286</v>
      </c>
      <c r="B262" s="1" t="s">
        <v>623</v>
      </c>
      <c r="C262" s="1" t="s">
        <v>647</v>
      </c>
      <c r="D262" s="1" t="s">
        <v>653</v>
      </c>
      <c r="E262" s="1" t="s">
        <v>740</v>
      </c>
      <c r="F262" s="1" t="s">
        <v>845</v>
      </c>
      <c r="G262" s="1" t="s">
        <v>855</v>
      </c>
      <c r="H262" s="1">
        <v>-158.1035</v>
      </c>
      <c r="I262" s="1">
        <v>21.5936</v>
      </c>
      <c r="J262" s="1" t="s">
        <v>859</v>
      </c>
      <c r="K262" s="1" t="s">
        <v>861</v>
      </c>
      <c r="L262" s="1" t="s">
        <v>859</v>
      </c>
      <c r="M262" s="1">
        <v>777883</v>
      </c>
      <c r="N262" s="1">
        <v>0</v>
      </c>
      <c r="O262" s="1" t="s">
        <v>870</v>
      </c>
      <c r="P262" s="1" t="s">
        <v>875</v>
      </c>
      <c r="Q262" s="1">
        <v>-999999</v>
      </c>
      <c r="R262" s="1">
        <v>-999999</v>
      </c>
      <c r="S262" s="2">
        <f>HYPERLINK("https://vdatum.noaa.gov/vdatumweb/api/convert?s_x=-158.1035&amp;s_y=21.5936&amp;s_z=0.0&amp;region=hi&amp;s_h_frame=None&amp;s_coor=geo&amp;s_v_frame=LMSL&amp;s_v_unit=us_ft&amp;t_h_frame=None&amp;t_coor=geo&amp;t_v_frame=MLLW&amp;t_v_unit=us_ft", "Error")</f>
        <v>0</v>
      </c>
      <c r="T262" s="2">
        <f>HYPERLINK("https://vdatum.noaa.gov/vdatumweb/api/convert?s_x=-158.1035&amp;s_y=21.5936&amp;s_z=0.0&amp;region=hi&amp;s_h_frame=None&amp;s_coor=geo&amp;s_v_frame=LMSL&amp;s_v_unit=us_ft&amp;t_h_frame=None&amp;t_coor=geo&amp;t_v_frame=MHHW&amp;t_v_unit=us_ft", "Error")</f>
        <v>0</v>
      </c>
    </row>
    <row r="263" spans="1:20">
      <c r="A263" s="1" t="s">
        <v>287</v>
      </c>
      <c r="B263" s="1" t="s">
        <v>623</v>
      </c>
      <c r="C263" s="1" t="s">
        <v>647</v>
      </c>
      <c r="D263" s="1" t="s">
        <v>653</v>
      </c>
      <c r="E263" s="1" t="s">
        <v>740</v>
      </c>
      <c r="F263" s="1" t="s">
        <v>845</v>
      </c>
      <c r="G263" s="1" t="s">
        <v>855</v>
      </c>
      <c r="H263" s="1">
        <v>-157.8937</v>
      </c>
      <c r="I263" s="1">
        <v>21.3354</v>
      </c>
      <c r="J263" s="1" t="s">
        <v>859</v>
      </c>
      <c r="K263" s="1" t="s">
        <v>861</v>
      </c>
      <c r="L263" s="1" t="s">
        <v>859</v>
      </c>
      <c r="M263" s="1">
        <v>364386</v>
      </c>
      <c r="N263" s="1">
        <v>0</v>
      </c>
      <c r="O263" s="1" t="s">
        <v>870</v>
      </c>
      <c r="P263" s="1" t="s">
        <v>875</v>
      </c>
      <c r="Q263" s="1">
        <v>-999999</v>
      </c>
      <c r="R263" s="1">
        <v>-999999</v>
      </c>
      <c r="S263" s="2">
        <f>HYPERLINK("https://vdatum.noaa.gov/vdatumweb/api/convert?s_x=-157.8937&amp;s_y=21.3354&amp;s_z=0.0&amp;region=hi&amp;s_h_frame=None&amp;s_coor=geo&amp;s_v_frame=LMSL&amp;s_v_unit=us_ft&amp;t_h_frame=None&amp;t_coor=geo&amp;t_v_frame=MLLW&amp;t_v_unit=us_ft", "Error")</f>
        <v>0</v>
      </c>
      <c r="T263" s="2">
        <f>HYPERLINK("https://vdatum.noaa.gov/vdatumweb/api/convert?s_x=-157.8937&amp;s_y=21.3354&amp;s_z=0.0&amp;region=hi&amp;s_h_frame=None&amp;s_coor=geo&amp;s_v_frame=LMSL&amp;s_v_unit=us_ft&amp;t_h_frame=None&amp;t_coor=geo&amp;t_v_frame=MHHW&amp;t_v_unit=us_ft", "Error")</f>
        <v>0</v>
      </c>
    </row>
    <row r="264" spans="1:20">
      <c r="A264" s="1" t="s">
        <v>288</v>
      </c>
      <c r="B264" s="1" t="s">
        <v>623</v>
      </c>
      <c r="C264" s="1" t="s">
        <v>647</v>
      </c>
      <c r="D264" s="1" t="s">
        <v>653</v>
      </c>
      <c r="E264" s="1" t="s">
        <v>740</v>
      </c>
      <c r="F264" s="1" t="s">
        <v>845</v>
      </c>
      <c r="G264" s="1" t="s">
        <v>855</v>
      </c>
      <c r="H264" s="1">
        <v>-158.1052</v>
      </c>
      <c r="I264" s="1">
        <v>21.5798</v>
      </c>
      <c r="J264" s="1" t="s">
        <v>859</v>
      </c>
      <c r="K264" s="1" t="s">
        <v>861</v>
      </c>
      <c r="L264" s="1" t="s">
        <v>859</v>
      </c>
      <c r="M264" s="1">
        <v>732671</v>
      </c>
      <c r="N264" s="1">
        <v>0</v>
      </c>
      <c r="O264" s="1" t="s">
        <v>870</v>
      </c>
      <c r="P264" s="1" t="s">
        <v>875</v>
      </c>
      <c r="Q264" s="1">
        <v>-999999</v>
      </c>
      <c r="R264" s="1">
        <v>-999999</v>
      </c>
      <c r="S264" s="2">
        <f>HYPERLINK("https://vdatum.noaa.gov/vdatumweb/api/convert?s_x=-158.1052&amp;s_y=21.5798&amp;s_z=0.0&amp;region=hi&amp;s_h_frame=None&amp;s_coor=geo&amp;s_v_frame=LMSL&amp;s_v_unit=us_ft&amp;t_h_frame=None&amp;t_coor=geo&amp;t_v_frame=MLLW&amp;t_v_unit=us_ft", "Error")</f>
        <v>0</v>
      </c>
      <c r="T264" s="2">
        <f>HYPERLINK("https://vdatum.noaa.gov/vdatumweb/api/convert?s_x=-158.1052&amp;s_y=21.5798&amp;s_z=0.0&amp;region=hi&amp;s_h_frame=None&amp;s_coor=geo&amp;s_v_frame=LMSL&amp;s_v_unit=us_ft&amp;t_h_frame=None&amp;t_coor=geo&amp;t_v_frame=MHHW&amp;t_v_unit=us_ft", "Error")</f>
        <v>0</v>
      </c>
    </row>
    <row r="265" spans="1:20">
      <c r="A265" s="1" t="s">
        <v>289</v>
      </c>
      <c r="B265" s="1" t="s">
        <v>623</v>
      </c>
      <c r="C265" s="1" t="s">
        <v>647</v>
      </c>
      <c r="D265" s="1" t="s">
        <v>653</v>
      </c>
      <c r="E265" s="1" t="s">
        <v>741</v>
      </c>
      <c r="F265" s="1" t="s">
        <v>845</v>
      </c>
      <c r="G265" s="1" t="s">
        <v>855</v>
      </c>
      <c r="H265" s="1">
        <v>-159.3389</v>
      </c>
      <c r="I265" s="1">
        <v>22.046</v>
      </c>
      <c r="J265" s="1" t="s">
        <v>859</v>
      </c>
      <c r="K265" s="1" t="s">
        <v>861</v>
      </c>
      <c r="L265" s="1" t="s">
        <v>859</v>
      </c>
      <c r="M265" s="1">
        <v>806205</v>
      </c>
      <c r="N265" s="1">
        <v>0</v>
      </c>
      <c r="O265" s="1" t="s">
        <v>870</v>
      </c>
      <c r="P265" s="1" t="s">
        <v>875</v>
      </c>
      <c r="Q265" s="1">
        <v>-999999</v>
      </c>
      <c r="R265" s="1">
        <v>-999999</v>
      </c>
      <c r="S265" s="2">
        <f>HYPERLINK("https://vdatum.noaa.gov/vdatumweb/api/convert?s_x=-159.3389&amp;s_y=22.046&amp;s_z=0.0&amp;region=hi&amp;s_h_frame=None&amp;s_coor=geo&amp;s_v_frame=LMSL&amp;s_v_unit=us_ft&amp;t_h_frame=None&amp;t_coor=geo&amp;t_v_frame=MLLW&amp;t_v_unit=us_ft", "Error")</f>
        <v>0</v>
      </c>
      <c r="T265" s="2">
        <f>HYPERLINK("https://vdatum.noaa.gov/vdatumweb/api/convert?s_x=-159.3389&amp;s_y=22.046&amp;s_z=0.0&amp;region=hi&amp;s_h_frame=None&amp;s_coor=geo&amp;s_v_frame=LMSL&amp;s_v_unit=us_ft&amp;t_h_frame=None&amp;t_coor=geo&amp;t_v_frame=MHHW&amp;t_v_unit=us_ft", "Error")</f>
        <v>0</v>
      </c>
    </row>
    <row r="266" spans="1:20">
      <c r="A266" s="1" t="s">
        <v>290</v>
      </c>
      <c r="B266" s="1" t="s">
        <v>624</v>
      </c>
      <c r="D266" s="1" t="s">
        <v>654</v>
      </c>
      <c r="E266" s="1" t="s">
        <v>742</v>
      </c>
      <c r="F266" s="1" t="s">
        <v>846</v>
      </c>
      <c r="G266" s="1" t="s">
        <v>856</v>
      </c>
      <c r="H266" s="1">
        <v>-97.28530000000001</v>
      </c>
      <c r="I266" s="1">
        <v>26.2625</v>
      </c>
      <c r="J266" s="1">
        <f>HYPERLINK("https://tidesandcurrents.noaa.gov/stationhome.html?id=8779280", "8779280")</f>
        <v>0</v>
      </c>
      <c r="K266" s="1" t="s">
        <v>861</v>
      </c>
      <c r="L266" s="1" t="s">
        <v>866</v>
      </c>
      <c r="M266" s="1">
        <v>3556046</v>
      </c>
      <c r="N266" s="1">
        <v>-0.003</v>
      </c>
      <c r="O266" s="1" t="s">
        <v>869</v>
      </c>
      <c r="P266" s="1" t="s">
        <v>874</v>
      </c>
      <c r="Q266" s="1">
        <v>0.29</v>
      </c>
      <c r="R266" s="1">
        <v>-0.24</v>
      </c>
      <c r="S266" s="2">
        <f>HYPERLINK("https://vdatum.noaa.gov/vdatumweb/api/convert?s_x=-97.2853&amp;s_y=26.2625&amp;s_z=0.0&amp;region=contiguous&amp;s_h_frame=NAD83_2011&amp;s_coor=geo&amp;s_v_frame=NAVD88&amp;s_v_unit=us_ft&amp;t_h_frame=NAD83_2011&amp;t_coor=geo&amp;t_v_frame=MLLW&amp;t_v_unit=us_ft", "NAVD88 to MLLW")</f>
        <v>0</v>
      </c>
      <c r="T266" s="2">
        <f>HYPERLINK("https://vdatum.noaa.gov/vdatumweb/api/convert?s_x=-97.2853&amp;s_y=26.2625&amp;s_z=0.0&amp;region=contiguous&amp;s_h_frame=NAD83_2011&amp;s_coor=geo&amp;s_v_frame=NAVD88&amp;s_v_unit=us_ft&amp;t_h_frame=NAD83_2011&amp;t_coor=geo&amp;t_v_frame=MHHW&amp;t_v_unit=us_ft", "NAVD88 to MHHW")</f>
        <v>0</v>
      </c>
    </row>
    <row r="267" spans="1:20">
      <c r="A267" s="1" t="s">
        <v>291</v>
      </c>
      <c r="B267" s="1" t="s">
        <v>624</v>
      </c>
      <c r="D267" s="1" t="s">
        <v>654</v>
      </c>
      <c r="H267" s="1">
        <v>-97.1669</v>
      </c>
      <c r="I267" s="1">
        <v>26.07247</v>
      </c>
      <c r="J267" s="1">
        <f>HYPERLINK("https://tidesandcurrents.noaa.gov/stationhome.html?id=8779748", "8779748")</f>
        <v>0</v>
      </c>
      <c r="K267" s="1" t="s">
        <v>861</v>
      </c>
      <c r="L267" s="1" t="s">
        <v>866</v>
      </c>
      <c r="M267" s="1">
        <v>2191017</v>
      </c>
      <c r="N267" s="1">
        <v>0</v>
      </c>
      <c r="O267" s="1" t="s">
        <v>869</v>
      </c>
      <c r="P267" s="1" t="s">
        <v>874</v>
      </c>
      <c r="Q267" s="1">
        <v>1.055</v>
      </c>
      <c r="R267" s="1">
        <v>-0.341</v>
      </c>
      <c r="S267" s="2">
        <f>HYPERLINK("https://vdatum.noaa.gov/vdatumweb/api/convert?s_x=-97.1669&amp;s_y=26.07247&amp;s_z=0.0&amp;region=contiguous&amp;s_h_frame=NAD83_2011&amp;s_coor=geo&amp;s_v_frame=NAVD88&amp;s_v_unit=us_ft&amp;t_h_frame=NAD83_2011&amp;t_coor=geo&amp;t_v_frame=MLLW&amp;t_v_unit=us_ft", "NAVD88 to MLLW")</f>
        <v>0</v>
      </c>
      <c r="T267" s="2">
        <f>HYPERLINK("https://vdatum.noaa.gov/vdatumweb/api/convert?s_x=-97.1669&amp;s_y=26.07247&amp;s_z=0.0&amp;region=contiguous&amp;s_h_frame=NAD83_2011&amp;s_coor=geo&amp;s_v_frame=NAVD88&amp;s_v_unit=us_ft&amp;t_h_frame=NAD83_2011&amp;t_coor=geo&amp;t_v_frame=MHHW&amp;t_v_unit=us_ft", "NAVD88 to MHHW")</f>
        <v>0</v>
      </c>
    </row>
    <row r="268" spans="1:20">
      <c r="A268" s="1" t="s">
        <v>292</v>
      </c>
      <c r="B268" s="1" t="s">
        <v>624</v>
      </c>
      <c r="C268" s="1" t="s">
        <v>648</v>
      </c>
      <c r="D268" s="1" t="s">
        <v>654</v>
      </c>
      <c r="H268" s="1">
        <v>-97.15470000000001</v>
      </c>
      <c r="I268" s="1">
        <v>26.0675</v>
      </c>
      <c r="J268" s="1">
        <f>HYPERLINK("https://tidesandcurrents.noaa.gov/stationhome.html?id=8779749", "8779749")</f>
        <v>0</v>
      </c>
      <c r="K268" s="1" t="s">
        <v>861</v>
      </c>
      <c r="L268" s="1" t="s">
        <v>866</v>
      </c>
      <c r="M268" s="1">
        <v>1648719</v>
      </c>
      <c r="N268" s="1">
        <v>0</v>
      </c>
      <c r="O268" s="1" t="s">
        <v>869</v>
      </c>
      <c r="P268" s="1" t="s">
        <v>874</v>
      </c>
      <c r="Q268" s="1">
        <v>0.916</v>
      </c>
      <c r="R268" s="1">
        <v>-0.62</v>
      </c>
      <c r="S268" s="2">
        <f>HYPERLINK("https://vdatum.noaa.gov/vdatumweb/api/convert?s_x=-97.1547&amp;s_y=26.0675&amp;s_z=0.0&amp;region=contiguous&amp;s_h_frame=NAD83_2011&amp;s_coor=geo&amp;s_v_frame=NAVD88&amp;s_v_unit=us_ft&amp;t_h_frame=NAD83_2011&amp;t_coor=geo&amp;t_v_frame=MLLW&amp;t_v_unit=us_ft", "NAVD88 to MLLW")</f>
        <v>0</v>
      </c>
      <c r="T268" s="2">
        <f>HYPERLINK("https://vdatum.noaa.gov/vdatumweb/api/convert?s_x=-97.1547&amp;s_y=26.0675&amp;s_z=0.0&amp;region=contiguous&amp;s_h_frame=NAD83_2011&amp;s_coor=geo&amp;s_v_frame=NAVD88&amp;s_v_unit=us_ft&amp;t_h_frame=NAD83_2011&amp;t_coor=geo&amp;t_v_frame=MHHW&amp;t_v_unit=us_ft", "NAVD88 to MHHW")</f>
        <v>0</v>
      </c>
    </row>
    <row r="269" spans="1:20">
      <c r="A269" s="1" t="s">
        <v>293</v>
      </c>
      <c r="B269" s="1" t="s">
        <v>624</v>
      </c>
      <c r="C269" s="1" t="s">
        <v>648</v>
      </c>
      <c r="D269" s="1" t="s">
        <v>654</v>
      </c>
      <c r="H269" s="1">
        <v>-97.1567</v>
      </c>
      <c r="I269" s="1">
        <v>26.0683</v>
      </c>
      <c r="J269" s="1">
        <f>HYPERLINK("https://tidesandcurrents.noaa.gov/stationhome.html?id=8779750", "8779750")</f>
        <v>0</v>
      </c>
      <c r="K269" s="1" t="s">
        <v>861</v>
      </c>
      <c r="L269" s="1" t="s">
        <v>866</v>
      </c>
      <c r="M269" s="1">
        <v>2191023</v>
      </c>
      <c r="N269" s="1">
        <v>0</v>
      </c>
      <c r="O269" s="1" t="s">
        <v>869</v>
      </c>
      <c r="P269" s="1" t="s">
        <v>874</v>
      </c>
      <c r="Q269" s="1">
        <v>0.899</v>
      </c>
      <c r="R269" s="1">
        <v>-0.579</v>
      </c>
      <c r="S269" s="2">
        <f>HYPERLINK("https://vdatum.noaa.gov/vdatumweb/api/convert?s_x=-97.1567&amp;s_y=26.0683&amp;s_z=0.0&amp;region=contiguous&amp;s_h_frame=NAD83_2011&amp;s_coor=geo&amp;s_v_frame=NAVD88&amp;s_v_unit=us_ft&amp;t_h_frame=NAD83_2011&amp;t_coor=geo&amp;t_v_frame=MLLW&amp;t_v_unit=us_ft", "NAVD88 to MLLW")</f>
        <v>0</v>
      </c>
      <c r="T269" s="2">
        <f>HYPERLINK("https://vdatum.noaa.gov/vdatumweb/api/convert?s_x=-97.1567&amp;s_y=26.0683&amp;s_z=0.0&amp;region=contiguous&amp;s_h_frame=NAD83_2011&amp;s_coor=geo&amp;s_v_frame=NAVD88&amp;s_v_unit=us_ft&amp;t_h_frame=NAD83_2011&amp;t_coor=geo&amp;t_v_frame=MHHW&amp;t_v_unit=us_ft", "NAVD88 to MHHW")</f>
        <v>0</v>
      </c>
    </row>
    <row r="270" spans="1:20">
      <c r="A270" s="1" t="s">
        <v>294</v>
      </c>
      <c r="B270" s="1" t="s">
        <v>624</v>
      </c>
      <c r="D270" s="1" t="s">
        <v>654</v>
      </c>
      <c r="E270" s="1" t="s">
        <v>742</v>
      </c>
      <c r="F270" s="1" t="s">
        <v>846</v>
      </c>
      <c r="G270" s="1" t="s">
        <v>856</v>
      </c>
      <c r="H270" s="1">
        <v>-97.21550000000001</v>
      </c>
      <c r="I270" s="1">
        <v>26.06117</v>
      </c>
      <c r="J270" s="1">
        <f>HYPERLINK("https://tidesandcurrents.noaa.gov/stationhome.html?id=8779770", "8779770")</f>
        <v>0</v>
      </c>
      <c r="K270" s="1" t="s">
        <v>861</v>
      </c>
      <c r="L270" s="1" t="s">
        <v>866</v>
      </c>
      <c r="M270" s="1">
        <v>5919942</v>
      </c>
      <c r="N270" s="1">
        <v>0</v>
      </c>
      <c r="O270" s="1" t="s">
        <v>869</v>
      </c>
      <c r="P270" s="1" t="s">
        <v>874</v>
      </c>
      <c r="Q270" s="1">
        <v>0.842</v>
      </c>
      <c r="R270" s="1">
        <v>-0.517</v>
      </c>
      <c r="S270" s="2">
        <f>HYPERLINK("https://vdatum.noaa.gov/vdatumweb/api/convert?s_x=-97.2155&amp;s_y=26.06117&amp;s_z=0.0&amp;region=contiguous&amp;s_h_frame=NAD83_2011&amp;s_coor=geo&amp;s_v_frame=NAVD88&amp;s_v_unit=us_ft&amp;t_h_frame=NAD83_2011&amp;t_coor=geo&amp;t_v_frame=MLLW&amp;t_v_unit=us_ft", "NAVD88 to MLLW")</f>
        <v>0</v>
      </c>
      <c r="T270" s="2">
        <f>HYPERLINK("https://vdatum.noaa.gov/vdatumweb/api/convert?s_x=-97.2155&amp;s_y=26.06117&amp;s_z=0.0&amp;region=contiguous&amp;s_h_frame=NAD83_2011&amp;s_coor=geo&amp;s_v_frame=NAVD88&amp;s_v_unit=us_ft&amp;t_h_frame=NAD83_2011&amp;t_coor=geo&amp;t_v_frame=MHHW&amp;t_v_unit=us_ft", "NAVD88 to MHHW")</f>
        <v>0</v>
      </c>
    </row>
    <row r="271" spans="1:20">
      <c r="A271" s="1" t="s">
        <v>295</v>
      </c>
      <c r="B271" s="1" t="s">
        <v>624</v>
      </c>
      <c r="D271" s="1" t="s">
        <v>654</v>
      </c>
      <c r="H271" s="1">
        <v>-97.33029999999999</v>
      </c>
      <c r="I271" s="1">
        <v>26.3616</v>
      </c>
      <c r="J271" s="1" t="s">
        <v>859</v>
      </c>
      <c r="K271" s="1" t="s">
        <v>861</v>
      </c>
      <c r="L271" s="1" t="s">
        <v>859</v>
      </c>
      <c r="M271" s="1">
        <v>4324743</v>
      </c>
      <c r="N271" s="1">
        <v>0</v>
      </c>
      <c r="O271" s="1" t="s">
        <v>869</v>
      </c>
      <c r="P271" s="1" t="s">
        <v>874</v>
      </c>
      <c r="Q271" s="1">
        <v>-0.022</v>
      </c>
      <c r="R271" s="1">
        <v>-0.022</v>
      </c>
      <c r="S271" s="2">
        <f>HYPERLINK("https://vdatum.noaa.gov/vdatumweb/api/convert?s_x=-97.3303&amp;s_y=26.3616&amp;s_z=0.0&amp;region=contiguous&amp;s_h_frame=NAD83_2011&amp;s_coor=geo&amp;s_v_frame=NAVD88&amp;s_v_unit=us_ft&amp;t_h_frame=NAD83_2011&amp;t_coor=geo&amp;t_v_frame=MLLW&amp;t_v_unit=us_ft", "NAVD88 to MLLW")</f>
        <v>0</v>
      </c>
      <c r="T271" s="2">
        <f>HYPERLINK("https://vdatum.noaa.gov/vdatumweb/api/convert?s_x=-97.3303&amp;s_y=26.3616&amp;s_z=0.0&amp;region=contiguous&amp;s_h_frame=NAD83_2011&amp;s_coor=geo&amp;s_v_frame=NAVD88&amp;s_v_unit=us_ft&amp;t_h_frame=NAD83_2011&amp;t_coor=geo&amp;t_v_frame=MHHW&amp;t_v_unit=us_ft", "NAVD88 to MHHW")</f>
        <v>0</v>
      </c>
    </row>
    <row r="272" spans="1:20">
      <c r="A272" s="1" t="s">
        <v>296</v>
      </c>
      <c r="B272" s="1" t="s">
        <v>624</v>
      </c>
      <c r="D272" s="1" t="s">
        <v>654</v>
      </c>
      <c r="H272" s="1">
        <v>-97.26860000000001</v>
      </c>
      <c r="I272" s="1">
        <v>26.5639</v>
      </c>
      <c r="J272" s="1" t="s">
        <v>859</v>
      </c>
      <c r="K272" s="1" t="s">
        <v>861</v>
      </c>
      <c r="L272" s="1" t="s">
        <v>859</v>
      </c>
      <c r="M272" s="1">
        <v>1648681</v>
      </c>
      <c r="N272" s="1">
        <v>0</v>
      </c>
      <c r="O272" s="1" t="s">
        <v>869</v>
      </c>
      <c r="P272" s="1" t="s">
        <v>874</v>
      </c>
      <c r="Q272" s="1">
        <v>0.732</v>
      </c>
      <c r="R272" s="1">
        <v>-0.89</v>
      </c>
      <c r="S272" s="2">
        <f>HYPERLINK("https://vdatum.noaa.gov/vdatumweb/api/convert?s_x=-97.2686&amp;s_y=26.5639&amp;s_z=0.0&amp;region=contiguous&amp;s_h_frame=NAD83_2011&amp;s_coor=geo&amp;s_v_frame=NAVD88&amp;s_v_unit=us_ft&amp;t_h_frame=NAD83_2011&amp;t_coor=geo&amp;t_v_frame=MLLW&amp;t_v_unit=us_ft", "NAVD88 to MLLW")</f>
        <v>0</v>
      </c>
      <c r="T272" s="2">
        <f>HYPERLINK("https://vdatum.noaa.gov/vdatumweb/api/convert?s_x=-97.2686&amp;s_y=26.5639&amp;s_z=0.0&amp;region=contiguous&amp;s_h_frame=NAD83_2011&amp;s_coor=geo&amp;s_v_frame=NAVD88&amp;s_v_unit=us_ft&amp;t_h_frame=NAD83_2011&amp;t_coor=geo&amp;t_v_frame=MHHW&amp;t_v_unit=us_ft", "NAVD88 to MHHW")</f>
        <v>0</v>
      </c>
    </row>
    <row r="273" spans="1:20">
      <c r="A273" s="1" t="s">
        <v>297</v>
      </c>
      <c r="B273" s="1" t="s">
        <v>624</v>
      </c>
      <c r="D273" s="1" t="s">
        <v>654</v>
      </c>
      <c r="E273" s="1" t="s">
        <v>742</v>
      </c>
      <c r="F273" s="1" t="s">
        <v>846</v>
      </c>
      <c r="G273" s="1" t="s">
        <v>856</v>
      </c>
      <c r="H273" s="1">
        <v>-97.14709999999999</v>
      </c>
      <c r="I273" s="1">
        <v>25.9568</v>
      </c>
      <c r="J273" s="1" t="s">
        <v>859</v>
      </c>
      <c r="K273" s="1" t="s">
        <v>861</v>
      </c>
      <c r="L273" s="1" t="s">
        <v>859</v>
      </c>
      <c r="M273" s="1">
        <v>4324743</v>
      </c>
      <c r="N273" s="1">
        <v>0</v>
      </c>
      <c r="O273" s="1" t="s">
        <v>869</v>
      </c>
      <c r="P273" s="1" t="s">
        <v>874</v>
      </c>
      <c r="Q273" s="1">
        <v>0.773</v>
      </c>
      <c r="R273" s="1">
        <v>-0.843</v>
      </c>
      <c r="S273" s="2">
        <f>HYPERLINK("https://vdatum.noaa.gov/vdatumweb/api/convert?s_x=-97.1471&amp;s_y=25.9568&amp;s_z=0.0&amp;region=contiguous&amp;s_h_frame=NAD83_2011&amp;s_coor=geo&amp;s_v_frame=NAVD88&amp;s_v_unit=us_ft&amp;t_h_frame=NAD83_2011&amp;t_coor=geo&amp;t_v_frame=MLLW&amp;t_v_unit=us_ft", "NAVD88 to MLLW")</f>
        <v>0</v>
      </c>
      <c r="T273" s="2">
        <f>HYPERLINK("https://vdatum.noaa.gov/vdatumweb/api/convert?s_x=-97.1471&amp;s_y=25.9568&amp;s_z=0.0&amp;region=contiguous&amp;s_h_frame=NAD83_2011&amp;s_coor=geo&amp;s_v_frame=NAVD88&amp;s_v_unit=us_ft&amp;t_h_frame=NAD83_2011&amp;t_coor=geo&amp;t_v_frame=MHHW&amp;t_v_unit=us_ft", "NAVD88 to MHHW")</f>
        <v>0</v>
      </c>
    </row>
    <row r="274" spans="1:20">
      <c r="A274" s="1" t="s">
        <v>298</v>
      </c>
      <c r="B274" s="1" t="s">
        <v>624</v>
      </c>
      <c r="C274" s="1" t="s">
        <v>648</v>
      </c>
      <c r="D274" s="1" t="s">
        <v>654</v>
      </c>
      <c r="E274" s="1" t="s">
        <v>742</v>
      </c>
      <c r="F274" s="1" t="s">
        <v>846</v>
      </c>
      <c r="G274" s="1" t="s">
        <v>856</v>
      </c>
      <c r="H274" s="1">
        <v>-97.194</v>
      </c>
      <c r="I274" s="1">
        <v>25.979</v>
      </c>
      <c r="J274" s="1" t="s">
        <v>859</v>
      </c>
      <c r="K274" s="1" t="s">
        <v>861</v>
      </c>
      <c r="L274" s="1" t="s">
        <v>859</v>
      </c>
      <c r="M274" s="1">
        <v>4858905</v>
      </c>
      <c r="N274" s="1">
        <v>0</v>
      </c>
      <c r="O274" s="1" t="s">
        <v>869</v>
      </c>
      <c r="P274" s="1" t="s">
        <v>874</v>
      </c>
      <c r="Q274" s="1">
        <v>-999999</v>
      </c>
      <c r="R274" s="1">
        <v>-999999</v>
      </c>
      <c r="S274" s="2">
        <f>HYPERLINK("https://vdatum.noaa.gov/vdatumweb/api/convert?s_x=-97.194&amp;s_y=25.979&amp;s_z=0.0&amp;region=contiguous&amp;s_h_frame=NAD83_2011&amp;s_coor=geo&amp;s_v_frame=NAVD88&amp;s_v_unit=us_ft&amp;t_h_frame=NAD83_2011&amp;t_coor=geo&amp;t_v_frame=MLLW&amp;t_v_unit=us_ft", "Missing")</f>
        <v>0</v>
      </c>
      <c r="T274" s="2">
        <f>HYPERLINK("https://vdatum.noaa.gov/vdatumweb/api/convert?s_x=-97.194&amp;s_y=25.979&amp;s_z=0.0&amp;region=contiguous&amp;s_h_frame=NAD83_2011&amp;s_coor=geo&amp;s_v_frame=NAVD88&amp;s_v_unit=us_ft&amp;t_h_frame=NAD83_2011&amp;t_coor=geo&amp;t_v_frame=MHHW&amp;t_v_unit=us_ft", "Missing")</f>
        <v>0</v>
      </c>
    </row>
    <row r="275" spans="1:20">
      <c r="A275" s="1" t="s">
        <v>299</v>
      </c>
      <c r="B275" s="1" t="s">
        <v>625</v>
      </c>
      <c r="D275" s="1" t="s">
        <v>654</v>
      </c>
      <c r="H275" s="1">
        <v>-96.7124</v>
      </c>
      <c r="I275" s="1">
        <v>28.4069</v>
      </c>
      <c r="J275" s="1">
        <f>HYPERLINK("https://tidesandcurrents.noaa.gov/stationhome.html?id=8773037", "8773037")</f>
        <v>0</v>
      </c>
      <c r="K275" s="1" t="s">
        <v>860</v>
      </c>
      <c r="L275" s="1" t="s">
        <v>866</v>
      </c>
      <c r="M275" s="1">
        <v>7569914</v>
      </c>
      <c r="N275" s="1">
        <v>0</v>
      </c>
      <c r="O275" s="1" t="s">
        <v>869</v>
      </c>
      <c r="P275" s="1" t="s">
        <v>874</v>
      </c>
      <c r="Q275" s="1">
        <v>-0.231</v>
      </c>
      <c r="R275" s="1">
        <v>-0.615</v>
      </c>
      <c r="S275" s="2">
        <f>HYPERLINK("https://vdatum.noaa.gov/vdatumweb/api/convert?s_x=-96.7124&amp;s_y=28.4069&amp;s_z=0.0&amp;region=contiguous&amp;s_h_frame=NAD83_2011&amp;s_coor=geo&amp;s_v_frame=NAVD88&amp;s_v_unit=us_ft&amp;t_h_frame=NAD83_2011&amp;t_coor=geo&amp;t_v_frame=MLLW&amp;t_v_unit=us_ft", "NAVD88 to MLLW")</f>
        <v>0</v>
      </c>
      <c r="T275" s="2">
        <f>HYPERLINK("https://vdatum.noaa.gov/vdatumweb/api/convert?s_x=-96.7124&amp;s_y=28.4069&amp;s_z=0.0&amp;region=contiguous&amp;s_h_frame=NAD83_2011&amp;s_coor=geo&amp;s_v_frame=NAVD88&amp;s_v_unit=us_ft&amp;t_h_frame=NAD83_2011&amp;t_coor=geo&amp;t_v_frame=MHHW&amp;t_v_unit=us_ft", "NAVD88 to MHHW")</f>
        <v>0</v>
      </c>
    </row>
    <row r="276" spans="1:20">
      <c r="A276" s="1" t="s">
        <v>300</v>
      </c>
      <c r="B276" s="1" t="s">
        <v>625</v>
      </c>
      <c r="D276" s="1" t="s">
        <v>654</v>
      </c>
      <c r="H276" s="1">
        <v>-96.795</v>
      </c>
      <c r="I276" s="1">
        <v>28.2283</v>
      </c>
      <c r="J276" s="1">
        <f>HYPERLINK("https://tidesandcurrents.noaa.gov/stationhome.html?id=8774230", "8774230")</f>
        <v>0</v>
      </c>
      <c r="K276" s="1" t="s">
        <v>861</v>
      </c>
      <c r="L276" s="1" t="s">
        <v>866</v>
      </c>
      <c r="M276" s="1">
        <v>4740822</v>
      </c>
      <c r="N276" s="1">
        <v>0</v>
      </c>
      <c r="O276" s="1" t="s">
        <v>869</v>
      </c>
      <c r="P276" s="1" t="s">
        <v>874</v>
      </c>
      <c r="Q276" s="1">
        <v>-0.462</v>
      </c>
      <c r="R276" s="1">
        <v>-0.873</v>
      </c>
      <c r="S276" s="2">
        <f>HYPERLINK("https://vdatum.noaa.gov/vdatumweb/api/convert?s_x=-96.795&amp;s_y=28.2283&amp;s_z=0.0&amp;region=contiguous&amp;s_h_frame=NAD83_2011&amp;s_coor=geo&amp;s_v_frame=NAVD88&amp;s_v_unit=us_ft&amp;t_h_frame=NAD83_2011&amp;t_coor=geo&amp;t_v_frame=MLLW&amp;t_v_unit=us_ft", "NAVD88 to MLLW")</f>
        <v>0</v>
      </c>
      <c r="T276" s="2">
        <f>HYPERLINK("https://vdatum.noaa.gov/vdatumweb/api/convert?s_x=-96.795&amp;s_y=28.2283&amp;s_z=0.0&amp;region=contiguous&amp;s_h_frame=NAD83_2011&amp;s_coor=geo&amp;s_v_frame=NAVD88&amp;s_v_unit=us_ft&amp;t_h_frame=NAD83_2011&amp;t_coor=geo&amp;t_v_frame=MHHW&amp;t_v_unit=us_ft", "NAVD88 to MHHW")</f>
        <v>0</v>
      </c>
    </row>
    <row r="277" spans="1:20">
      <c r="A277" s="1" t="s">
        <v>301</v>
      </c>
      <c r="B277" s="1" t="s">
        <v>625</v>
      </c>
      <c r="D277" s="1" t="s">
        <v>654</v>
      </c>
      <c r="H277" s="1">
        <v>-97.0244</v>
      </c>
      <c r="I277" s="1">
        <v>28.114</v>
      </c>
      <c r="J277" s="1">
        <f>HYPERLINK("https://tidesandcurrents.noaa.gov/stationhome.html?id=8774513", "8774513")</f>
        <v>0</v>
      </c>
      <c r="K277" s="1" t="s">
        <v>860</v>
      </c>
      <c r="L277" s="1" t="s">
        <v>866</v>
      </c>
      <c r="M277" s="1">
        <v>5921297</v>
      </c>
      <c r="N277" s="1">
        <v>0</v>
      </c>
      <c r="O277" s="1" t="s">
        <v>869</v>
      </c>
      <c r="P277" s="1" t="s">
        <v>874</v>
      </c>
      <c r="Q277" s="1">
        <v>-0.216</v>
      </c>
      <c r="R277" s="1">
        <v>-0.602</v>
      </c>
      <c r="S277" s="2">
        <f>HYPERLINK("https://vdatum.noaa.gov/vdatumweb/api/convert?s_x=-97.0244&amp;s_y=28.114&amp;s_z=0.0&amp;region=contiguous&amp;s_h_frame=NAD83_2011&amp;s_coor=geo&amp;s_v_frame=NAVD88&amp;s_v_unit=us_ft&amp;t_h_frame=NAD83_2011&amp;t_coor=geo&amp;t_v_frame=MLLW&amp;t_v_unit=us_ft", "NAVD88 to MLLW")</f>
        <v>0</v>
      </c>
      <c r="T277" s="2">
        <f>HYPERLINK("https://vdatum.noaa.gov/vdatumweb/api/convert?s_x=-97.0244&amp;s_y=28.114&amp;s_z=0.0&amp;region=contiguous&amp;s_h_frame=NAD83_2011&amp;s_coor=geo&amp;s_v_frame=NAVD88&amp;s_v_unit=us_ft&amp;t_h_frame=NAD83_2011&amp;t_coor=geo&amp;t_v_frame=MHHW&amp;t_v_unit=us_ft", "NAVD88 to MHHW")</f>
        <v>0</v>
      </c>
    </row>
    <row r="278" spans="1:20">
      <c r="A278" s="1" t="s">
        <v>302</v>
      </c>
      <c r="B278" s="1" t="s">
        <v>625</v>
      </c>
      <c r="D278" s="1" t="s">
        <v>654</v>
      </c>
      <c r="H278" s="1">
        <v>-97.0467</v>
      </c>
      <c r="I278" s="1">
        <v>28.0217</v>
      </c>
      <c r="J278" s="1">
        <f>HYPERLINK("https://tidesandcurrents.noaa.gov/stationhome.html?id=8774770", "8774770")</f>
        <v>0</v>
      </c>
      <c r="K278" s="1" t="s">
        <v>860</v>
      </c>
      <c r="L278" s="1" t="s">
        <v>866</v>
      </c>
      <c r="M278" s="1">
        <v>4873045</v>
      </c>
      <c r="N278" s="1">
        <v>0</v>
      </c>
      <c r="O278" s="1" t="s">
        <v>869</v>
      </c>
      <c r="P278" s="1" t="s">
        <v>874</v>
      </c>
      <c r="Q278" s="1">
        <v>-0.924</v>
      </c>
      <c r="R278" s="1">
        <v>-1.288</v>
      </c>
      <c r="S278" s="2">
        <f>HYPERLINK("https://vdatum.noaa.gov/vdatumweb/api/convert?s_x=-97.0467&amp;s_y=28.0217&amp;s_z=0.0&amp;region=contiguous&amp;s_h_frame=NAD83_2011&amp;s_coor=geo&amp;s_v_frame=NAVD88&amp;s_v_unit=us_ft&amp;t_h_frame=NAD83_2011&amp;t_coor=geo&amp;t_v_frame=MLLW&amp;t_v_unit=us_ft", "NAVD88 to MLLW")</f>
        <v>0</v>
      </c>
      <c r="T278" s="2">
        <f>HYPERLINK("https://vdatum.noaa.gov/vdatumweb/api/convert?s_x=-97.0467&amp;s_y=28.0217&amp;s_z=0.0&amp;region=contiguous&amp;s_h_frame=NAD83_2011&amp;s_coor=geo&amp;s_v_frame=NAVD88&amp;s_v_unit=us_ft&amp;t_h_frame=NAD83_2011&amp;t_coor=geo&amp;t_v_frame=MHHW&amp;t_v_unit=us_ft", "NAVD88 to MHHW")</f>
        <v>0</v>
      </c>
    </row>
    <row r="279" spans="1:20">
      <c r="A279" s="1" t="s">
        <v>303</v>
      </c>
      <c r="B279" s="1" t="s">
        <v>625</v>
      </c>
      <c r="C279" s="1" t="s">
        <v>648</v>
      </c>
      <c r="D279" s="1" t="s">
        <v>654</v>
      </c>
      <c r="H279" s="1">
        <v>-97.07250000000001</v>
      </c>
      <c r="I279" s="1">
        <v>27.8397</v>
      </c>
      <c r="J279" s="1">
        <f>HYPERLINK("https://tidesandcurrents.noaa.gov/stationhome.html?id=8775237", "8775237")</f>
        <v>0</v>
      </c>
      <c r="K279" s="1" t="s">
        <v>860</v>
      </c>
      <c r="L279" s="1" t="s">
        <v>866</v>
      </c>
      <c r="M279" s="1">
        <v>3033152</v>
      </c>
      <c r="N279" s="1">
        <v>0</v>
      </c>
      <c r="O279" s="1" t="s">
        <v>869</v>
      </c>
      <c r="P279" s="1" t="s">
        <v>874</v>
      </c>
      <c r="Q279" s="1">
        <v>0.21</v>
      </c>
      <c r="R279" s="1">
        <v>-0.778</v>
      </c>
      <c r="S279" s="2">
        <f>HYPERLINK("https://vdatum.noaa.gov/vdatumweb/api/convert?s_x=-97.0725&amp;s_y=27.8397&amp;s_z=0.0&amp;region=contiguous&amp;s_h_frame=NAD83_2011&amp;s_coor=geo&amp;s_v_frame=NAVD88&amp;s_v_unit=us_ft&amp;t_h_frame=NAD83_2011&amp;t_coor=geo&amp;t_v_frame=MLLW&amp;t_v_unit=us_ft", "NAVD88 to MLLW")</f>
        <v>0</v>
      </c>
      <c r="T279" s="2">
        <f>HYPERLINK("https://vdatum.noaa.gov/vdatumweb/api/convert?s_x=-97.0725&amp;s_y=27.8397&amp;s_z=0.0&amp;region=contiguous&amp;s_h_frame=NAD83_2011&amp;s_coor=geo&amp;s_v_frame=NAVD88&amp;s_v_unit=us_ft&amp;t_h_frame=NAD83_2011&amp;t_coor=geo&amp;t_v_frame=MHHW&amp;t_v_unit=us_ft", "NAVD88 to MHHW")</f>
        <v>0</v>
      </c>
    </row>
    <row r="280" spans="1:20">
      <c r="A280" s="1" t="s">
        <v>304</v>
      </c>
      <c r="B280" s="1" t="s">
        <v>625</v>
      </c>
      <c r="D280" s="1" t="s">
        <v>654</v>
      </c>
      <c r="H280" s="1">
        <v>-97.0391</v>
      </c>
      <c r="I280" s="1">
        <v>27.8366</v>
      </c>
      <c r="J280" s="1">
        <f>HYPERLINK("https://tidesandcurrents.noaa.gov/stationhome.html?id=8775241", "8775241")</f>
        <v>0</v>
      </c>
      <c r="K280" s="1" t="s">
        <v>860</v>
      </c>
      <c r="L280" s="1" t="s">
        <v>866</v>
      </c>
      <c r="M280" s="1">
        <v>2190742</v>
      </c>
      <c r="N280" s="1">
        <v>0</v>
      </c>
      <c r="O280" s="1" t="s">
        <v>869</v>
      </c>
      <c r="P280" s="1" t="s">
        <v>874</v>
      </c>
      <c r="Q280" s="1">
        <v>0.518</v>
      </c>
      <c r="R280" s="1">
        <v>-1.09</v>
      </c>
      <c r="S280" s="2">
        <f>HYPERLINK("https://vdatum.noaa.gov/vdatumweb/api/convert?s_x=-97.0391&amp;s_y=27.8366&amp;s_z=0.0&amp;region=contiguous&amp;s_h_frame=NAD83_2011&amp;s_coor=geo&amp;s_v_frame=NAVD88&amp;s_v_unit=us_ft&amp;t_h_frame=NAD83_2011&amp;t_coor=geo&amp;t_v_frame=MLLW&amp;t_v_unit=us_ft", "NAVD88 to MLLW")</f>
        <v>0</v>
      </c>
      <c r="T280" s="2">
        <f>HYPERLINK("https://vdatum.noaa.gov/vdatumweb/api/convert?s_x=-97.0391&amp;s_y=27.8366&amp;s_z=0.0&amp;region=contiguous&amp;s_h_frame=NAD83_2011&amp;s_coor=geo&amp;s_v_frame=NAVD88&amp;s_v_unit=us_ft&amp;t_h_frame=NAD83_2011&amp;t_coor=geo&amp;t_v_frame=MHHW&amp;t_v_unit=us_ft", "NAVD88 to MHHW")</f>
        <v>0</v>
      </c>
    </row>
    <row r="281" spans="1:20">
      <c r="A281" s="1" t="s">
        <v>305</v>
      </c>
      <c r="B281" s="1" t="s">
        <v>625</v>
      </c>
      <c r="D281" s="1" t="s">
        <v>654</v>
      </c>
      <c r="H281" s="1">
        <v>-97.4859</v>
      </c>
      <c r="I281" s="1">
        <v>27.83275</v>
      </c>
      <c r="J281" s="1">
        <f>HYPERLINK("https://tidesandcurrents.noaa.gov/stationhome.html?id=8775244", "8775244")</f>
        <v>0</v>
      </c>
      <c r="K281" s="1" t="s">
        <v>860</v>
      </c>
      <c r="L281" s="1" t="s">
        <v>866</v>
      </c>
      <c r="M281" s="1">
        <v>3559283</v>
      </c>
      <c r="N281" s="1">
        <v>0</v>
      </c>
      <c r="O281" s="1" t="s">
        <v>869</v>
      </c>
      <c r="P281" s="1" t="s">
        <v>874</v>
      </c>
      <c r="Q281" s="1">
        <v>-0.06</v>
      </c>
      <c r="R281" s="1">
        <v>-0.721</v>
      </c>
      <c r="S281" s="2">
        <f>HYPERLINK("https://vdatum.noaa.gov/vdatumweb/api/convert?s_x=-97.4859&amp;s_y=27.83275&amp;s_z=0.0&amp;region=contiguous&amp;s_h_frame=NAD83_2011&amp;s_coor=geo&amp;s_v_frame=NAVD88&amp;s_v_unit=us_ft&amp;t_h_frame=NAD83_2011&amp;t_coor=geo&amp;t_v_frame=MLLW&amp;t_v_unit=us_ft", "NAVD88 to MLLW")</f>
        <v>0</v>
      </c>
      <c r="T281" s="2">
        <f>HYPERLINK("https://vdatum.noaa.gov/vdatumweb/api/convert?s_x=-97.4859&amp;s_y=27.83275&amp;s_z=0.0&amp;region=contiguous&amp;s_h_frame=NAD83_2011&amp;s_coor=geo&amp;s_v_frame=NAVD88&amp;s_v_unit=us_ft&amp;t_h_frame=NAD83_2011&amp;t_coor=geo&amp;t_v_frame=MHHW&amp;t_v_unit=us_ft", "NAVD88 to MHHW")</f>
        <v>0</v>
      </c>
    </row>
    <row r="282" spans="1:20">
      <c r="A282" s="1" t="s">
        <v>306</v>
      </c>
      <c r="B282" s="1" t="s">
        <v>625</v>
      </c>
      <c r="D282" s="1" t="s">
        <v>654</v>
      </c>
      <c r="H282" s="1">
        <v>-97.05</v>
      </c>
      <c r="I282" s="1">
        <v>27.8267</v>
      </c>
      <c r="J282" s="1">
        <f>HYPERLINK("https://tidesandcurrents.noaa.gov/stationhome.html?id=8775270", "8775270")</f>
        <v>0</v>
      </c>
      <c r="K282" s="1" t="s">
        <v>861</v>
      </c>
      <c r="L282" s="1" t="s">
        <v>866</v>
      </c>
      <c r="M282" s="1">
        <v>1812749</v>
      </c>
      <c r="N282" s="1">
        <v>0</v>
      </c>
      <c r="O282" s="1" t="s">
        <v>869</v>
      </c>
      <c r="P282" s="1" t="s">
        <v>874</v>
      </c>
      <c r="Q282" s="1">
        <v>0.525</v>
      </c>
      <c r="R282" s="1">
        <v>-1.112</v>
      </c>
      <c r="S282" s="2">
        <f>HYPERLINK("https://vdatum.noaa.gov/vdatumweb/api/convert?s_x=-97.05&amp;s_y=27.8267&amp;s_z=0.0&amp;region=contiguous&amp;s_h_frame=NAD83_2011&amp;s_coor=geo&amp;s_v_frame=NAVD88&amp;s_v_unit=us_ft&amp;t_h_frame=NAD83_2011&amp;t_coor=geo&amp;t_v_frame=MLLW&amp;t_v_unit=us_ft", "NAVD88 to MLLW")</f>
        <v>0</v>
      </c>
      <c r="T282" s="2">
        <f>HYPERLINK("https://vdatum.noaa.gov/vdatumweb/api/convert?s_x=-97.05&amp;s_y=27.8267&amp;s_z=0.0&amp;region=contiguous&amp;s_h_frame=NAD83_2011&amp;s_coor=geo&amp;s_v_frame=NAVD88&amp;s_v_unit=us_ft&amp;t_h_frame=NAD83_2011&amp;t_coor=geo&amp;t_v_frame=MHHW&amp;t_v_unit=us_ft", "NAVD88 to MHHW")</f>
        <v>0</v>
      </c>
    </row>
    <row r="283" spans="1:20">
      <c r="A283" s="1" t="s">
        <v>307</v>
      </c>
      <c r="B283" s="1" t="s">
        <v>625</v>
      </c>
      <c r="C283" s="1" t="s">
        <v>648</v>
      </c>
      <c r="D283" s="1" t="s">
        <v>654</v>
      </c>
      <c r="E283" s="1" t="s">
        <v>743</v>
      </c>
      <c r="F283" s="1" t="s">
        <v>846</v>
      </c>
      <c r="G283" s="1" t="s">
        <v>856</v>
      </c>
      <c r="H283" s="1">
        <v>-97.2033</v>
      </c>
      <c r="I283" s="1">
        <v>27.8217</v>
      </c>
      <c r="J283" s="1">
        <f>HYPERLINK("https://tidesandcurrents.noaa.gov/stationhome.html?id=8775283", "8775283")</f>
        <v>0</v>
      </c>
      <c r="K283" s="1" t="s">
        <v>861</v>
      </c>
      <c r="L283" s="1" t="s">
        <v>866</v>
      </c>
      <c r="M283" s="1">
        <v>5370014</v>
      </c>
      <c r="N283" s="1">
        <v>0.139</v>
      </c>
      <c r="O283" s="1" t="s">
        <v>869</v>
      </c>
      <c r="P283" s="1" t="s">
        <v>874</v>
      </c>
      <c r="Q283" s="1">
        <v>-0.142</v>
      </c>
      <c r="R283" s="1">
        <v>-0.72</v>
      </c>
      <c r="S283" s="2">
        <f>HYPERLINK("https://vdatum.noaa.gov/vdatumweb/api/convert?s_x=-97.2033&amp;s_y=27.8217&amp;s_z=0.0&amp;region=contiguous&amp;s_h_frame=NAD83_2011&amp;s_coor=geo&amp;s_v_frame=NAVD88&amp;s_v_unit=us_ft&amp;t_h_frame=NAD83_2011&amp;t_coor=geo&amp;t_v_frame=MLLW&amp;t_v_unit=us_ft", "NAVD88 to MLLW")</f>
        <v>0</v>
      </c>
      <c r="T283" s="2">
        <f>HYPERLINK("https://vdatum.noaa.gov/vdatumweb/api/convert?s_x=-97.2033&amp;s_y=27.8217&amp;s_z=0.0&amp;region=contiguous&amp;s_h_frame=NAD83_2011&amp;s_coor=geo&amp;s_v_frame=NAVD88&amp;s_v_unit=us_ft&amp;t_h_frame=NAD83_2011&amp;t_coor=geo&amp;t_v_frame=MHHW&amp;t_v_unit=us_ft", "NAVD88 to MHHW")</f>
        <v>0</v>
      </c>
    </row>
    <row r="284" spans="1:20">
      <c r="A284" s="1" t="s">
        <v>308</v>
      </c>
      <c r="B284" s="1" t="s">
        <v>625</v>
      </c>
      <c r="D284" s="1" t="s">
        <v>654</v>
      </c>
      <c r="H284" s="1">
        <v>-97.39</v>
      </c>
      <c r="I284" s="1">
        <v>27.81169</v>
      </c>
      <c r="J284" s="1">
        <f>HYPERLINK("https://tidesandcurrents.noaa.gov/stationhome.html?id=8775296", "8775296")</f>
        <v>0</v>
      </c>
      <c r="K284" s="1" t="s">
        <v>860</v>
      </c>
      <c r="L284" s="1" t="s">
        <v>866</v>
      </c>
      <c r="M284" s="1">
        <v>4873343</v>
      </c>
      <c r="N284" s="1">
        <v>0</v>
      </c>
      <c r="O284" s="1" t="s">
        <v>869</v>
      </c>
      <c r="P284" s="1" t="s">
        <v>874</v>
      </c>
      <c r="Q284" s="1">
        <v>0.956</v>
      </c>
      <c r="R284" s="1">
        <v>0.329</v>
      </c>
      <c r="S284" s="2">
        <f>HYPERLINK("https://vdatum.noaa.gov/vdatumweb/api/convert?s_x=-97.39&amp;s_y=27.81169&amp;s_z=0.0&amp;region=contiguous&amp;s_h_frame=NAD83_2011&amp;s_coor=geo&amp;s_v_frame=NAVD88&amp;s_v_unit=us_ft&amp;t_h_frame=NAD83_2011&amp;t_coor=geo&amp;t_v_frame=MLLW&amp;t_v_unit=us_ft", "NAVD88 to MLLW")</f>
        <v>0</v>
      </c>
      <c r="T284" s="2">
        <f>HYPERLINK("https://vdatum.noaa.gov/vdatumweb/api/convert?s_x=-97.39&amp;s_y=27.81169&amp;s_z=0.0&amp;region=contiguous&amp;s_h_frame=NAD83_2011&amp;s_coor=geo&amp;s_v_frame=NAVD88&amp;s_v_unit=us_ft&amp;t_h_frame=NAD83_2011&amp;t_coor=geo&amp;t_v_frame=MHHW&amp;t_v_unit=us_ft", "NAVD88 to MHHW")</f>
        <v>0</v>
      </c>
    </row>
    <row r="285" spans="1:20">
      <c r="A285" s="1" t="s">
        <v>309</v>
      </c>
      <c r="B285" s="1" t="s">
        <v>625</v>
      </c>
      <c r="D285" s="1" t="s">
        <v>654</v>
      </c>
      <c r="H285" s="1">
        <v>-97.2367</v>
      </c>
      <c r="I285" s="1">
        <v>27.63331</v>
      </c>
      <c r="J285" s="1">
        <f>HYPERLINK("https://tidesandcurrents.noaa.gov/stationhome.html?id=8775792", "8775792")</f>
        <v>0</v>
      </c>
      <c r="K285" s="1" t="s">
        <v>860</v>
      </c>
      <c r="L285" s="1" t="s">
        <v>866</v>
      </c>
      <c r="M285" s="1">
        <v>3033395</v>
      </c>
      <c r="N285" s="1">
        <v>0</v>
      </c>
      <c r="O285" s="1" t="s">
        <v>869</v>
      </c>
      <c r="P285" s="1" t="s">
        <v>874</v>
      </c>
      <c r="Q285" s="1">
        <v>-0.267</v>
      </c>
      <c r="R285" s="1">
        <v>-0.643</v>
      </c>
      <c r="S285" s="2">
        <f>HYPERLINK("https://vdatum.noaa.gov/vdatumweb/api/convert?s_x=-97.2367&amp;s_y=27.63331&amp;s_z=0.0&amp;region=contiguous&amp;s_h_frame=NAD83_2011&amp;s_coor=geo&amp;s_v_frame=NAVD88&amp;s_v_unit=us_ft&amp;t_h_frame=NAD83_2011&amp;t_coor=geo&amp;t_v_frame=MLLW&amp;t_v_unit=us_ft", "NAVD88 to MLLW")</f>
        <v>0</v>
      </c>
      <c r="T285" s="2">
        <f>HYPERLINK("https://vdatum.noaa.gov/vdatumweb/api/convert?s_x=-97.2367&amp;s_y=27.63331&amp;s_z=0.0&amp;region=contiguous&amp;s_h_frame=NAD83_2011&amp;s_coor=geo&amp;s_v_frame=NAVD88&amp;s_v_unit=us_ft&amp;t_h_frame=NAD83_2011&amp;t_coor=geo&amp;t_v_frame=MHHW&amp;t_v_unit=us_ft", "NAVD88 to MHHW")</f>
        <v>0</v>
      </c>
    </row>
    <row r="286" spans="1:20">
      <c r="A286" s="1" t="s">
        <v>310</v>
      </c>
      <c r="B286" s="1" t="s">
        <v>625</v>
      </c>
      <c r="D286" s="1" t="s">
        <v>654</v>
      </c>
      <c r="H286" s="1">
        <v>-97.4284</v>
      </c>
      <c r="I286" s="1">
        <v>27.289</v>
      </c>
      <c r="J286" s="1" t="s">
        <v>859</v>
      </c>
      <c r="K286" s="1" t="s">
        <v>861</v>
      </c>
      <c r="L286" s="1" t="s">
        <v>859</v>
      </c>
      <c r="M286" s="1">
        <v>4324743</v>
      </c>
      <c r="N286" s="1">
        <v>0</v>
      </c>
      <c r="O286" s="1" t="s">
        <v>869</v>
      </c>
      <c r="P286" s="1" t="s">
        <v>874</v>
      </c>
      <c r="Q286" s="1">
        <v>0.135</v>
      </c>
      <c r="R286" s="1">
        <v>0.135</v>
      </c>
      <c r="S286" s="2">
        <f>HYPERLINK("https://vdatum.noaa.gov/vdatumweb/api/convert?s_x=-97.4284&amp;s_y=27.289&amp;s_z=0.0&amp;region=contiguous&amp;s_h_frame=NAD83_2011&amp;s_coor=geo&amp;s_v_frame=NAVD88&amp;s_v_unit=us_ft&amp;t_h_frame=NAD83_2011&amp;t_coor=geo&amp;t_v_frame=MLLW&amp;t_v_unit=us_ft", "NAVD88 to MLLW")</f>
        <v>0</v>
      </c>
      <c r="T286" s="2">
        <f>HYPERLINK("https://vdatum.noaa.gov/vdatumweb/api/convert?s_x=-97.4284&amp;s_y=27.289&amp;s_z=0.0&amp;region=contiguous&amp;s_h_frame=NAD83_2011&amp;s_coor=geo&amp;s_v_frame=NAVD88&amp;s_v_unit=us_ft&amp;t_h_frame=NAD83_2011&amp;t_coor=geo&amp;t_v_frame=MHHW&amp;t_v_unit=us_ft", "NAVD88 to MHHW")</f>
        <v>0</v>
      </c>
    </row>
    <row r="287" spans="1:20">
      <c r="A287" s="1" t="s">
        <v>311</v>
      </c>
      <c r="B287" s="1" t="s">
        <v>626</v>
      </c>
      <c r="C287" s="1" t="s">
        <v>648</v>
      </c>
      <c r="D287" s="1" t="s">
        <v>654</v>
      </c>
      <c r="E287" s="1" t="s">
        <v>744</v>
      </c>
      <c r="F287" s="1" t="s">
        <v>846</v>
      </c>
      <c r="G287" s="1" t="s">
        <v>856</v>
      </c>
      <c r="H287" s="1">
        <v>-95.1211</v>
      </c>
      <c r="I287" s="1">
        <v>29.5114</v>
      </c>
      <c r="J287" s="1">
        <v>110</v>
      </c>
      <c r="K287" s="1" t="s">
        <v>861</v>
      </c>
      <c r="L287" s="1" t="s">
        <v>868</v>
      </c>
      <c r="M287" s="1">
        <v>4036878</v>
      </c>
      <c r="N287" s="1">
        <v>0</v>
      </c>
      <c r="O287" s="1" t="s">
        <v>869</v>
      </c>
      <c r="P287" s="1" t="s">
        <v>874</v>
      </c>
      <c r="Q287" s="1">
        <v>-999999</v>
      </c>
      <c r="R287" s="1">
        <v>-999999</v>
      </c>
      <c r="S287" s="2">
        <f>HYPERLINK("https://vdatum.noaa.gov/vdatumweb/api/convert?s_x=-95.1211&amp;s_y=29.5114&amp;s_z=0.0&amp;region=contiguous&amp;s_h_frame=NAD83_2011&amp;s_coor=geo&amp;s_v_frame=NAVD88&amp;s_v_unit=us_ft&amp;t_h_frame=NAD83_2011&amp;t_coor=geo&amp;t_v_frame=MLLW&amp;t_v_unit=us_ft", "Missing")</f>
        <v>0</v>
      </c>
      <c r="T287" s="2">
        <f>HYPERLINK("https://vdatum.noaa.gov/vdatumweb/api/convert?s_x=-95.1211&amp;s_y=29.5114&amp;s_z=0.0&amp;region=contiguous&amp;s_h_frame=NAD83_2011&amp;s_coor=geo&amp;s_v_frame=NAVD88&amp;s_v_unit=us_ft&amp;t_h_frame=NAD83_2011&amp;t_coor=geo&amp;t_v_frame=MHHW&amp;t_v_unit=us_ft", "Missing")</f>
        <v>0</v>
      </c>
    </row>
    <row r="288" spans="1:20">
      <c r="A288" s="1" t="s">
        <v>312</v>
      </c>
      <c r="B288" s="1" t="s">
        <v>626</v>
      </c>
      <c r="C288" s="1" t="s">
        <v>648</v>
      </c>
      <c r="D288" s="1" t="s">
        <v>654</v>
      </c>
      <c r="E288" s="1" t="s">
        <v>744</v>
      </c>
      <c r="F288" s="1" t="s">
        <v>846</v>
      </c>
      <c r="G288" s="1" t="s">
        <v>856</v>
      </c>
      <c r="H288" s="1">
        <v>-95.07769</v>
      </c>
      <c r="I288" s="1">
        <v>29.82904</v>
      </c>
      <c r="J288" s="1">
        <v>710</v>
      </c>
      <c r="K288" s="1" t="s">
        <v>861</v>
      </c>
      <c r="L288" s="1" t="s">
        <v>868</v>
      </c>
      <c r="M288" s="1">
        <v>4312898</v>
      </c>
      <c r="N288" s="1">
        <v>0</v>
      </c>
      <c r="O288" s="1" t="s">
        <v>869</v>
      </c>
      <c r="P288" s="1" t="s">
        <v>874</v>
      </c>
      <c r="Q288" s="1">
        <v>0.017</v>
      </c>
      <c r="R288" s="1">
        <v>-1.506</v>
      </c>
      <c r="S288" s="2">
        <f>HYPERLINK("https://vdatum.noaa.gov/vdatumweb/api/convert?s_x=-95.07769&amp;s_y=29.82904&amp;s_z=0.0&amp;region=contiguous&amp;s_h_frame=NAD83_2011&amp;s_coor=geo&amp;s_v_frame=NAVD88&amp;s_v_unit=us_ft&amp;t_h_frame=NAD83_2011&amp;t_coor=geo&amp;t_v_frame=MLLW&amp;t_v_unit=us_ft", "NAVD88 to MLLW")</f>
        <v>0</v>
      </c>
      <c r="T288" s="2">
        <f>HYPERLINK("https://vdatum.noaa.gov/vdatumweb/api/convert?s_x=-95.07769&amp;s_y=29.82904&amp;s_z=0.0&amp;region=contiguous&amp;s_h_frame=NAD83_2011&amp;s_coor=geo&amp;s_v_frame=NAVD88&amp;s_v_unit=us_ft&amp;t_h_frame=NAD83_2011&amp;t_coor=geo&amp;t_v_frame=MHHW&amp;t_v_unit=us_ft", "NAVD88 to MHHW")</f>
        <v>0</v>
      </c>
    </row>
    <row r="289" spans="1:20">
      <c r="A289" s="1" t="s">
        <v>313</v>
      </c>
      <c r="B289" s="1" t="s">
        <v>626</v>
      </c>
      <c r="C289" s="1" t="s">
        <v>648</v>
      </c>
      <c r="D289" s="1" t="s">
        <v>654</v>
      </c>
      <c r="E289" s="1" t="s">
        <v>744</v>
      </c>
      <c r="F289" s="1" t="s">
        <v>846</v>
      </c>
      <c r="G289" s="1" t="s">
        <v>856</v>
      </c>
      <c r="H289" s="1">
        <v>-95.22795000000001</v>
      </c>
      <c r="I289" s="1">
        <v>29.77162</v>
      </c>
      <c r="J289" s="1">
        <v>820</v>
      </c>
      <c r="K289" s="1" t="s">
        <v>861</v>
      </c>
      <c r="L289" s="1" t="s">
        <v>868</v>
      </c>
      <c r="M289" s="1">
        <v>4186296</v>
      </c>
      <c r="N289" s="1">
        <v>0</v>
      </c>
      <c r="O289" s="1" t="s">
        <v>869</v>
      </c>
      <c r="P289" s="1" t="s">
        <v>874</v>
      </c>
      <c r="Q289" s="1">
        <v>-999999</v>
      </c>
      <c r="R289" s="1">
        <v>-999999</v>
      </c>
      <c r="S289" s="2">
        <f>HYPERLINK("https://vdatum.noaa.gov/vdatumweb/api/convert?s_x=-95.22795&amp;s_y=29.77162&amp;s_z=0.0&amp;region=contiguous&amp;s_h_frame=NAD83_2011&amp;s_coor=geo&amp;s_v_frame=NAVD88&amp;s_v_unit=us_ft&amp;t_h_frame=NAD83_2011&amp;t_coor=geo&amp;t_v_frame=MLLW&amp;t_v_unit=us_ft", "Missing")</f>
        <v>0</v>
      </c>
      <c r="T289" s="2">
        <f>HYPERLINK("https://vdatum.noaa.gov/vdatumweb/api/convert?s_x=-95.22795&amp;s_y=29.77162&amp;s_z=0.0&amp;region=contiguous&amp;s_h_frame=NAD83_2011&amp;s_coor=geo&amp;s_v_frame=NAVD88&amp;s_v_unit=us_ft&amp;t_h_frame=NAD83_2011&amp;t_coor=geo&amp;t_v_frame=MHHW&amp;t_v_unit=us_ft", "Missing")</f>
        <v>0</v>
      </c>
    </row>
    <row r="290" spans="1:20">
      <c r="A290" s="1" t="s">
        <v>314</v>
      </c>
      <c r="B290" s="1" t="s">
        <v>626</v>
      </c>
      <c r="C290" s="1" t="s">
        <v>648</v>
      </c>
      <c r="D290" s="1" t="s">
        <v>654</v>
      </c>
      <c r="E290" s="1" t="s">
        <v>744</v>
      </c>
      <c r="F290" s="1" t="s">
        <v>846</v>
      </c>
      <c r="G290" s="1" t="s">
        <v>856</v>
      </c>
      <c r="H290" s="1">
        <v>-95.20014</v>
      </c>
      <c r="I290" s="1">
        <v>29.70549</v>
      </c>
      <c r="J290" s="1">
        <v>940</v>
      </c>
      <c r="K290" s="1" t="s">
        <v>861</v>
      </c>
      <c r="L290" s="1" t="s">
        <v>868</v>
      </c>
      <c r="M290" s="1">
        <v>4186296</v>
      </c>
      <c r="N290" s="1">
        <v>0</v>
      </c>
      <c r="O290" s="1" t="s">
        <v>869</v>
      </c>
      <c r="P290" s="1" t="s">
        <v>874</v>
      </c>
      <c r="Q290" s="1">
        <v>-999999</v>
      </c>
      <c r="R290" s="1">
        <v>-999999</v>
      </c>
      <c r="S290" s="2">
        <f>HYPERLINK("https://vdatum.noaa.gov/vdatumweb/api/convert?s_x=-95.20014&amp;s_y=29.70549&amp;s_z=0.0&amp;region=contiguous&amp;s_h_frame=NAD83_2011&amp;s_coor=geo&amp;s_v_frame=NAVD88&amp;s_v_unit=us_ft&amp;t_h_frame=NAD83_2011&amp;t_coor=geo&amp;t_v_frame=MLLW&amp;t_v_unit=us_ft", "Missing")</f>
        <v>0</v>
      </c>
      <c r="T290" s="2">
        <f>HYPERLINK("https://vdatum.noaa.gov/vdatumweb/api/convert?s_x=-95.20014&amp;s_y=29.70549&amp;s_z=0.0&amp;region=contiguous&amp;s_h_frame=NAD83_2011&amp;s_coor=geo&amp;s_v_frame=NAVD88&amp;s_v_unit=us_ft&amp;t_h_frame=NAD83_2011&amp;t_coor=geo&amp;t_v_frame=MHHW&amp;t_v_unit=us_ft", "Missing")</f>
        <v>0</v>
      </c>
    </row>
    <row r="291" spans="1:20">
      <c r="A291" s="1" t="s">
        <v>315</v>
      </c>
      <c r="B291" s="1" t="s">
        <v>626</v>
      </c>
      <c r="C291" s="1" t="s">
        <v>648</v>
      </c>
      <c r="D291" s="1" t="s">
        <v>654</v>
      </c>
      <c r="E291" s="1" t="s">
        <v>744</v>
      </c>
      <c r="F291" s="1" t="s">
        <v>846</v>
      </c>
      <c r="G291" s="1" t="s">
        <v>856</v>
      </c>
      <c r="H291" s="1">
        <v>-95.14901999999999</v>
      </c>
      <c r="I291" s="1">
        <v>29.77154</v>
      </c>
      <c r="J291" s="1">
        <v>1420</v>
      </c>
      <c r="K291" s="1" t="s">
        <v>861</v>
      </c>
      <c r="L291" s="1" t="s">
        <v>868</v>
      </c>
      <c r="M291" s="1">
        <v>3726839</v>
      </c>
      <c r="N291" s="1">
        <v>0</v>
      </c>
      <c r="O291" s="1" t="s">
        <v>869</v>
      </c>
      <c r="P291" s="1" t="s">
        <v>874</v>
      </c>
      <c r="Q291" s="1">
        <v>-999999</v>
      </c>
      <c r="R291" s="1">
        <v>-999999</v>
      </c>
      <c r="S291" s="2">
        <f>HYPERLINK("https://vdatum.noaa.gov/vdatumweb/api/convert?s_x=-95.14902&amp;s_y=29.77154&amp;s_z=0.0&amp;region=contiguous&amp;s_h_frame=NAD83_2011&amp;s_coor=geo&amp;s_v_frame=NAVD88&amp;s_v_unit=us_ft&amp;t_h_frame=NAD83_2011&amp;t_coor=geo&amp;t_v_frame=MLLW&amp;t_v_unit=us_ft", "Missing")</f>
        <v>0</v>
      </c>
      <c r="T291" s="2">
        <f>HYPERLINK("https://vdatum.noaa.gov/vdatumweb/api/convert?s_x=-95.14902&amp;s_y=29.77154&amp;s_z=0.0&amp;region=contiguous&amp;s_h_frame=NAD83_2011&amp;s_coor=geo&amp;s_v_frame=NAVD88&amp;s_v_unit=us_ft&amp;t_h_frame=NAD83_2011&amp;t_coor=geo&amp;t_v_frame=MHHW&amp;t_v_unit=us_ft", "Missing")</f>
        <v>0</v>
      </c>
    </row>
    <row r="292" spans="1:20">
      <c r="A292" s="1" t="s">
        <v>316</v>
      </c>
      <c r="B292" s="1" t="s">
        <v>626</v>
      </c>
      <c r="C292" s="1" t="s">
        <v>648</v>
      </c>
      <c r="D292" s="1" t="s">
        <v>654</v>
      </c>
      <c r="E292" s="1" t="s">
        <v>744</v>
      </c>
      <c r="F292" s="1" t="s">
        <v>846</v>
      </c>
      <c r="G292" s="1" t="s">
        <v>856</v>
      </c>
      <c r="H292" s="1">
        <v>-94.99051</v>
      </c>
      <c r="I292" s="1">
        <v>29.71345</v>
      </c>
      <c r="J292" s="1">
        <v>1520</v>
      </c>
      <c r="K292" s="1" t="s">
        <v>861</v>
      </c>
      <c r="L292" s="1" t="s">
        <v>868</v>
      </c>
      <c r="M292" s="1">
        <v>5605730</v>
      </c>
      <c r="N292" s="1">
        <v>0</v>
      </c>
      <c r="O292" s="1" t="s">
        <v>869</v>
      </c>
      <c r="P292" s="1" t="s">
        <v>874</v>
      </c>
      <c r="Q292" s="1">
        <v>0.03</v>
      </c>
      <c r="R292" s="1">
        <v>-1.302</v>
      </c>
      <c r="S292" s="2">
        <f>HYPERLINK("https://vdatum.noaa.gov/vdatumweb/api/convert?s_x=-94.99051&amp;s_y=29.71345&amp;s_z=0.0&amp;region=contiguous&amp;s_h_frame=NAD83_2011&amp;s_coor=geo&amp;s_v_frame=NAVD88&amp;s_v_unit=us_ft&amp;t_h_frame=NAD83_2011&amp;t_coor=geo&amp;t_v_frame=MLLW&amp;t_v_unit=us_ft", "NAVD88 to MLLW")</f>
        <v>0</v>
      </c>
      <c r="T292" s="2">
        <f>HYPERLINK("https://vdatum.noaa.gov/vdatumweb/api/convert?s_x=-94.99051&amp;s_y=29.71345&amp;s_z=0.0&amp;region=contiguous&amp;s_h_frame=NAD83_2011&amp;s_coor=geo&amp;s_v_frame=NAVD88&amp;s_v_unit=us_ft&amp;t_h_frame=NAD83_2011&amp;t_coor=geo&amp;t_v_frame=MHHW&amp;t_v_unit=us_ft", "NAVD88 to MHHW")</f>
        <v>0</v>
      </c>
    </row>
    <row r="293" spans="1:20">
      <c r="A293" s="1" t="s">
        <v>317</v>
      </c>
      <c r="B293" s="1" t="s">
        <v>626</v>
      </c>
      <c r="C293" s="1" t="s">
        <v>648</v>
      </c>
      <c r="D293" s="1" t="s">
        <v>654</v>
      </c>
      <c r="E293" s="1" t="s">
        <v>744</v>
      </c>
      <c r="F293" s="1" t="s">
        <v>846</v>
      </c>
      <c r="G293" s="1" t="s">
        <v>856</v>
      </c>
      <c r="H293" s="1">
        <v>-95.20645</v>
      </c>
      <c r="I293" s="1">
        <v>29.77602</v>
      </c>
      <c r="J293" s="1">
        <v>1610</v>
      </c>
      <c r="K293" s="1" t="s">
        <v>861</v>
      </c>
      <c r="L293" s="1" t="s">
        <v>868</v>
      </c>
      <c r="M293" s="1">
        <v>4186296</v>
      </c>
      <c r="N293" s="1">
        <v>0</v>
      </c>
      <c r="O293" s="1" t="s">
        <v>869</v>
      </c>
      <c r="P293" s="1" t="s">
        <v>874</v>
      </c>
      <c r="Q293" s="1">
        <v>-999999</v>
      </c>
      <c r="R293" s="1">
        <v>-999999</v>
      </c>
      <c r="S293" s="2">
        <f>HYPERLINK("https://vdatum.noaa.gov/vdatumweb/api/convert?s_x=-95.20645&amp;s_y=29.77602&amp;s_z=0.0&amp;region=contiguous&amp;s_h_frame=NAD83_2011&amp;s_coor=geo&amp;s_v_frame=NAVD88&amp;s_v_unit=us_ft&amp;t_h_frame=NAD83_2011&amp;t_coor=geo&amp;t_v_frame=MLLW&amp;t_v_unit=us_ft", "Missing")</f>
        <v>0</v>
      </c>
      <c r="T293" s="2">
        <f>HYPERLINK("https://vdatum.noaa.gov/vdatumweb/api/convert?s_x=-95.20645&amp;s_y=29.77602&amp;s_z=0.0&amp;region=contiguous&amp;s_h_frame=NAD83_2011&amp;s_coor=geo&amp;s_v_frame=NAVD88&amp;s_v_unit=us_ft&amp;t_h_frame=NAD83_2011&amp;t_coor=geo&amp;t_v_frame=MHHW&amp;t_v_unit=us_ft", "Missing")</f>
        <v>0</v>
      </c>
    </row>
    <row r="294" spans="1:20">
      <c r="A294" s="1" t="s">
        <v>318</v>
      </c>
      <c r="B294" s="1" t="s">
        <v>626</v>
      </c>
      <c r="C294" s="1" t="s">
        <v>648</v>
      </c>
      <c r="D294" s="1" t="s">
        <v>654</v>
      </c>
      <c r="E294" s="1" t="s">
        <v>744</v>
      </c>
      <c r="F294" s="1" t="s">
        <v>846</v>
      </c>
      <c r="G294" s="1" t="s">
        <v>856</v>
      </c>
      <c r="H294" s="1">
        <v>-95.08172</v>
      </c>
      <c r="I294" s="1">
        <v>29.76201</v>
      </c>
      <c r="J294" s="1">
        <v>2200</v>
      </c>
      <c r="K294" s="1" t="s">
        <v>861</v>
      </c>
      <c r="L294" s="1" t="s">
        <v>868</v>
      </c>
      <c r="M294" s="1">
        <v>5703940</v>
      </c>
      <c r="N294" s="1">
        <v>0</v>
      </c>
      <c r="O294" s="1" t="s">
        <v>869</v>
      </c>
      <c r="P294" s="1" t="s">
        <v>874</v>
      </c>
      <c r="Q294" s="1">
        <v>-0.017</v>
      </c>
      <c r="R294" s="1">
        <v>-1.487</v>
      </c>
      <c r="S294" s="2">
        <f>HYPERLINK("https://vdatum.noaa.gov/vdatumweb/api/convert?s_x=-95.08172&amp;s_y=29.76201&amp;s_z=0.0&amp;region=contiguous&amp;s_h_frame=NAD83_2011&amp;s_coor=geo&amp;s_v_frame=NAVD88&amp;s_v_unit=us_ft&amp;t_h_frame=NAD83_2011&amp;t_coor=geo&amp;t_v_frame=MLLW&amp;t_v_unit=us_ft", "NAVD88 to MLLW")</f>
        <v>0</v>
      </c>
      <c r="T294" s="2">
        <f>HYPERLINK("https://vdatum.noaa.gov/vdatumweb/api/convert?s_x=-95.08172&amp;s_y=29.76201&amp;s_z=0.0&amp;region=contiguous&amp;s_h_frame=NAD83_2011&amp;s_coor=geo&amp;s_v_frame=NAVD88&amp;s_v_unit=us_ft&amp;t_h_frame=NAD83_2011&amp;t_coor=geo&amp;t_v_frame=MHHW&amp;t_v_unit=us_ft", "NAVD88 to MHHW")</f>
        <v>0</v>
      </c>
    </row>
    <row r="295" spans="1:20">
      <c r="A295" s="1" t="s">
        <v>319</v>
      </c>
      <c r="B295" s="1" t="s">
        <v>626</v>
      </c>
      <c r="C295" s="1" t="s">
        <v>648</v>
      </c>
      <c r="D295" s="1" t="s">
        <v>654</v>
      </c>
      <c r="E295" s="1" t="s">
        <v>745</v>
      </c>
      <c r="F295" s="1" t="s">
        <v>846</v>
      </c>
      <c r="G295" s="1" t="s">
        <v>856</v>
      </c>
      <c r="H295" s="1">
        <v>-94.9448</v>
      </c>
      <c r="I295" s="1">
        <v>29.3317</v>
      </c>
      <c r="J295" s="1">
        <v>4230</v>
      </c>
      <c r="K295" s="1" t="s">
        <v>861</v>
      </c>
      <c r="L295" s="1" t="s">
        <v>868</v>
      </c>
      <c r="M295" s="1">
        <v>7920247</v>
      </c>
      <c r="N295" s="1">
        <v>0</v>
      </c>
      <c r="O295" s="1" t="s">
        <v>869</v>
      </c>
      <c r="P295" s="1" t="s">
        <v>874</v>
      </c>
      <c r="Q295" s="1">
        <v>0.023</v>
      </c>
      <c r="R295" s="1">
        <v>-1.095</v>
      </c>
      <c r="S295" s="2">
        <f>HYPERLINK("https://vdatum.noaa.gov/vdatumweb/api/convert?s_x=-94.9448&amp;s_y=29.3317&amp;s_z=0.0&amp;region=contiguous&amp;s_h_frame=NAD83_2011&amp;s_coor=geo&amp;s_v_frame=NAVD88&amp;s_v_unit=us_ft&amp;t_h_frame=NAD83_2011&amp;t_coor=geo&amp;t_v_frame=MLLW&amp;t_v_unit=us_ft", "NAVD88 to MLLW")</f>
        <v>0</v>
      </c>
      <c r="T295" s="2">
        <f>HYPERLINK("https://vdatum.noaa.gov/vdatumweb/api/convert?s_x=-94.9448&amp;s_y=29.3317&amp;s_z=0.0&amp;region=contiguous&amp;s_h_frame=NAD83_2011&amp;s_coor=geo&amp;s_v_frame=NAVD88&amp;s_v_unit=us_ft&amp;t_h_frame=NAD83_2011&amp;t_coor=geo&amp;t_v_frame=MHHW&amp;t_v_unit=us_ft", "NAVD88 to MHHW")</f>
        <v>0</v>
      </c>
    </row>
    <row r="296" spans="1:20">
      <c r="A296" s="1" t="s">
        <v>320</v>
      </c>
      <c r="B296" s="1" t="s">
        <v>626</v>
      </c>
      <c r="C296" s="1" t="s">
        <v>648</v>
      </c>
      <c r="D296" s="1" t="s">
        <v>654</v>
      </c>
      <c r="E296" s="1" t="s">
        <v>745</v>
      </c>
      <c r="F296" s="1" t="s">
        <v>846</v>
      </c>
      <c r="G296" s="1" t="s">
        <v>856</v>
      </c>
      <c r="H296" s="1">
        <v>-95.0478</v>
      </c>
      <c r="I296" s="1">
        <v>29.4565</v>
      </c>
      <c r="J296" s="1">
        <v>5350</v>
      </c>
      <c r="K296" s="1" t="s">
        <v>861</v>
      </c>
      <c r="L296" s="1" t="s">
        <v>868</v>
      </c>
      <c r="M296" s="1">
        <v>8657856</v>
      </c>
      <c r="N296" s="1">
        <v>0</v>
      </c>
      <c r="O296" s="1" t="s">
        <v>869</v>
      </c>
      <c r="P296" s="1" t="s">
        <v>874</v>
      </c>
      <c r="Q296" s="1">
        <v>-999999</v>
      </c>
      <c r="R296" s="1">
        <v>-999999</v>
      </c>
      <c r="S296" s="2">
        <f>HYPERLINK("https://vdatum.noaa.gov/vdatumweb/api/convert?s_x=-95.0478&amp;s_y=29.4565&amp;s_z=0.0&amp;region=contiguous&amp;s_h_frame=NAD83_2011&amp;s_coor=geo&amp;s_v_frame=NAVD88&amp;s_v_unit=us_ft&amp;t_h_frame=NAD83_2011&amp;t_coor=geo&amp;t_v_frame=MLLW&amp;t_v_unit=us_ft", "Missing")</f>
        <v>0</v>
      </c>
      <c r="T296" s="2">
        <f>HYPERLINK("https://vdatum.noaa.gov/vdatumweb/api/convert?s_x=-95.0478&amp;s_y=29.4565&amp;s_z=0.0&amp;region=contiguous&amp;s_h_frame=NAD83_2011&amp;s_coor=geo&amp;s_v_frame=NAVD88&amp;s_v_unit=us_ft&amp;t_h_frame=NAD83_2011&amp;t_coor=geo&amp;t_v_frame=MHHW&amp;t_v_unit=us_ft", "Missing")</f>
        <v>0</v>
      </c>
    </row>
    <row r="297" spans="1:20">
      <c r="A297" s="1" t="s">
        <v>321</v>
      </c>
      <c r="B297" s="1" t="s">
        <v>626</v>
      </c>
      <c r="C297" s="1" t="s">
        <v>648</v>
      </c>
      <c r="D297" s="1" t="s">
        <v>654</v>
      </c>
      <c r="H297" s="1">
        <v>-94.985</v>
      </c>
      <c r="I297" s="1">
        <v>29.68167</v>
      </c>
      <c r="J297" s="1">
        <f>HYPERLINK("https://tidesandcurrents.noaa.gov/stationhome.html?id=8770613", "8770613")</f>
        <v>0</v>
      </c>
      <c r="K297" s="1" t="s">
        <v>860</v>
      </c>
      <c r="L297" s="1" t="s">
        <v>866</v>
      </c>
      <c r="M297" s="1">
        <v>7269389</v>
      </c>
      <c r="N297" s="1">
        <v>0</v>
      </c>
      <c r="O297" s="1" t="s">
        <v>869</v>
      </c>
      <c r="P297" s="1" t="s">
        <v>874</v>
      </c>
      <c r="Q297" s="1">
        <v>0.053</v>
      </c>
      <c r="R297" s="1">
        <v>-1.259</v>
      </c>
      <c r="S297" s="2">
        <f>HYPERLINK("https://vdatum.noaa.gov/vdatumweb/api/convert?s_x=-94.985&amp;s_y=29.68167&amp;s_z=0.0&amp;region=contiguous&amp;s_h_frame=NAD83_2011&amp;s_coor=geo&amp;s_v_frame=NAVD88&amp;s_v_unit=us_ft&amp;t_h_frame=NAD83_2011&amp;t_coor=geo&amp;t_v_frame=MLLW&amp;t_v_unit=us_ft", "NAVD88 to MLLW")</f>
        <v>0</v>
      </c>
      <c r="T297" s="2">
        <f>HYPERLINK("https://vdatum.noaa.gov/vdatumweb/api/convert?s_x=-94.985&amp;s_y=29.68167&amp;s_z=0.0&amp;region=contiguous&amp;s_h_frame=NAD83_2011&amp;s_coor=geo&amp;s_v_frame=NAVD88&amp;s_v_unit=us_ft&amp;t_h_frame=NAD83_2011&amp;t_coor=geo&amp;t_v_frame=MHHW&amp;t_v_unit=us_ft", "NAVD88 to MHHW")</f>
        <v>0</v>
      </c>
    </row>
    <row r="298" spans="1:20">
      <c r="A298" s="1" t="s">
        <v>322</v>
      </c>
      <c r="B298" s="1" t="s">
        <v>626</v>
      </c>
      <c r="C298" s="1" t="s">
        <v>648</v>
      </c>
      <c r="D298" s="1" t="s">
        <v>654</v>
      </c>
      <c r="E298" s="1" t="s">
        <v>744</v>
      </c>
      <c r="F298" s="1" t="s">
        <v>846</v>
      </c>
      <c r="G298" s="1" t="s">
        <v>856</v>
      </c>
      <c r="H298" s="1">
        <v>-95.0789</v>
      </c>
      <c r="I298" s="1">
        <v>29.76486</v>
      </c>
      <c r="J298" s="1">
        <f>HYPERLINK("https://tidesandcurrents.noaa.gov/stationhome.html?id=8770733", "8770733")</f>
        <v>0</v>
      </c>
      <c r="K298" s="1" t="s">
        <v>861</v>
      </c>
      <c r="L298" s="1" t="s">
        <v>866</v>
      </c>
      <c r="M298" s="1">
        <v>5591448</v>
      </c>
      <c r="N298" s="1">
        <v>0</v>
      </c>
      <c r="O298" s="1" t="s">
        <v>869</v>
      </c>
      <c r="P298" s="1" t="s">
        <v>874</v>
      </c>
      <c r="Q298" s="1">
        <v>0.002</v>
      </c>
      <c r="R298" s="1">
        <v>-1.474</v>
      </c>
      <c r="S298" s="2">
        <f>HYPERLINK("https://vdatum.noaa.gov/vdatumweb/api/convert?s_x=-95.0789&amp;s_y=29.76486&amp;s_z=0.0&amp;region=contiguous&amp;s_h_frame=NAD83_2011&amp;s_coor=geo&amp;s_v_frame=NAVD88&amp;s_v_unit=us_ft&amp;t_h_frame=NAD83_2011&amp;t_coor=geo&amp;t_v_frame=MLLW&amp;t_v_unit=us_ft", "NAVD88 to MLLW")</f>
        <v>0</v>
      </c>
      <c r="T298" s="2">
        <f>HYPERLINK("https://vdatum.noaa.gov/vdatumweb/api/convert?s_x=-95.0789&amp;s_y=29.76486&amp;s_z=0.0&amp;region=contiguous&amp;s_h_frame=NAD83_2011&amp;s_coor=geo&amp;s_v_frame=NAVD88&amp;s_v_unit=us_ft&amp;t_h_frame=NAD83_2011&amp;t_coor=geo&amp;t_v_frame=MHHW&amp;t_v_unit=us_ft", "NAVD88 to MHHW")</f>
        <v>0</v>
      </c>
    </row>
    <row r="299" spans="1:20">
      <c r="A299" s="1" t="s">
        <v>323</v>
      </c>
      <c r="B299" s="1" t="s">
        <v>626</v>
      </c>
      <c r="C299" s="1" t="s">
        <v>648</v>
      </c>
      <c r="D299" s="1" t="s">
        <v>654</v>
      </c>
      <c r="E299" s="1" t="s">
        <v>744</v>
      </c>
      <c r="F299" s="1" t="s">
        <v>846</v>
      </c>
      <c r="G299" s="1" t="s">
        <v>856</v>
      </c>
      <c r="H299" s="1">
        <v>-95.2658</v>
      </c>
      <c r="I299" s="1">
        <v>29.72622</v>
      </c>
      <c r="J299" s="1">
        <f>HYPERLINK("https://tidesandcurrents.noaa.gov/stationhome.html?id=8770777", "8770777")</f>
        <v>0</v>
      </c>
      <c r="K299" s="1" t="s">
        <v>860</v>
      </c>
      <c r="L299" s="1" t="s">
        <v>866</v>
      </c>
      <c r="M299" s="1">
        <v>2858690</v>
      </c>
      <c r="N299" s="1">
        <v>0</v>
      </c>
      <c r="O299" s="1" t="s">
        <v>869</v>
      </c>
      <c r="P299" s="1" t="s">
        <v>874</v>
      </c>
      <c r="Q299" s="1">
        <v>-0.154</v>
      </c>
      <c r="R299" s="1">
        <v>-1.797</v>
      </c>
      <c r="S299" s="2">
        <f>HYPERLINK("https://vdatum.noaa.gov/vdatumweb/api/convert?s_x=-95.2658&amp;s_y=29.72622&amp;s_z=0.0&amp;region=contiguous&amp;s_h_frame=NAD83_2011&amp;s_coor=geo&amp;s_v_frame=NAVD88&amp;s_v_unit=us_ft&amp;t_h_frame=NAD83_2011&amp;t_coor=geo&amp;t_v_frame=MLLW&amp;t_v_unit=us_ft", "NAVD88 to MLLW")</f>
        <v>0</v>
      </c>
      <c r="T299" s="2">
        <f>HYPERLINK("https://vdatum.noaa.gov/vdatumweb/api/convert?s_x=-95.2658&amp;s_y=29.72622&amp;s_z=0.0&amp;region=contiguous&amp;s_h_frame=NAD83_2011&amp;s_coor=geo&amp;s_v_frame=NAVD88&amp;s_v_unit=us_ft&amp;t_h_frame=NAD83_2011&amp;t_coor=geo&amp;t_v_frame=MHHW&amp;t_v_unit=us_ft", "NAVD88 to MHHW")</f>
        <v>0</v>
      </c>
    </row>
    <row r="300" spans="1:20">
      <c r="A300" s="1" t="s">
        <v>324</v>
      </c>
      <c r="B300" s="1" t="s">
        <v>626</v>
      </c>
      <c r="C300" s="1" t="s">
        <v>648</v>
      </c>
      <c r="D300" s="1" t="s">
        <v>654</v>
      </c>
      <c r="E300" s="1" t="s">
        <v>745</v>
      </c>
      <c r="F300" s="1" t="s">
        <v>846</v>
      </c>
      <c r="G300" s="1" t="s">
        <v>856</v>
      </c>
      <c r="H300" s="1">
        <v>-94.51300000000001</v>
      </c>
      <c r="I300" s="1">
        <v>29.515</v>
      </c>
      <c r="J300" s="1">
        <f>HYPERLINK("https://tidesandcurrents.noaa.gov/stationhome.html?id=8770971", "8770971")</f>
        <v>0</v>
      </c>
      <c r="K300" s="1" t="s">
        <v>860</v>
      </c>
      <c r="L300" s="1" t="s">
        <v>866</v>
      </c>
      <c r="M300" s="1">
        <v>4026519</v>
      </c>
      <c r="N300" s="1">
        <v>0</v>
      </c>
      <c r="O300" s="1" t="s">
        <v>869</v>
      </c>
      <c r="P300" s="1" t="s">
        <v>874</v>
      </c>
      <c r="Q300" s="1">
        <v>0.13</v>
      </c>
      <c r="R300" s="1">
        <v>-1.204</v>
      </c>
      <c r="S300" s="2">
        <f>HYPERLINK("https://vdatum.noaa.gov/vdatumweb/api/convert?s_x=-94.513&amp;s_y=29.515&amp;s_z=0.0&amp;region=contiguous&amp;s_h_frame=NAD83_2011&amp;s_coor=geo&amp;s_v_frame=NAVD88&amp;s_v_unit=us_ft&amp;t_h_frame=NAD83_2011&amp;t_coor=geo&amp;t_v_frame=MLLW&amp;t_v_unit=us_ft", "NAVD88 to MLLW")</f>
        <v>0</v>
      </c>
      <c r="T300" s="2">
        <f>HYPERLINK("https://vdatum.noaa.gov/vdatumweb/api/convert?s_x=-94.513&amp;s_y=29.515&amp;s_z=0.0&amp;region=contiguous&amp;s_h_frame=NAD83_2011&amp;s_coor=geo&amp;s_v_frame=NAVD88&amp;s_v_unit=us_ft&amp;t_h_frame=NAD83_2011&amp;t_coor=geo&amp;t_v_frame=MHHW&amp;t_v_unit=us_ft", "NAVD88 to MHHW")</f>
        <v>0</v>
      </c>
    </row>
    <row r="301" spans="1:20">
      <c r="A301" s="1" t="s">
        <v>325</v>
      </c>
      <c r="B301" s="1" t="s">
        <v>626</v>
      </c>
      <c r="D301" s="1" t="s">
        <v>654</v>
      </c>
      <c r="H301" s="1">
        <v>-94.9183</v>
      </c>
      <c r="I301" s="1">
        <v>29.48</v>
      </c>
      <c r="J301" s="1">
        <f>HYPERLINK("https://tidesandcurrents.noaa.gov/stationhome.html?id=8771013", "8771013")</f>
        <v>0</v>
      </c>
      <c r="K301" s="1" t="s">
        <v>860</v>
      </c>
      <c r="L301" s="1" t="s">
        <v>866</v>
      </c>
      <c r="M301" s="1">
        <v>8168808</v>
      </c>
      <c r="N301" s="1">
        <v>0.207</v>
      </c>
      <c r="O301" s="1" t="s">
        <v>869</v>
      </c>
      <c r="P301" s="1" t="s">
        <v>874</v>
      </c>
      <c r="Q301" s="1">
        <v>-0.078</v>
      </c>
      <c r="R301" s="1">
        <v>-1.178</v>
      </c>
      <c r="S301" s="2">
        <f>HYPERLINK("https://vdatum.noaa.gov/vdatumweb/api/convert?s_x=-94.9183&amp;s_y=29.48&amp;s_z=0.0&amp;region=contiguous&amp;s_h_frame=NAD83_2011&amp;s_coor=geo&amp;s_v_frame=NAVD88&amp;s_v_unit=us_ft&amp;t_h_frame=NAD83_2011&amp;t_coor=geo&amp;t_v_frame=MLLW&amp;t_v_unit=us_ft", "NAVD88 to MLLW")</f>
        <v>0</v>
      </c>
      <c r="T301" s="2">
        <f>HYPERLINK("https://vdatum.noaa.gov/vdatumweb/api/convert?s_x=-94.9183&amp;s_y=29.48&amp;s_z=0.0&amp;region=contiguous&amp;s_h_frame=NAD83_2011&amp;s_coor=geo&amp;s_v_frame=NAVD88&amp;s_v_unit=us_ft&amp;t_h_frame=NAD83_2011&amp;t_coor=geo&amp;t_v_frame=MHHW&amp;t_v_unit=us_ft", "NAVD88 to MHHW")</f>
        <v>0</v>
      </c>
    </row>
    <row r="302" spans="1:20">
      <c r="A302" s="1" t="s">
        <v>326</v>
      </c>
      <c r="B302" s="1" t="s">
        <v>626</v>
      </c>
      <c r="D302" s="1" t="s">
        <v>654</v>
      </c>
      <c r="H302" s="1">
        <v>-94.7248</v>
      </c>
      <c r="I302" s="1">
        <v>29.3573</v>
      </c>
      <c r="J302" s="1">
        <f>HYPERLINK("https://tidesandcurrents.noaa.gov/stationhome.html?id=8771341", "8771341")</f>
        <v>0</v>
      </c>
      <c r="K302" s="1" t="s">
        <v>860</v>
      </c>
      <c r="L302" s="1" t="s">
        <v>866</v>
      </c>
      <c r="M302" s="1">
        <v>3030808</v>
      </c>
      <c r="N302" s="1">
        <v>0</v>
      </c>
      <c r="O302" s="1" t="s">
        <v>869</v>
      </c>
      <c r="P302" s="1" t="s">
        <v>874</v>
      </c>
      <c r="Q302" s="1">
        <v>0.422</v>
      </c>
      <c r="R302" s="1">
        <v>-1.274</v>
      </c>
      <c r="S302" s="2">
        <f>HYPERLINK("https://vdatum.noaa.gov/vdatumweb/api/convert?s_x=-94.7248&amp;s_y=29.3573&amp;s_z=0.0&amp;region=contiguous&amp;s_h_frame=NAD83_2011&amp;s_coor=geo&amp;s_v_frame=NAVD88&amp;s_v_unit=us_ft&amp;t_h_frame=NAD83_2011&amp;t_coor=geo&amp;t_v_frame=MLLW&amp;t_v_unit=us_ft", "NAVD88 to MLLW")</f>
        <v>0</v>
      </c>
      <c r="T302" s="2">
        <f>HYPERLINK("https://vdatum.noaa.gov/vdatumweb/api/convert?s_x=-94.7248&amp;s_y=29.3573&amp;s_z=0.0&amp;region=contiguous&amp;s_h_frame=NAD83_2011&amp;s_coor=geo&amp;s_v_frame=NAVD88&amp;s_v_unit=us_ft&amp;t_h_frame=NAD83_2011&amp;t_coor=geo&amp;t_v_frame=MHHW&amp;t_v_unit=us_ft", "NAVD88 to MHHW")</f>
        <v>0</v>
      </c>
    </row>
    <row r="303" spans="1:20">
      <c r="A303" s="1" t="s">
        <v>327</v>
      </c>
      <c r="B303" s="1" t="s">
        <v>626</v>
      </c>
      <c r="C303" s="1" t="s">
        <v>648</v>
      </c>
      <c r="D303" s="1" t="s">
        <v>654</v>
      </c>
      <c r="H303" s="1">
        <v>-94.7933</v>
      </c>
      <c r="I303" s="1">
        <v>29.31</v>
      </c>
      <c r="J303" s="1">
        <f>HYPERLINK("https://tidesandcurrents.noaa.gov/stationhome.html?id=8771450", "8771450")</f>
        <v>0</v>
      </c>
      <c r="K303" s="1" t="s">
        <v>860</v>
      </c>
      <c r="L303" s="1" t="s">
        <v>866</v>
      </c>
      <c r="M303" s="1">
        <v>3210024</v>
      </c>
      <c r="N303" s="1">
        <v>0</v>
      </c>
      <c r="O303" s="1" t="s">
        <v>869</v>
      </c>
      <c r="P303" s="1" t="s">
        <v>874</v>
      </c>
      <c r="Q303" s="1">
        <v>0.142</v>
      </c>
      <c r="R303" s="1">
        <v>-1.265</v>
      </c>
      <c r="S303" s="2">
        <f>HYPERLINK("https://vdatum.noaa.gov/vdatumweb/api/convert?s_x=-94.7933&amp;s_y=29.31&amp;s_z=0.0&amp;region=contiguous&amp;s_h_frame=NAD83_2011&amp;s_coor=geo&amp;s_v_frame=NAVD88&amp;s_v_unit=us_ft&amp;t_h_frame=NAD83_2011&amp;t_coor=geo&amp;t_v_frame=MLLW&amp;t_v_unit=us_ft", "NAVD88 to MLLW")</f>
        <v>0</v>
      </c>
      <c r="T303" s="2">
        <f>HYPERLINK("https://vdatum.noaa.gov/vdatumweb/api/convert?s_x=-94.7933&amp;s_y=29.31&amp;s_z=0.0&amp;region=contiguous&amp;s_h_frame=NAD83_2011&amp;s_coor=geo&amp;s_v_frame=NAVD88&amp;s_v_unit=us_ft&amp;t_h_frame=NAD83_2011&amp;t_coor=geo&amp;t_v_frame=MHHW&amp;t_v_unit=us_ft", "NAVD88 to MHHW")</f>
        <v>0</v>
      </c>
    </row>
    <row r="304" spans="1:20">
      <c r="A304" s="1" t="s">
        <v>328</v>
      </c>
      <c r="B304" s="1" t="s">
        <v>626</v>
      </c>
      <c r="D304" s="1" t="s">
        <v>654</v>
      </c>
      <c r="H304" s="1">
        <v>-94.89709999999999</v>
      </c>
      <c r="I304" s="1">
        <v>29.30258</v>
      </c>
      <c r="J304" s="1">
        <f>HYPERLINK("https://tidesandcurrents.noaa.gov/stationhome.html?id=8771486", "8771486")</f>
        <v>0</v>
      </c>
      <c r="K304" s="1" t="s">
        <v>860</v>
      </c>
      <c r="L304" s="1" t="s">
        <v>866</v>
      </c>
      <c r="M304" s="1">
        <v>7025298</v>
      </c>
      <c r="N304" s="1">
        <v>0</v>
      </c>
      <c r="O304" s="1" t="s">
        <v>869</v>
      </c>
      <c r="P304" s="1" t="s">
        <v>874</v>
      </c>
      <c r="Q304" s="1">
        <v>0.08799999999999999</v>
      </c>
      <c r="R304" s="1">
        <v>-1.109</v>
      </c>
      <c r="S304" s="2">
        <f>HYPERLINK("https://vdatum.noaa.gov/vdatumweb/api/convert?s_x=-94.8971&amp;s_y=29.30258&amp;s_z=0.0&amp;region=contiguous&amp;s_h_frame=NAD83_2011&amp;s_coor=geo&amp;s_v_frame=NAVD88&amp;s_v_unit=us_ft&amp;t_h_frame=NAD83_2011&amp;t_coor=geo&amp;t_v_frame=MLLW&amp;t_v_unit=us_ft", "NAVD88 to MLLW")</f>
        <v>0</v>
      </c>
      <c r="T304" s="2">
        <f>HYPERLINK("https://vdatum.noaa.gov/vdatumweb/api/convert?s_x=-94.8971&amp;s_y=29.30258&amp;s_z=0.0&amp;region=contiguous&amp;s_h_frame=NAD83_2011&amp;s_coor=geo&amp;s_v_frame=NAVD88&amp;s_v_unit=us_ft&amp;t_h_frame=NAD83_2011&amp;t_coor=geo&amp;t_v_frame=MHHW&amp;t_v_unit=us_ft", "NAVD88 to MHHW")</f>
        <v>0</v>
      </c>
    </row>
    <row r="305" spans="1:20">
      <c r="A305" s="1" t="s">
        <v>329</v>
      </c>
      <c r="B305" s="1" t="s">
        <v>626</v>
      </c>
      <c r="D305" s="1" t="s">
        <v>654</v>
      </c>
      <c r="E305" s="1" t="s">
        <v>745</v>
      </c>
      <c r="F305" s="1" t="s">
        <v>846</v>
      </c>
      <c r="G305" s="1" t="s">
        <v>856</v>
      </c>
      <c r="H305" s="1">
        <v>-94.7894</v>
      </c>
      <c r="I305" s="1">
        <v>29.2853</v>
      </c>
      <c r="J305" s="1">
        <f>HYPERLINK("https://tidesandcurrents.noaa.gov/stationhome.html?id=8771510", "8771510")</f>
        <v>0</v>
      </c>
      <c r="K305" s="1" t="s">
        <v>861</v>
      </c>
      <c r="L305" s="1" t="s">
        <v>866</v>
      </c>
      <c r="M305" s="1">
        <v>1648120</v>
      </c>
      <c r="N305" s="1">
        <v>0</v>
      </c>
      <c r="O305" s="1" t="s">
        <v>869</v>
      </c>
      <c r="P305" s="1" t="s">
        <v>874</v>
      </c>
      <c r="Q305" s="1">
        <v>0.61</v>
      </c>
      <c r="R305" s="1">
        <v>-1.43</v>
      </c>
      <c r="S305" s="2">
        <f>HYPERLINK("https://vdatum.noaa.gov/vdatumweb/api/convert?s_x=-94.7894&amp;s_y=29.2853&amp;s_z=0.0&amp;region=contiguous&amp;s_h_frame=NAD83_2011&amp;s_coor=geo&amp;s_v_frame=NAVD88&amp;s_v_unit=us_ft&amp;t_h_frame=NAD83_2011&amp;t_coor=geo&amp;t_v_frame=MLLW&amp;t_v_unit=us_ft", "NAVD88 to MLLW")</f>
        <v>0</v>
      </c>
      <c r="T305" s="2">
        <f>HYPERLINK("https://vdatum.noaa.gov/vdatumweb/api/convert?s_x=-94.7894&amp;s_y=29.2853&amp;s_z=0.0&amp;region=contiguous&amp;s_h_frame=NAD83_2011&amp;s_coor=geo&amp;s_v_frame=NAVD88&amp;s_v_unit=us_ft&amp;t_h_frame=NAD83_2011&amp;t_coor=geo&amp;t_v_frame=MHHW&amp;t_v_unit=us_ft", "NAVD88 to MHHW")</f>
        <v>0</v>
      </c>
    </row>
    <row r="306" spans="1:20">
      <c r="A306" s="1" t="s">
        <v>330</v>
      </c>
      <c r="B306" s="1" t="s">
        <v>626</v>
      </c>
      <c r="C306" s="1" t="s">
        <v>648</v>
      </c>
      <c r="D306" s="1" t="s">
        <v>654</v>
      </c>
      <c r="H306" s="1">
        <v>-95.13079999999999</v>
      </c>
      <c r="I306" s="1">
        <v>29.08056</v>
      </c>
      <c r="J306" s="1">
        <f>HYPERLINK("https://tidesandcurrents.noaa.gov/stationhome.html?id=8771972", "8771972")</f>
        <v>0</v>
      </c>
      <c r="K306" s="1" t="s">
        <v>860</v>
      </c>
      <c r="L306" s="1" t="s">
        <v>866</v>
      </c>
      <c r="M306" s="1">
        <v>2657994</v>
      </c>
      <c r="N306" s="1">
        <v>0</v>
      </c>
      <c r="O306" s="1" t="s">
        <v>869</v>
      </c>
      <c r="P306" s="1" t="s">
        <v>874</v>
      </c>
      <c r="Q306" s="1">
        <v>0.031</v>
      </c>
      <c r="R306" s="1">
        <v>-1.152</v>
      </c>
      <c r="S306" s="2">
        <f>HYPERLINK("https://vdatum.noaa.gov/vdatumweb/api/convert?s_x=-95.1308&amp;s_y=29.08056&amp;s_z=0.0&amp;region=contiguous&amp;s_h_frame=NAD83_2011&amp;s_coor=geo&amp;s_v_frame=NAVD88&amp;s_v_unit=us_ft&amp;t_h_frame=NAD83_2011&amp;t_coor=geo&amp;t_v_frame=MLLW&amp;t_v_unit=us_ft", "NAVD88 to MLLW")</f>
        <v>0</v>
      </c>
      <c r="T306" s="2">
        <f>HYPERLINK("https://vdatum.noaa.gov/vdatumweb/api/convert?s_x=-95.1308&amp;s_y=29.08056&amp;s_z=0.0&amp;region=contiguous&amp;s_h_frame=NAD83_2011&amp;s_coor=geo&amp;s_v_frame=NAVD88&amp;s_v_unit=us_ft&amp;t_h_frame=NAD83_2011&amp;t_coor=geo&amp;t_v_frame=MHHW&amp;t_v_unit=us_ft", "NAVD88 to MHHW")</f>
        <v>0</v>
      </c>
    </row>
    <row r="307" spans="1:20">
      <c r="A307" s="1" t="s">
        <v>331</v>
      </c>
      <c r="B307" s="1" t="s">
        <v>626</v>
      </c>
      <c r="C307" s="1" t="s">
        <v>648</v>
      </c>
      <c r="D307" s="1" t="s">
        <v>654</v>
      </c>
      <c r="E307" s="1" t="s">
        <v>746</v>
      </c>
      <c r="F307" s="1" t="s">
        <v>846</v>
      </c>
      <c r="G307" s="1" t="s">
        <v>856</v>
      </c>
      <c r="H307" s="1">
        <v>-95.30249999999999</v>
      </c>
      <c r="I307" s="1">
        <v>28.94331</v>
      </c>
      <c r="J307" s="1">
        <f>HYPERLINK("https://tidesandcurrents.noaa.gov/stationhome.html?id=8772447", "8772447")</f>
        <v>0</v>
      </c>
      <c r="K307" s="1" t="s">
        <v>861</v>
      </c>
      <c r="L307" s="1" t="s">
        <v>866</v>
      </c>
      <c r="M307" s="1">
        <v>3873645</v>
      </c>
      <c r="N307" s="1">
        <v>0</v>
      </c>
      <c r="O307" s="1" t="s">
        <v>869</v>
      </c>
      <c r="P307" s="1" t="s">
        <v>874</v>
      </c>
      <c r="Q307" s="1">
        <v>0.441</v>
      </c>
      <c r="R307" s="1">
        <v>-1.338</v>
      </c>
      <c r="S307" s="2">
        <f>HYPERLINK("https://vdatum.noaa.gov/vdatumweb/api/convert?s_x=-95.3025&amp;s_y=28.94331&amp;s_z=0.0&amp;region=contiguous&amp;s_h_frame=NAD83_2011&amp;s_coor=geo&amp;s_v_frame=NAVD88&amp;s_v_unit=us_ft&amp;t_h_frame=NAD83_2011&amp;t_coor=geo&amp;t_v_frame=MLLW&amp;t_v_unit=us_ft", "NAVD88 to MLLW")</f>
        <v>0</v>
      </c>
      <c r="T307" s="2">
        <f>HYPERLINK("https://vdatum.noaa.gov/vdatumweb/api/convert?s_x=-95.3025&amp;s_y=28.94331&amp;s_z=0.0&amp;region=contiguous&amp;s_h_frame=NAD83_2011&amp;s_coor=geo&amp;s_v_frame=NAVD88&amp;s_v_unit=us_ft&amp;t_h_frame=NAD83_2011&amp;t_coor=geo&amp;t_v_frame=MHHW&amp;t_v_unit=us_ft", "NAVD88 to MHHW")</f>
        <v>0</v>
      </c>
    </row>
    <row r="308" spans="1:20">
      <c r="A308" s="1" t="s">
        <v>332</v>
      </c>
      <c r="B308" s="1" t="s">
        <v>626</v>
      </c>
      <c r="C308" s="1" t="s">
        <v>648</v>
      </c>
      <c r="D308" s="1" t="s">
        <v>654</v>
      </c>
      <c r="H308" s="1">
        <v>-95.6172</v>
      </c>
      <c r="I308" s="1">
        <v>28.77142</v>
      </c>
      <c r="J308" s="1">
        <f>HYPERLINK("https://tidesandcurrents.noaa.gov/stationhome.html?id=8772985", "8772985")</f>
        <v>0</v>
      </c>
      <c r="K308" s="1" t="s">
        <v>860</v>
      </c>
      <c r="L308" s="1" t="s">
        <v>866</v>
      </c>
      <c r="M308" s="1">
        <v>1995613</v>
      </c>
      <c r="N308" s="1">
        <v>0</v>
      </c>
      <c r="O308" s="1" t="s">
        <v>869</v>
      </c>
      <c r="P308" s="1" t="s">
        <v>874</v>
      </c>
      <c r="Q308" s="1">
        <v>-0.312</v>
      </c>
      <c r="R308" s="1">
        <v>-0.794</v>
      </c>
      <c r="S308" s="2">
        <f>HYPERLINK("https://vdatum.noaa.gov/vdatumweb/api/convert?s_x=-95.6172&amp;s_y=28.77142&amp;s_z=0.0&amp;region=contiguous&amp;s_h_frame=NAD83_2011&amp;s_coor=geo&amp;s_v_frame=NAVD88&amp;s_v_unit=us_ft&amp;t_h_frame=NAD83_2011&amp;t_coor=geo&amp;t_v_frame=MLLW&amp;t_v_unit=us_ft", "NAVD88 to MLLW")</f>
        <v>0</v>
      </c>
      <c r="T308" s="2">
        <f>HYPERLINK("https://vdatum.noaa.gov/vdatumweb/api/convert?s_x=-95.6172&amp;s_y=28.77142&amp;s_z=0.0&amp;region=contiguous&amp;s_h_frame=NAD83_2011&amp;s_coor=geo&amp;s_v_frame=NAVD88&amp;s_v_unit=us_ft&amp;t_h_frame=NAD83_2011&amp;t_coor=geo&amp;t_v_frame=MHHW&amp;t_v_unit=us_ft", "NAVD88 to MHHW")</f>
        <v>0</v>
      </c>
    </row>
    <row r="309" spans="1:20">
      <c r="A309" s="1" t="s">
        <v>333</v>
      </c>
      <c r="B309" s="1" t="s">
        <v>626</v>
      </c>
      <c r="C309" s="1" t="s">
        <v>648</v>
      </c>
      <c r="D309" s="1" t="s">
        <v>654</v>
      </c>
      <c r="H309" s="1">
        <v>-95.914</v>
      </c>
      <c r="I309" s="1">
        <v>28.71006</v>
      </c>
      <c r="J309" s="1">
        <f>HYPERLINK("https://tidesandcurrents.noaa.gov/stationhome.html?id=8773146", "8773146")</f>
        <v>0</v>
      </c>
      <c r="K309" s="1" t="s">
        <v>860</v>
      </c>
      <c r="L309" s="1" t="s">
        <v>866</v>
      </c>
      <c r="M309" s="1">
        <v>3384998</v>
      </c>
      <c r="N309" s="1">
        <v>0</v>
      </c>
      <c r="O309" s="1" t="s">
        <v>869</v>
      </c>
      <c r="P309" s="1" t="s">
        <v>874</v>
      </c>
      <c r="Q309" s="1">
        <v>-0.592</v>
      </c>
      <c r="R309" s="1">
        <v>-0.592</v>
      </c>
      <c r="S309" s="2">
        <f>HYPERLINK("https://vdatum.noaa.gov/vdatumweb/api/convert?s_x=-95.914&amp;s_y=28.71006&amp;s_z=0.0&amp;region=contiguous&amp;s_h_frame=NAD83_2011&amp;s_coor=geo&amp;s_v_frame=NAVD88&amp;s_v_unit=us_ft&amp;t_h_frame=NAD83_2011&amp;t_coor=geo&amp;t_v_frame=MLLW&amp;t_v_unit=us_ft", "NAVD88 to MLLW")</f>
        <v>0</v>
      </c>
      <c r="T309" s="2">
        <f>HYPERLINK("https://vdatum.noaa.gov/vdatumweb/api/convert?s_x=-95.914&amp;s_y=28.71006&amp;s_z=0.0&amp;region=contiguous&amp;s_h_frame=NAD83_2011&amp;s_coor=geo&amp;s_v_frame=NAVD88&amp;s_v_unit=us_ft&amp;t_h_frame=NAD83_2011&amp;t_coor=geo&amp;t_v_frame=MHHW&amp;t_v_unit=us_ft", "NAVD88 to MHHW")</f>
        <v>0</v>
      </c>
    </row>
    <row r="310" spans="1:20">
      <c r="A310" s="1" t="s">
        <v>334</v>
      </c>
      <c r="B310" s="1" t="s">
        <v>626</v>
      </c>
      <c r="D310" s="1" t="s">
        <v>654</v>
      </c>
      <c r="H310" s="1">
        <v>-96.60980000000001</v>
      </c>
      <c r="I310" s="1">
        <v>28.6406</v>
      </c>
      <c r="J310" s="1">
        <f>HYPERLINK("https://tidesandcurrents.noaa.gov/stationhome.html?id=8773259", "8773259")</f>
        <v>0</v>
      </c>
      <c r="K310" s="1" t="s">
        <v>860</v>
      </c>
      <c r="L310" s="1" t="s">
        <v>866</v>
      </c>
      <c r="M310" s="1">
        <v>7104985</v>
      </c>
      <c r="N310" s="1">
        <v>0.105</v>
      </c>
      <c r="O310" s="1" t="s">
        <v>869</v>
      </c>
      <c r="P310" s="1" t="s">
        <v>874</v>
      </c>
      <c r="Q310" s="1">
        <v>0.152</v>
      </c>
      <c r="R310" s="1">
        <v>-0.783</v>
      </c>
      <c r="S310" s="2">
        <f>HYPERLINK("https://vdatum.noaa.gov/vdatumweb/api/convert?s_x=-96.6098&amp;s_y=28.6406&amp;s_z=0.0&amp;region=contiguous&amp;s_h_frame=NAD83_2011&amp;s_coor=geo&amp;s_v_frame=NAVD88&amp;s_v_unit=us_ft&amp;t_h_frame=NAD83_2011&amp;t_coor=geo&amp;t_v_frame=MLLW&amp;t_v_unit=us_ft", "NAVD88 to MLLW")</f>
        <v>0</v>
      </c>
      <c r="T310" s="2">
        <f>HYPERLINK("https://vdatum.noaa.gov/vdatumweb/api/convert?s_x=-96.6098&amp;s_y=28.6406&amp;s_z=0.0&amp;region=contiguous&amp;s_h_frame=NAD83_2011&amp;s_coor=geo&amp;s_v_frame=NAVD88&amp;s_v_unit=us_ft&amp;t_h_frame=NAD83_2011&amp;t_coor=geo&amp;t_v_frame=MHHW&amp;t_v_unit=us_ft", "NAVD88 to MHHW")</f>
        <v>0</v>
      </c>
    </row>
    <row r="311" spans="1:20">
      <c r="A311" s="1" t="s">
        <v>335</v>
      </c>
      <c r="B311" s="1" t="s">
        <v>626</v>
      </c>
      <c r="D311" s="1" t="s">
        <v>654</v>
      </c>
      <c r="H311" s="1">
        <v>-96.3956</v>
      </c>
      <c r="I311" s="1">
        <v>28.44586</v>
      </c>
      <c r="J311" s="1">
        <f>HYPERLINK("https://tidesandcurrents.noaa.gov/stationhome.html?id=8773701", "8773701")</f>
        <v>0</v>
      </c>
      <c r="K311" s="1" t="s">
        <v>860</v>
      </c>
      <c r="L311" s="1" t="s">
        <v>866</v>
      </c>
      <c r="M311" s="1">
        <v>4464633</v>
      </c>
      <c r="N311" s="1">
        <v>0</v>
      </c>
      <c r="O311" s="1" t="s">
        <v>869</v>
      </c>
      <c r="P311" s="1" t="s">
        <v>874</v>
      </c>
      <c r="Q311" s="1">
        <v>0.379</v>
      </c>
      <c r="R311" s="1">
        <v>-0.417</v>
      </c>
      <c r="S311" s="2">
        <f>HYPERLINK("https://vdatum.noaa.gov/vdatumweb/api/convert?s_x=-96.3956&amp;s_y=28.44586&amp;s_z=0.0&amp;region=contiguous&amp;s_h_frame=NAD83_2011&amp;s_coor=geo&amp;s_v_frame=NAVD88&amp;s_v_unit=us_ft&amp;t_h_frame=NAD83_2011&amp;t_coor=geo&amp;t_v_frame=MLLW&amp;t_v_unit=us_ft", "NAVD88 to MLLW")</f>
        <v>0</v>
      </c>
      <c r="T311" s="2">
        <f>HYPERLINK("https://vdatum.noaa.gov/vdatumweb/api/convert?s_x=-96.3956&amp;s_y=28.44586&amp;s_z=0.0&amp;region=contiguous&amp;s_h_frame=NAD83_2011&amp;s_coor=geo&amp;s_v_frame=NAVD88&amp;s_v_unit=us_ft&amp;t_h_frame=NAD83_2011&amp;t_coor=geo&amp;t_v_frame=MHHW&amp;t_v_unit=us_ft", "NAVD88 to MHHW")</f>
        <v>0</v>
      </c>
    </row>
    <row r="312" spans="1:20">
      <c r="A312" s="1" t="s">
        <v>336</v>
      </c>
      <c r="B312" s="1" t="s">
        <v>626</v>
      </c>
      <c r="C312" s="1" t="s">
        <v>648</v>
      </c>
      <c r="D312" s="1" t="s">
        <v>654</v>
      </c>
      <c r="E312" s="1" t="s">
        <v>747</v>
      </c>
      <c r="F312" s="1" t="s">
        <v>846</v>
      </c>
      <c r="G312" s="1" t="s">
        <v>856</v>
      </c>
      <c r="H312" s="1">
        <v>-96.3301</v>
      </c>
      <c r="I312" s="1">
        <v>28.4269</v>
      </c>
      <c r="J312" s="1">
        <f>HYPERLINK("https://tidesandcurrents.noaa.gov/stationhome.html?id=8773767", "8773767")</f>
        <v>0</v>
      </c>
      <c r="K312" s="1" t="s">
        <v>860</v>
      </c>
      <c r="L312" s="1" t="s">
        <v>866</v>
      </c>
      <c r="M312" s="1">
        <v>3375612</v>
      </c>
      <c r="N312" s="1">
        <v>0</v>
      </c>
      <c r="O312" s="1" t="s">
        <v>869</v>
      </c>
      <c r="P312" s="1" t="s">
        <v>874</v>
      </c>
      <c r="Q312" s="1">
        <v>0.789</v>
      </c>
      <c r="R312" s="1">
        <v>-0.96</v>
      </c>
      <c r="S312" s="2">
        <f>HYPERLINK("https://vdatum.noaa.gov/vdatumweb/api/convert?s_x=-96.3301&amp;s_y=28.4269&amp;s_z=0.0&amp;region=contiguous&amp;s_h_frame=NAD83_2011&amp;s_coor=geo&amp;s_v_frame=NAVD88&amp;s_v_unit=us_ft&amp;t_h_frame=NAD83_2011&amp;t_coor=geo&amp;t_v_frame=MLLW&amp;t_v_unit=us_ft", "NAVD88 to MLLW")</f>
        <v>0</v>
      </c>
      <c r="T312" s="2">
        <f>HYPERLINK("https://vdatum.noaa.gov/vdatumweb/api/convert?s_x=-96.3301&amp;s_y=28.4269&amp;s_z=0.0&amp;region=contiguous&amp;s_h_frame=NAD83_2011&amp;s_coor=geo&amp;s_v_frame=NAVD88&amp;s_v_unit=us_ft&amp;t_h_frame=NAD83_2011&amp;t_coor=geo&amp;t_v_frame=MHHW&amp;t_v_unit=us_ft", "NAVD88 to MHHW")</f>
        <v>0</v>
      </c>
    </row>
    <row r="313" spans="1:20">
      <c r="A313" s="1" t="s">
        <v>337</v>
      </c>
      <c r="B313" s="1" t="s">
        <v>626</v>
      </c>
      <c r="C313" s="1" t="s">
        <v>648</v>
      </c>
      <c r="D313" s="1" t="s">
        <v>654</v>
      </c>
      <c r="E313" s="1" t="s">
        <v>746</v>
      </c>
      <c r="F313" s="1" t="s">
        <v>846</v>
      </c>
      <c r="G313" s="1" t="s">
        <v>856</v>
      </c>
      <c r="H313" s="1">
        <v>-95.20816979999999</v>
      </c>
      <c r="I313" s="1">
        <v>29.212186</v>
      </c>
      <c r="J313" s="1" t="s">
        <v>859</v>
      </c>
      <c r="K313" s="1" t="s">
        <v>861</v>
      </c>
      <c r="L313" s="1" t="s">
        <v>859</v>
      </c>
      <c r="M313" s="1">
        <v>8228159</v>
      </c>
      <c r="N313" s="1">
        <v>0</v>
      </c>
      <c r="O313" s="1" t="s">
        <v>869</v>
      </c>
      <c r="P313" s="1" t="s">
        <v>874</v>
      </c>
      <c r="Q313" s="1">
        <v>-0.129</v>
      </c>
      <c r="R313" s="1">
        <v>-1.031</v>
      </c>
      <c r="S313" s="2">
        <f>HYPERLINK("https://vdatum.noaa.gov/vdatumweb/api/convert?s_x=-95.2081698&amp;s_y=29.212186&amp;s_z=0.0&amp;region=contiguous&amp;s_h_frame=NAD83_2011&amp;s_coor=geo&amp;s_v_frame=NAVD88&amp;s_v_unit=us_ft&amp;t_h_frame=NAD83_2011&amp;t_coor=geo&amp;t_v_frame=MLLW&amp;t_v_unit=us_ft", "NAVD88 to MLLW")</f>
        <v>0</v>
      </c>
      <c r="T313" s="2">
        <f>HYPERLINK("https://vdatum.noaa.gov/vdatumweb/api/convert?s_x=-95.2081698&amp;s_y=29.212186&amp;s_z=0.0&amp;region=contiguous&amp;s_h_frame=NAD83_2011&amp;s_coor=geo&amp;s_v_frame=NAVD88&amp;s_v_unit=us_ft&amp;t_h_frame=NAD83_2011&amp;t_coor=geo&amp;t_v_frame=MHHW&amp;t_v_unit=us_ft", "NAVD88 to MHHW")</f>
        <v>0</v>
      </c>
    </row>
    <row r="314" spans="1:20">
      <c r="A314" s="1" t="s">
        <v>338</v>
      </c>
      <c r="B314" s="1" t="s">
        <v>626</v>
      </c>
      <c r="C314" s="1" t="s">
        <v>648</v>
      </c>
      <c r="D314" s="1" t="s">
        <v>654</v>
      </c>
      <c r="E314" s="1" t="s">
        <v>745</v>
      </c>
      <c r="F314" s="1" t="s">
        <v>846</v>
      </c>
      <c r="G314" s="1" t="s">
        <v>856</v>
      </c>
      <c r="H314" s="1">
        <v>-94.973327</v>
      </c>
      <c r="I314" s="1">
        <v>29.46177</v>
      </c>
      <c r="J314" s="1" t="s">
        <v>859</v>
      </c>
      <c r="K314" s="1" t="s">
        <v>861</v>
      </c>
      <c r="L314" s="1" t="s">
        <v>859</v>
      </c>
      <c r="M314" s="1">
        <v>8753178</v>
      </c>
      <c r="N314" s="1">
        <v>0</v>
      </c>
      <c r="O314" s="1" t="s">
        <v>869</v>
      </c>
      <c r="P314" s="1" t="s">
        <v>874</v>
      </c>
      <c r="Q314" s="1">
        <v>-0.063</v>
      </c>
      <c r="R314" s="1">
        <v>-1.163</v>
      </c>
      <c r="S314" s="2">
        <f>HYPERLINK("https://vdatum.noaa.gov/vdatumweb/api/convert?s_x=-94.973327&amp;s_y=29.46177&amp;s_z=0.0&amp;region=contiguous&amp;s_h_frame=NAD83_2011&amp;s_coor=geo&amp;s_v_frame=NAVD88&amp;s_v_unit=us_ft&amp;t_h_frame=NAD83_2011&amp;t_coor=geo&amp;t_v_frame=MLLW&amp;t_v_unit=us_ft", "NAVD88 to MLLW")</f>
        <v>0</v>
      </c>
      <c r="T314" s="2">
        <f>HYPERLINK("https://vdatum.noaa.gov/vdatumweb/api/convert?s_x=-94.973327&amp;s_y=29.46177&amp;s_z=0.0&amp;region=contiguous&amp;s_h_frame=NAD83_2011&amp;s_coor=geo&amp;s_v_frame=NAVD88&amp;s_v_unit=us_ft&amp;t_h_frame=NAD83_2011&amp;t_coor=geo&amp;t_v_frame=MHHW&amp;t_v_unit=us_ft", "NAVD88 to MHHW")</f>
        <v>0</v>
      </c>
    </row>
    <row r="315" spans="1:20">
      <c r="A315" s="1" t="s">
        <v>339</v>
      </c>
      <c r="B315" s="1" t="s">
        <v>626</v>
      </c>
      <c r="D315" s="1" t="s">
        <v>654</v>
      </c>
      <c r="H315" s="1">
        <v>-95.01678</v>
      </c>
      <c r="I315" s="1">
        <v>29.7037</v>
      </c>
      <c r="J315" s="1" t="s">
        <v>859</v>
      </c>
      <c r="K315" s="1" t="s">
        <v>861</v>
      </c>
      <c r="L315" s="1" t="s">
        <v>859</v>
      </c>
      <c r="M315" s="1">
        <v>5718080</v>
      </c>
      <c r="N315" s="1">
        <v>0</v>
      </c>
      <c r="O315" s="1" t="s">
        <v>869</v>
      </c>
      <c r="P315" s="1" t="s">
        <v>874</v>
      </c>
      <c r="Q315" s="1">
        <v>0.035</v>
      </c>
      <c r="R315" s="1">
        <v>-1.332</v>
      </c>
      <c r="S315" s="2">
        <f>HYPERLINK("https://vdatum.noaa.gov/vdatumweb/api/convert?s_x=-95.01678&amp;s_y=29.7037&amp;s_z=0.0&amp;region=contiguous&amp;s_h_frame=NAD83_2011&amp;s_coor=geo&amp;s_v_frame=NAVD88&amp;s_v_unit=us_ft&amp;t_h_frame=NAD83_2011&amp;t_coor=geo&amp;t_v_frame=MLLW&amp;t_v_unit=us_ft", "NAVD88 to MLLW")</f>
        <v>0</v>
      </c>
      <c r="T315" s="2">
        <f>HYPERLINK("https://vdatum.noaa.gov/vdatumweb/api/convert?s_x=-95.01678&amp;s_y=29.7037&amp;s_z=0.0&amp;region=contiguous&amp;s_h_frame=NAD83_2011&amp;s_coor=geo&amp;s_v_frame=NAVD88&amp;s_v_unit=us_ft&amp;t_h_frame=NAD83_2011&amp;t_coor=geo&amp;t_v_frame=MHHW&amp;t_v_unit=us_ft", "NAVD88 to MHHW")</f>
        <v>0</v>
      </c>
    </row>
    <row r="316" spans="1:20">
      <c r="A316" s="1" t="s">
        <v>340</v>
      </c>
      <c r="B316" s="1" t="s">
        <v>626</v>
      </c>
      <c r="C316" s="1" t="s">
        <v>648</v>
      </c>
      <c r="D316" s="1" t="s">
        <v>654</v>
      </c>
      <c r="H316" s="1">
        <v>-95.44450000000001</v>
      </c>
      <c r="I316" s="1">
        <v>28.8707</v>
      </c>
      <c r="J316" s="1" t="s">
        <v>859</v>
      </c>
      <c r="K316" s="1" t="s">
        <v>861</v>
      </c>
      <c r="L316" s="1" t="s">
        <v>859</v>
      </c>
      <c r="M316" s="1">
        <v>4322771</v>
      </c>
      <c r="N316" s="1">
        <v>0</v>
      </c>
      <c r="O316" s="1" t="s">
        <v>869</v>
      </c>
      <c r="P316" s="1" t="s">
        <v>874</v>
      </c>
      <c r="Q316" s="1">
        <v>-0.093</v>
      </c>
      <c r="R316" s="1">
        <v>-1.09</v>
      </c>
      <c r="S316" s="2">
        <f>HYPERLINK("https://vdatum.noaa.gov/vdatumweb/api/convert?s_x=-95.4445&amp;s_y=28.8707&amp;s_z=0.0&amp;region=contiguous&amp;s_h_frame=NAD83_2011&amp;s_coor=geo&amp;s_v_frame=NAVD88&amp;s_v_unit=us_ft&amp;t_h_frame=NAD83_2011&amp;t_coor=geo&amp;t_v_frame=MLLW&amp;t_v_unit=us_ft", "NAVD88 to MLLW")</f>
        <v>0</v>
      </c>
      <c r="T316" s="2">
        <f>HYPERLINK("https://vdatum.noaa.gov/vdatumweb/api/convert?s_x=-95.4445&amp;s_y=28.8707&amp;s_z=0.0&amp;region=contiguous&amp;s_h_frame=NAD83_2011&amp;s_coor=geo&amp;s_v_frame=NAVD88&amp;s_v_unit=us_ft&amp;t_h_frame=NAD83_2011&amp;t_coor=geo&amp;t_v_frame=MHHW&amp;t_v_unit=us_ft", "NAVD88 to MHHW")</f>
        <v>0</v>
      </c>
    </row>
    <row r="317" spans="1:20">
      <c r="A317" s="1" t="s">
        <v>341</v>
      </c>
      <c r="B317" s="1" t="s">
        <v>626</v>
      </c>
      <c r="C317" s="1" t="s">
        <v>648</v>
      </c>
      <c r="D317" s="1" t="s">
        <v>654</v>
      </c>
      <c r="H317" s="1">
        <v>-95.06140000000001</v>
      </c>
      <c r="I317" s="1">
        <v>29.7925</v>
      </c>
      <c r="J317" s="1" t="s">
        <v>859</v>
      </c>
      <c r="K317" s="1" t="s">
        <v>861</v>
      </c>
      <c r="L317" s="1" t="s">
        <v>859</v>
      </c>
      <c r="M317" s="1">
        <v>4331777</v>
      </c>
      <c r="N317" s="1">
        <v>0</v>
      </c>
      <c r="O317" s="1" t="s">
        <v>869</v>
      </c>
      <c r="P317" s="1" t="s">
        <v>874</v>
      </c>
      <c r="Q317" s="1">
        <v>0.014</v>
      </c>
      <c r="R317" s="1">
        <v>-1.478</v>
      </c>
      <c r="S317" s="2">
        <f>HYPERLINK("https://vdatum.noaa.gov/vdatumweb/api/convert?s_x=-95.0614&amp;s_y=29.7925&amp;s_z=0.0&amp;region=contiguous&amp;s_h_frame=NAD83_2011&amp;s_coor=geo&amp;s_v_frame=NAVD88&amp;s_v_unit=us_ft&amp;t_h_frame=NAD83_2011&amp;t_coor=geo&amp;t_v_frame=MLLW&amp;t_v_unit=us_ft", "NAVD88 to MLLW")</f>
        <v>0</v>
      </c>
      <c r="T317" s="2">
        <f>HYPERLINK("https://vdatum.noaa.gov/vdatumweb/api/convert?s_x=-95.0614&amp;s_y=29.7925&amp;s_z=0.0&amp;region=contiguous&amp;s_h_frame=NAD83_2011&amp;s_coor=geo&amp;s_v_frame=NAVD88&amp;s_v_unit=us_ft&amp;t_h_frame=NAD83_2011&amp;t_coor=geo&amp;t_v_frame=MHHW&amp;t_v_unit=us_ft", "NAVD88 to MHHW")</f>
        <v>0</v>
      </c>
    </row>
    <row r="318" spans="1:20">
      <c r="A318" s="1" t="s">
        <v>342</v>
      </c>
      <c r="B318" s="1" t="s">
        <v>626</v>
      </c>
      <c r="C318" s="1" t="s">
        <v>648</v>
      </c>
      <c r="D318" s="1" t="s">
        <v>654</v>
      </c>
      <c r="E318" s="1" t="s">
        <v>744</v>
      </c>
      <c r="F318" s="1" t="s">
        <v>846</v>
      </c>
      <c r="G318" s="1" t="s">
        <v>856</v>
      </c>
      <c r="H318" s="1">
        <v>-95.14615000000001</v>
      </c>
      <c r="I318" s="1">
        <v>29.7359</v>
      </c>
      <c r="J318" s="1" t="s">
        <v>859</v>
      </c>
      <c r="K318" s="1" t="s">
        <v>861</v>
      </c>
      <c r="L318" s="1" t="s">
        <v>859</v>
      </c>
      <c r="M318" s="1">
        <v>3564180</v>
      </c>
      <c r="N318" s="1">
        <v>0</v>
      </c>
      <c r="O318" s="1" t="s">
        <v>869</v>
      </c>
      <c r="P318" s="1" t="s">
        <v>874</v>
      </c>
      <c r="Q318" s="1">
        <v>-0.101</v>
      </c>
      <c r="R318" s="1">
        <v>-1.61</v>
      </c>
      <c r="S318" s="2">
        <f>HYPERLINK("https://vdatum.noaa.gov/vdatumweb/api/convert?s_x=-95.14615&amp;s_y=29.7359&amp;s_z=0.0&amp;region=contiguous&amp;s_h_frame=NAD83_2011&amp;s_coor=geo&amp;s_v_frame=NAVD88&amp;s_v_unit=us_ft&amp;t_h_frame=NAD83_2011&amp;t_coor=geo&amp;t_v_frame=MLLW&amp;t_v_unit=us_ft", "NAVD88 to MLLW")</f>
        <v>0</v>
      </c>
      <c r="T318" s="2">
        <f>HYPERLINK("https://vdatum.noaa.gov/vdatumweb/api/convert?s_x=-95.14615&amp;s_y=29.7359&amp;s_z=0.0&amp;region=contiguous&amp;s_h_frame=NAD83_2011&amp;s_coor=geo&amp;s_v_frame=NAVD88&amp;s_v_unit=us_ft&amp;t_h_frame=NAD83_2011&amp;t_coor=geo&amp;t_v_frame=MHHW&amp;t_v_unit=us_ft", "NAVD88 to MHHW")</f>
        <v>0</v>
      </c>
    </row>
    <row r="319" spans="1:20">
      <c r="A319" s="1" t="s">
        <v>343</v>
      </c>
      <c r="B319" s="1" t="s">
        <v>626</v>
      </c>
      <c r="C319" s="1" t="s">
        <v>648</v>
      </c>
      <c r="D319" s="1" t="s">
        <v>654</v>
      </c>
      <c r="E319" s="1" t="s">
        <v>748</v>
      </c>
      <c r="F319" s="1" t="s">
        <v>846</v>
      </c>
      <c r="G319" s="1" t="s">
        <v>856</v>
      </c>
      <c r="H319" s="1">
        <v>-94.66610708</v>
      </c>
      <c r="I319" s="1">
        <v>29.67555036</v>
      </c>
      <c r="J319" s="1">
        <f>HYPERLINK("https://waterdata.usgs.gov/nwis/nwismap/?site_no=08042558&amp;agency_cd=USGS", "US08042558")</f>
        <v>0</v>
      </c>
      <c r="K319" s="1" t="s">
        <v>861</v>
      </c>
      <c r="L319" s="1" t="s">
        <v>867</v>
      </c>
      <c r="M319" s="1">
        <v>7425413</v>
      </c>
      <c r="N319" s="1">
        <v>0</v>
      </c>
      <c r="O319" s="1" t="s">
        <v>869</v>
      </c>
      <c r="P319" s="1" t="s">
        <v>874</v>
      </c>
      <c r="Q319" s="1">
        <v>0.075</v>
      </c>
      <c r="R319" s="1">
        <v>-1.26</v>
      </c>
      <c r="S319" s="2">
        <f>HYPERLINK("https://vdatum.noaa.gov/vdatumweb/api/convert?s_x=-94.66610708&amp;s_y=29.67555036&amp;s_z=0.0&amp;region=contiguous&amp;s_h_frame=NAD83_2011&amp;s_coor=geo&amp;s_v_frame=NAVD88&amp;s_v_unit=us_ft&amp;t_h_frame=NAD83_2011&amp;t_coor=geo&amp;t_v_frame=MLLW&amp;t_v_unit=us_ft", "NAVD88 to MLLW")</f>
        <v>0</v>
      </c>
      <c r="T319" s="2">
        <f>HYPERLINK("https://vdatum.noaa.gov/vdatumweb/api/convert?s_x=-94.66610708&amp;s_y=29.67555036&amp;s_z=0.0&amp;region=contiguous&amp;s_h_frame=NAD83_2011&amp;s_coor=geo&amp;s_v_frame=NAVD88&amp;s_v_unit=us_ft&amp;t_h_frame=NAD83_2011&amp;t_coor=geo&amp;t_v_frame=MHHW&amp;t_v_unit=us_ft", "NAVD88 to MHHW")</f>
        <v>0</v>
      </c>
    </row>
    <row r="320" spans="1:20">
      <c r="A320" s="1" t="s">
        <v>344</v>
      </c>
      <c r="B320" s="1" t="s">
        <v>626</v>
      </c>
      <c r="C320" s="1" t="s">
        <v>648</v>
      </c>
      <c r="D320" s="1" t="s">
        <v>654</v>
      </c>
      <c r="E320" s="1" t="s">
        <v>744</v>
      </c>
      <c r="F320" s="1" t="s">
        <v>846</v>
      </c>
      <c r="G320" s="1" t="s">
        <v>856</v>
      </c>
      <c r="H320" s="1">
        <v>-95.09381196</v>
      </c>
      <c r="I320" s="1">
        <v>29.87632903</v>
      </c>
      <c r="J320" s="1">
        <f>HYPERLINK("https://waterdata.usgs.gov/nwis/nwismap/?site_no=08072050&amp;agency_cd=USGS", "US08072050")</f>
        <v>0</v>
      </c>
      <c r="K320" s="1" t="s">
        <v>861</v>
      </c>
      <c r="L320" s="1" t="s">
        <v>867</v>
      </c>
      <c r="M320" s="1">
        <v>4167808</v>
      </c>
      <c r="N320" s="1">
        <v>0</v>
      </c>
      <c r="O320" s="1" t="s">
        <v>869</v>
      </c>
      <c r="P320" s="1" t="s">
        <v>874</v>
      </c>
      <c r="Q320" s="1">
        <v>-999999</v>
      </c>
      <c r="R320" s="1">
        <v>-999999</v>
      </c>
      <c r="S320" s="2">
        <f>HYPERLINK("https://vdatum.noaa.gov/vdatumweb/api/convert?s_x=-95.09381196&amp;s_y=29.87632903&amp;s_z=0.0&amp;region=contiguous&amp;s_h_frame=NAD83_2011&amp;s_coor=geo&amp;s_v_frame=NAVD88&amp;s_v_unit=us_ft&amp;t_h_frame=NAD83_2011&amp;t_coor=geo&amp;t_v_frame=MLLW&amp;t_v_unit=us_ft", "Missing")</f>
        <v>0</v>
      </c>
      <c r="T320" s="2">
        <f>HYPERLINK("https://vdatum.noaa.gov/vdatumweb/api/convert?s_x=-95.09381196&amp;s_y=29.87632903&amp;s_z=0.0&amp;region=contiguous&amp;s_h_frame=NAD83_2011&amp;s_coor=geo&amp;s_v_frame=NAVD88&amp;s_v_unit=us_ft&amp;t_h_frame=NAD83_2011&amp;t_coor=geo&amp;t_v_frame=MHHW&amp;t_v_unit=us_ft", "Missing")</f>
        <v>0</v>
      </c>
    </row>
    <row r="321" spans="1:20">
      <c r="A321" s="1" t="s">
        <v>345</v>
      </c>
      <c r="B321" s="1" t="s">
        <v>626</v>
      </c>
      <c r="C321" s="1" t="s">
        <v>648</v>
      </c>
      <c r="D321" s="1" t="s">
        <v>654</v>
      </c>
      <c r="E321" s="1" t="s">
        <v>744</v>
      </c>
      <c r="F321" s="1" t="s">
        <v>846</v>
      </c>
      <c r="G321" s="1" t="s">
        <v>856</v>
      </c>
      <c r="H321" s="1">
        <v>-95.28937372</v>
      </c>
      <c r="I321" s="1">
        <v>29.67439169</v>
      </c>
      <c r="J321" s="1">
        <f>HYPERLINK("https://waterdata.usgs.gov/nwis/nwismap/?site_no=08075500&amp;agency_cd=USGS", "US08075500")</f>
        <v>0</v>
      </c>
      <c r="K321" s="1" t="s">
        <v>861</v>
      </c>
      <c r="L321" s="1" t="s">
        <v>867</v>
      </c>
      <c r="M321" s="1">
        <v>4331578</v>
      </c>
      <c r="N321" s="1">
        <v>0</v>
      </c>
      <c r="O321" s="1" t="s">
        <v>869</v>
      </c>
      <c r="P321" s="1" t="s">
        <v>874</v>
      </c>
      <c r="Q321" s="1">
        <v>-999999</v>
      </c>
      <c r="R321" s="1">
        <v>-999999</v>
      </c>
      <c r="S321" s="2">
        <f>HYPERLINK("https://vdatum.noaa.gov/vdatumweb/api/convert?s_x=-95.28937372&amp;s_y=29.67439169&amp;s_z=0.0&amp;region=contiguous&amp;s_h_frame=NAD83_2011&amp;s_coor=geo&amp;s_v_frame=NAVD88&amp;s_v_unit=us_ft&amp;t_h_frame=NAD83_2011&amp;t_coor=geo&amp;t_v_frame=MLLW&amp;t_v_unit=us_ft", "Missing")</f>
        <v>0</v>
      </c>
      <c r="T321" s="2">
        <f>HYPERLINK("https://vdatum.noaa.gov/vdatumweb/api/convert?s_x=-95.28937372&amp;s_y=29.67439169&amp;s_z=0.0&amp;region=contiguous&amp;s_h_frame=NAD83_2011&amp;s_coor=geo&amp;s_v_frame=NAVD88&amp;s_v_unit=us_ft&amp;t_h_frame=NAD83_2011&amp;t_coor=geo&amp;t_v_frame=MHHW&amp;t_v_unit=us_ft", "Missing")</f>
        <v>0</v>
      </c>
    </row>
    <row r="322" spans="1:20">
      <c r="A322" s="1" t="s">
        <v>346</v>
      </c>
      <c r="B322" s="1" t="s">
        <v>626</v>
      </c>
      <c r="C322" s="1" t="s">
        <v>648</v>
      </c>
      <c r="D322" s="1" t="s">
        <v>654</v>
      </c>
      <c r="E322" s="1" t="s">
        <v>744</v>
      </c>
      <c r="F322" s="1" t="s">
        <v>846</v>
      </c>
      <c r="G322" s="1" t="s">
        <v>856</v>
      </c>
      <c r="H322" s="1">
        <v>-95.0239</v>
      </c>
      <c r="I322" s="1">
        <v>29.5503</v>
      </c>
      <c r="J322" s="1">
        <f>HYPERLINK("https://waterdata.usgs.gov/nwis/nwismap/?site_no=08077637&amp;agency_cd=USGS", "US08077637")</f>
        <v>0</v>
      </c>
      <c r="K322" s="1" t="s">
        <v>861</v>
      </c>
      <c r="L322" s="1" t="s">
        <v>867</v>
      </c>
      <c r="M322" s="1">
        <v>7853979</v>
      </c>
      <c r="N322" s="1">
        <v>0</v>
      </c>
      <c r="O322" s="1" t="s">
        <v>869</v>
      </c>
      <c r="P322" s="1" t="s">
        <v>874</v>
      </c>
      <c r="Q322" s="1">
        <v>-0.037</v>
      </c>
      <c r="R322" s="1">
        <v>-1.209</v>
      </c>
      <c r="S322" s="2">
        <f>HYPERLINK("https://vdatum.noaa.gov/vdatumweb/api/convert?s_x=-95.0239&amp;s_y=29.5503&amp;s_z=0.0&amp;region=contiguous&amp;s_h_frame=NAD83_2011&amp;s_coor=geo&amp;s_v_frame=NAVD88&amp;s_v_unit=us_ft&amp;t_h_frame=NAD83_2011&amp;t_coor=geo&amp;t_v_frame=MLLW&amp;t_v_unit=us_ft", "NAVD88 to MLLW")</f>
        <v>0</v>
      </c>
      <c r="T322" s="2">
        <f>HYPERLINK("https://vdatum.noaa.gov/vdatumweb/api/convert?s_x=-95.0239&amp;s_y=29.5503&amp;s_z=0.0&amp;region=contiguous&amp;s_h_frame=NAD83_2011&amp;s_coor=geo&amp;s_v_frame=NAVD88&amp;s_v_unit=us_ft&amp;t_h_frame=NAD83_2011&amp;t_coor=geo&amp;t_v_frame=MHHW&amp;t_v_unit=us_ft", "NAVD88 to MHHW")</f>
        <v>0</v>
      </c>
    </row>
    <row r="323" spans="1:20">
      <c r="A323" s="1" t="s">
        <v>347</v>
      </c>
      <c r="B323" s="1" t="s">
        <v>626</v>
      </c>
      <c r="C323" s="1" t="s">
        <v>648</v>
      </c>
      <c r="D323" s="1" t="s">
        <v>654</v>
      </c>
      <c r="E323" s="1" t="s">
        <v>746</v>
      </c>
      <c r="F323" s="1" t="s">
        <v>846</v>
      </c>
      <c r="G323" s="1" t="s">
        <v>856</v>
      </c>
      <c r="H323" s="1">
        <v>-95.3388276</v>
      </c>
      <c r="I323" s="1">
        <v>28.95108115</v>
      </c>
      <c r="J323" s="1">
        <f>HYPERLINK("https://waterdata.usgs.gov/nwis/nwismap/?site_no=08079120&amp;agency_cd=USGS", "US08079120")</f>
        <v>0</v>
      </c>
      <c r="K323" s="1" t="s">
        <v>861</v>
      </c>
      <c r="L323" s="1" t="s">
        <v>867</v>
      </c>
      <c r="M323" s="1">
        <v>7107361</v>
      </c>
      <c r="N323" s="1">
        <v>-0.06900000000000001</v>
      </c>
      <c r="O323" s="1" t="s">
        <v>869</v>
      </c>
      <c r="P323" s="1" t="s">
        <v>874</v>
      </c>
      <c r="Q323" s="1">
        <v>0.433</v>
      </c>
      <c r="R323" s="1">
        <v>-1.335</v>
      </c>
      <c r="S323" s="2">
        <f>HYPERLINK("https://vdatum.noaa.gov/vdatumweb/api/convert?s_x=-95.3388276&amp;s_y=28.95108115&amp;s_z=0.0&amp;region=contiguous&amp;s_h_frame=NAD83_2011&amp;s_coor=geo&amp;s_v_frame=NAVD88&amp;s_v_unit=us_ft&amp;t_h_frame=NAD83_2011&amp;t_coor=geo&amp;t_v_frame=MLLW&amp;t_v_unit=us_ft", "NAVD88 to MLLW")</f>
        <v>0</v>
      </c>
      <c r="T323" s="2">
        <f>HYPERLINK("https://vdatum.noaa.gov/vdatumweb/api/convert?s_x=-95.3388276&amp;s_y=28.95108115&amp;s_z=0.0&amp;region=contiguous&amp;s_h_frame=NAD83_2011&amp;s_coor=geo&amp;s_v_frame=NAVD88&amp;s_v_unit=us_ft&amp;t_h_frame=NAD83_2011&amp;t_coor=geo&amp;t_v_frame=MHHW&amp;t_v_unit=us_ft", "NAVD88 to MHHW")</f>
        <v>0</v>
      </c>
    </row>
    <row r="324" spans="1:20">
      <c r="A324" s="1" t="s">
        <v>348</v>
      </c>
      <c r="B324" s="1" t="s">
        <v>627</v>
      </c>
      <c r="C324" s="1" t="s">
        <v>645</v>
      </c>
      <c r="D324" s="1" t="s">
        <v>654</v>
      </c>
      <c r="E324" s="1" t="s">
        <v>749</v>
      </c>
      <c r="F324" s="1" t="s">
        <v>847</v>
      </c>
      <c r="G324" s="1" t="s">
        <v>854</v>
      </c>
      <c r="H324" s="1">
        <v>-81.6617</v>
      </c>
      <c r="I324" s="1">
        <v>30.3917</v>
      </c>
      <c r="J324" s="1">
        <f>HYPERLINK("https://tidesandcurrents.noaa.gov/stationhome.html?id=8720217", "8720217")</f>
        <v>0</v>
      </c>
      <c r="K324" s="1" t="s">
        <v>861</v>
      </c>
      <c r="L324" s="1" t="s">
        <v>866</v>
      </c>
      <c r="M324" s="1">
        <v>7886689</v>
      </c>
      <c r="N324" s="1">
        <v>0</v>
      </c>
      <c r="O324" s="1" t="s">
        <v>869</v>
      </c>
      <c r="P324" s="1" t="s">
        <v>874</v>
      </c>
      <c r="Q324" s="1">
        <v>1.679</v>
      </c>
      <c r="R324" s="1">
        <v>-1.041</v>
      </c>
      <c r="S324" s="2">
        <f>HYPERLINK("https://vdatum.noaa.gov/vdatumweb/api/convert?s_x=-81.6617&amp;s_y=30.3917&amp;s_z=0.0&amp;region=contiguous&amp;s_h_frame=NAD83_2011&amp;s_coor=geo&amp;s_v_frame=NAVD88&amp;s_v_unit=us_ft&amp;t_h_frame=NAD83_2011&amp;t_coor=geo&amp;t_v_frame=MLLW&amp;t_v_unit=us_ft", "NAVD88 to MLLW")</f>
        <v>0</v>
      </c>
      <c r="T324" s="2">
        <f>HYPERLINK("https://vdatum.noaa.gov/vdatumweb/api/convert?s_x=-81.6617&amp;s_y=30.3917&amp;s_z=0.0&amp;region=contiguous&amp;s_h_frame=NAD83_2011&amp;s_coor=geo&amp;s_v_frame=NAVD88&amp;s_v_unit=us_ft&amp;t_h_frame=NAD83_2011&amp;t_coor=geo&amp;t_v_frame=MHHW&amp;t_v_unit=us_ft", "NAVD88 to MHHW")</f>
        <v>0</v>
      </c>
    </row>
    <row r="325" spans="1:20">
      <c r="A325" s="1" t="s">
        <v>349</v>
      </c>
      <c r="B325" s="1" t="s">
        <v>627</v>
      </c>
      <c r="C325" s="1" t="s">
        <v>645</v>
      </c>
      <c r="D325" s="1" t="s">
        <v>654</v>
      </c>
      <c r="H325" s="1">
        <v>-81.42789999999999</v>
      </c>
      <c r="I325" s="1">
        <v>30.39817</v>
      </c>
      <c r="J325" s="1">
        <f>HYPERLINK("https://tidesandcurrents.noaa.gov/stationhome.html?id=8720218", "8720218")</f>
        <v>0</v>
      </c>
      <c r="K325" s="1" t="s">
        <v>860</v>
      </c>
      <c r="L325" s="1" t="s">
        <v>866</v>
      </c>
      <c r="M325" s="1">
        <v>5751777</v>
      </c>
      <c r="N325" s="1">
        <v>0</v>
      </c>
      <c r="O325" s="1" t="s">
        <v>869</v>
      </c>
      <c r="P325" s="1" t="s">
        <v>874</v>
      </c>
      <c r="Q325" s="1">
        <v>3.02</v>
      </c>
      <c r="R325" s="1">
        <v>-1.947</v>
      </c>
      <c r="S325" s="2">
        <f>HYPERLINK("https://vdatum.noaa.gov/vdatumweb/api/convert?s_x=-81.4279&amp;s_y=30.39817&amp;s_z=0.0&amp;region=contiguous&amp;s_h_frame=NAD83_2011&amp;s_coor=geo&amp;s_v_frame=NAVD88&amp;s_v_unit=us_ft&amp;t_h_frame=NAD83_2011&amp;t_coor=geo&amp;t_v_frame=MLLW&amp;t_v_unit=us_ft", "NAVD88 to MLLW")</f>
        <v>0</v>
      </c>
      <c r="T325" s="2">
        <f>HYPERLINK("https://vdatum.noaa.gov/vdatumweb/api/convert?s_x=-81.4279&amp;s_y=30.39817&amp;s_z=0.0&amp;region=contiguous&amp;s_h_frame=NAD83_2011&amp;s_coor=geo&amp;s_v_frame=NAVD88&amp;s_v_unit=us_ft&amp;t_h_frame=NAD83_2011&amp;t_coor=geo&amp;t_v_frame=MHHW&amp;t_v_unit=us_ft", "NAVD88 to MHHW")</f>
        <v>0</v>
      </c>
    </row>
    <row r="326" spans="1:20">
      <c r="A326" s="1" t="s">
        <v>350</v>
      </c>
      <c r="B326" s="1" t="s">
        <v>627</v>
      </c>
      <c r="C326" s="1" t="s">
        <v>645</v>
      </c>
      <c r="D326" s="1" t="s">
        <v>654</v>
      </c>
      <c r="E326" s="1" t="s">
        <v>749</v>
      </c>
      <c r="F326" s="1" t="s">
        <v>847</v>
      </c>
      <c r="G326" s="1" t="s">
        <v>854</v>
      </c>
      <c r="H326" s="1">
        <v>-81.5592</v>
      </c>
      <c r="I326" s="1">
        <v>30.38722</v>
      </c>
      <c r="J326" s="1">
        <f>HYPERLINK("https://tidesandcurrents.noaa.gov/stationhome.html?id=8720219", "8720219")</f>
        <v>0</v>
      </c>
      <c r="K326" s="1" t="s">
        <v>860</v>
      </c>
      <c r="L326" s="1" t="s">
        <v>866</v>
      </c>
      <c r="M326" s="1">
        <v>9587417</v>
      </c>
      <c r="N326" s="1">
        <v>0</v>
      </c>
      <c r="O326" s="1" t="s">
        <v>869</v>
      </c>
      <c r="P326" s="1" t="s">
        <v>874</v>
      </c>
      <c r="Q326" s="1">
        <v>2.276</v>
      </c>
      <c r="R326" s="1">
        <v>-1.368</v>
      </c>
      <c r="S326" s="2">
        <f>HYPERLINK("https://vdatum.noaa.gov/vdatumweb/api/convert?s_x=-81.5592&amp;s_y=30.38722&amp;s_z=0.0&amp;region=contiguous&amp;s_h_frame=NAD83_2011&amp;s_coor=geo&amp;s_v_frame=NAVD88&amp;s_v_unit=us_ft&amp;t_h_frame=NAD83_2011&amp;t_coor=geo&amp;t_v_frame=MLLW&amp;t_v_unit=us_ft", "NAVD88 to MLLW")</f>
        <v>0</v>
      </c>
      <c r="T326" s="2">
        <f>HYPERLINK("https://vdatum.noaa.gov/vdatumweb/api/convert?s_x=-81.5592&amp;s_y=30.38722&amp;s_z=0.0&amp;region=contiguous&amp;s_h_frame=NAD83_2011&amp;s_coor=geo&amp;s_v_frame=NAVD88&amp;s_v_unit=us_ft&amp;t_h_frame=NAD83_2011&amp;t_coor=geo&amp;t_v_frame=MHHW&amp;t_v_unit=us_ft", "NAVD88 to MHHW")</f>
        <v>0</v>
      </c>
    </row>
    <row r="327" spans="1:20">
      <c r="A327" s="1" t="s">
        <v>351</v>
      </c>
      <c r="B327" s="1" t="s">
        <v>627</v>
      </c>
      <c r="C327" s="1" t="s">
        <v>645</v>
      </c>
      <c r="D327" s="1" t="s">
        <v>654</v>
      </c>
      <c r="E327" s="1" t="s">
        <v>749</v>
      </c>
      <c r="F327" s="1" t="s">
        <v>847</v>
      </c>
      <c r="G327" s="1" t="s">
        <v>854</v>
      </c>
      <c r="H327" s="1">
        <v>-81.6591</v>
      </c>
      <c r="I327" s="1">
        <v>30.3205</v>
      </c>
      <c r="J327" s="1">
        <f>HYPERLINK("https://tidesandcurrents.noaa.gov/stationhome.html?id=8720226", "8720226")</f>
        <v>0</v>
      </c>
      <c r="K327" s="1" t="s">
        <v>860</v>
      </c>
      <c r="L327" s="1" t="s">
        <v>866</v>
      </c>
      <c r="M327" s="1">
        <v>6729648</v>
      </c>
      <c r="N327" s="1">
        <v>0</v>
      </c>
      <c r="O327" s="1" t="s">
        <v>869</v>
      </c>
      <c r="P327" s="1" t="s">
        <v>874</v>
      </c>
      <c r="Q327" s="1">
        <v>1.338</v>
      </c>
      <c r="R327" s="1">
        <v>-0.616</v>
      </c>
      <c r="S327" s="2">
        <f>HYPERLINK("https://vdatum.noaa.gov/vdatumweb/api/convert?s_x=-81.6591&amp;s_y=30.3205&amp;s_z=0.0&amp;region=contiguous&amp;s_h_frame=NAD83_2011&amp;s_coor=geo&amp;s_v_frame=NAVD88&amp;s_v_unit=us_ft&amp;t_h_frame=NAD83_2011&amp;t_coor=geo&amp;t_v_frame=MLLW&amp;t_v_unit=us_ft", "NAVD88 to MLLW")</f>
        <v>0</v>
      </c>
      <c r="T327" s="2">
        <f>HYPERLINK("https://vdatum.noaa.gov/vdatumweb/api/convert?s_x=-81.6591&amp;s_y=30.3205&amp;s_z=0.0&amp;region=contiguous&amp;s_h_frame=NAD83_2011&amp;s_coor=geo&amp;s_v_frame=NAVD88&amp;s_v_unit=us_ft&amp;t_h_frame=NAD83_2011&amp;t_coor=geo&amp;t_v_frame=MHHW&amp;t_v_unit=us_ft", "NAVD88 to MHHW")</f>
        <v>0</v>
      </c>
    </row>
    <row r="328" spans="1:20">
      <c r="A328" s="1" t="s">
        <v>352</v>
      </c>
      <c r="B328" s="1" t="s">
        <v>627</v>
      </c>
      <c r="C328" s="1" t="s">
        <v>645</v>
      </c>
      <c r="D328" s="1" t="s">
        <v>654</v>
      </c>
      <c r="E328" s="1" t="s">
        <v>749</v>
      </c>
      <c r="F328" s="1" t="s">
        <v>847</v>
      </c>
      <c r="G328" s="1" t="s">
        <v>854</v>
      </c>
      <c r="H328" s="1">
        <v>-81.69</v>
      </c>
      <c r="I328" s="1">
        <v>30.19242</v>
      </c>
      <c r="J328" s="1">
        <f>HYPERLINK("https://tidesandcurrents.noaa.gov/stationhome.html?id=8720357", "8720357")</f>
        <v>0</v>
      </c>
      <c r="K328" s="1" t="s">
        <v>865</v>
      </c>
      <c r="L328" s="1" t="s">
        <v>866</v>
      </c>
      <c r="M328" s="1">
        <v>6729527</v>
      </c>
      <c r="N328" s="1">
        <v>0</v>
      </c>
      <c r="O328" s="1" t="s">
        <v>869</v>
      </c>
      <c r="P328" s="1" t="s">
        <v>874</v>
      </c>
      <c r="Q328" s="1">
        <v>0.516</v>
      </c>
      <c r="R328" s="1">
        <v>-0.501</v>
      </c>
      <c r="S328" s="2">
        <f>HYPERLINK("https://vdatum.noaa.gov/vdatumweb/api/convert?s_x=-81.69&amp;s_y=30.19242&amp;s_z=0.0&amp;region=contiguous&amp;s_h_frame=NAD83_2011&amp;s_coor=geo&amp;s_v_frame=NAVD88&amp;s_v_unit=us_ft&amp;t_h_frame=NAD83_2011&amp;t_coor=geo&amp;t_v_frame=MLLW&amp;t_v_unit=us_ft", "NAVD88 to MLLW")</f>
        <v>0</v>
      </c>
      <c r="T328" s="2">
        <f>HYPERLINK("https://vdatum.noaa.gov/vdatumweb/api/convert?s_x=-81.69&amp;s_y=30.19242&amp;s_z=0.0&amp;region=contiguous&amp;s_h_frame=NAD83_2011&amp;s_coor=geo&amp;s_v_frame=NAVD88&amp;s_v_unit=us_ft&amp;t_h_frame=NAD83_2011&amp;t_coor=geo&amp;t_v_frame=MHHW&amp;t_v_unit=us_ft", "NAVD88 to MHHW")</f>
        <v>0</v>
      </c>
    </row>
    <row r="329" spans="1:20">
      <c r="A329" s="1" t="s">
        <v>353</v>
      </c>
      <c r="B329" s="1" t="s">
        <v>627</v>
      </c>
      <c r="C329" s="1" t="s">
        <v>645</v>
      </c>
      <c r="D329" s="1" t="s">
        <v>654</v>
      </c>
      <c r="E329" s="1" t="s">
        <v>750</v>
      </c>
      <c r="F329" s="1" t="s">
        <v>847</v>
      </c>
      <c r="G329" s="1" t="s">
        <v>854</v>
      </c>
      <c r="H329" s="1">
        <v>-81.3867</v>
      </c>
      <c r="I329" s="1">
        <v>30.1333</v>
      </c>
      <c r="J329" s="1">
        <f>HYPERLINK("https://tidesandcurrents.noaa.gov/stationhome.html?id=8720398", "8720398")</f>
        <v>0</v>
      </c>
      <c r="K329" s="1" t="s">
        <v>861</v>
      </c>
      <c r="L329" s="1" t="s">
        <v>866</v>
      </c>
      <c r="M329" s="1">
        <v>4364031</v>
      </c>
      <c r="N329" s="1">
        <v>0</v>
      </c>
      <c r="O329" s="1" t="s">
        <v>869</v>
      </c>
      <c r="P329" s="1" t="s">
        <v>874</v>
      </c>
      <c r="Q329" s="1">
        <v>3.15</v>
      </c>
      <c r="R329" s="1">
        <v>-1.942</v>
      </c>
      <c r="S329" s="2">
        <f>HYPERLINK("https://vdatum.noaa.gov/vdatumweb/api/convert?s_x=-81.3867&amp;s_y=30.1333&amp;s_z=0.0&amp;region=contiguous&amp;s_h_frame=NAD83_2011&amp;s_coor=geo&amp;s_v_frame=NAVD88&amp;s_v_unit=us_ft&amp;t_h_frame=NAD83_2011&amp;t_coor=geo&amp;t_v_frame=MLLW&amp;t_v_unit=us_ft", "NAVD88 to MLLW")</f>
        <v>0</v>
      </c>
      <c r="T329" s="2">
        <f>HYPERLINK("https://vdatum.noaa.gov/vdatumweb/api/convert?s_x=-81.3867&amp;s_y=30.1333&amp;s_z=0.0&amp;region=contiguous&amp;s_h_frame=NAD83_2011&amp;s_coor=geo&amp;s_v_frame=NAVD88&amp;s_v_unit=us_ft&amp;t_h_frame=NAD83_2011&amp;t_coor=geo&amp;t_v_frame=MHHW&amp;t_v_unit=us_ft", "NAVD88 to MHHW")</f>
        <v>0</v>
      </c>
    </row>
    <row r="330" spans="1:20">
      <c r="A330" s="1" t="s">
        <v>354</v>
      </c>
      <c r="B330" s="1" t="s">
        <v>627</v>
      </c>
      <c r="C330" s="1" t="s">
        <v>645</v>
      </c>
      <c r="D330" s="1" t="s">
        <v>654</v>
      </c>
      <c r="E330" s="1" t="s">
        <v>750</v>
      </c>
      <c r="F330" s="1" t="s">
        <v>847</v>
      </c>
      <c r="G330" s="1" t="s">
        <v>854</v>
      </c>
      <c r="H330" s="1">
        <v>-81.5483</v>
      </c>
      <c r="I330" s="1">
        <v>29.8017</v>
      </c>
      <c r="J330" s="1">
        <f>HYPERLINK("https://tidesandcurrents.noaa.gov/stationhome.html?id=8720625", "8720625")</f>
        <v>0</v>
      </c>
      <c r="K330" s="1" t="s">
        <v>860</v>
      </c>
      <c r="L330" s="1" t="s">
        <v>866</v>
      </c>
      <c r="M330" s="1">
        <v>5047962</v>
      </c>
      <c r="N330" s="1">
        <v>0</v>
      </c>
      <c r="O330" s="1" t="s">
        <v>869</v>
      </c>
      <c r="P330" s="1" t="s">
        <v>874</v>
      </c>
      <c r="Q330" s="1">
        <v>0.619</v>
      </c>
      <c r="R330" s="1">
        <v>-0.638</v>
      </c>
      <c r="S330" s="2">
        <f>HYPERLINK("https://vdatum.noaa.gov/vdatumweb/api/convert?s_x=-81.5483&amp;s_y=29.8017&amp;s_z=0.0&amp;region=contiguous&amp;s_h_frame=NAD83_2011&amp;s_coor=geo&amp;s_v_frame=NAVD88&amp;s_v_unit=us_ft&amp;t_h_frame=NAD83_2011&amp;t_coor=geo&amp;t_v_frame=MLLW&amp;t_v_unit=us_ft", "NAVD88 to MLLW")</f>
        <v>0</v>
      </c>
      <c r="T330" s="2">
        <f>HYPERLINK("https://vdatum.noaa.gov/vdatumweb/api/convert?s_x=-81.5483&amp;s_y=29.8017&amp;s_z=0.0&amp;region=contiguous&amp;s_h_frame=NAD83_2011&amp;s_coor=geo&amp;s_v_frame=NAVD88&amp;s_v_unit=us_ft&amp;t_h_frame=NAD83_2011&amp;t_coor=geo&amp;t_v_frame=MHHW&amp;t_v_unit=us_ft", "NAVD88 to MHHW")</f>
        <v>0</v>
      </c>
    </row>
    <row r="331" spans="1:20">
      <c r="A331" s="1" t="s">
        <v>355</v>
      </c>
      <c r="B331" s="1" t="s">
        <v>627</v>
      </c>
      <c r="C331" s="1" t="s">
        <v>645</v>
      </c>
      <c r="D331" s="1" t="s">
        <v>654</v>
      </c>
      <c r="E331" s="1" t="s">
        <v>751</v>
      </c>
      <c r="F331" s="1" t="s">
        <v>838</v>
      </c>
      <c r="G331" s="1" t="s">
        <v>854</v>
      </c>
      <c r="H331" s="1">
        <v>-81.7268578</v>
      </c>
      <c r="I331" s="1">
        <v>30.97488298</v>
      </c>
      <c r="J331" s="1">
        <f>HYPERLINK("https://waterdata.usgs.gov/nwis/nwismap/?site_no=02228070&amp;agency_cd=USGS", "US02228070")</f>
        <v>0</v>
      </c>
      <c r="K331" s="1" t="s">
        <v>861</v>
      </c>
      <c r="L331" s="1" t="s">
        <v>867</v>
      </c>
      <c r="M331" s="1">
        <v>7752137</v>
      </c>
      <c r="N331" s="1">
        <v>-0.06</v>
      </c>
      <c r="O331" s="1" t="s">
        <v>869</v>
      </c>
      <c r="P331" s="1" t="s">
        <v>874</v>
      </c>
      <c r="Q331" s="1">
        <v>-999999</v>
      </c>
      <c r="R331" s="1">
        <v>-999999</v>
      </c>
      <c r="S331" s="2">
        <f>HYPERLINK("https://vdatum.noaa.gov/vdatumweb/api/convert?s_x=-81.7268578&amp;s_y=30.97488298&amp;s_z=0.0&amp;region=contiguous&amp;s_h_frame=NAD83_2011&amp;s_coor=geo&amp;s_v_frame=NAVD88&amp;s_v_unit=us_ft&amp;t_h_frame=NAD83_2011&amp;t_coor=geo&amp;t_v_frame=MLLW&amp;t_v_unit=us_ft", "Missing")</f>
        <v>0</v>
      </c>
      <c r="T331" s="2">
        <f>HYPERLINK("https://vdatum.noaa.gov/vdatumweb/api/convert?s_x=-81.7268578&amp;s_y=30.97488298&amp;s_z=0.0&amp;region=contiguous&amp;s_h_frame=NAD83_2011&amp;s_coor=geo&amp;s_v_frame=NAVD88&amp;s_v_unit=us_ft&amp;t_h_frame=NAD83_2011&amp;t_coor=geo&amp;t_v_frame=MHHW&amp;t_v_unit=us_ft", "Missing")</f>
        <v>0</v>
      </c>
    </row>
    <row r="332" spans="1:20">
      <c r="A332" s="1" t="s">
        <v>356</v>
      </c>
      <c r="B332" s="1" t="s">
        <v>627</v>
      </c>
      <c r="D332" s="1" t="s">
        <v>654</v>
      </c>
      <c r="H332" s="1">
        <v>-81.47135788</v>
      </c>
      <c r="I332" s="1">
        <v>30.76432746</v>
      </c>
      <c r="J332" s="1">
        <f>HYPERLINK("https://waterdata.usgs.gov/nwis/nwismap/?site_no=02228295&amp;agency_cd=USGS", "US02228295")</f>
        <v>0</v>
      </c>
      <c r="K332" s="1" t="s">
        <v>861</v>
      </c>
      <c r="L332" s="1" t="s">
        <v>867</v>
      </c>
      <c r="M332" s="1">
        <v>3431367</v>
      </c>
      <c r="N332" s="1">
        <v>0</v>
      </c>
      <c r="O332" s="1" t="s">
        <v>869</v>
      </c>
      <c r="P332" s="1" t="s">
        <v>874</v>
      </c>
      <c r="Q332" s="1">
        <v>3.936</v>
      </c>
      <c r="R332" s="1">
        <v>-2.846</v>
      </c>
      <c r="S332" s="2">
        <f>HYPERLINK("https://vdatum.noaa.gov/vdatumweb/api/convert?s_x=-81.47135788&amp;s_y=30.76432746&amp;s_z=0.0&amp;region=contiguous&amp;s_h_frame=NAD83_2011&amp;s_coor=geo&amp;s_v_frame=NAVD88&amp;s_v_unit=us_ft&amp;t_h_frame=NAD83_2011&amp;t_coor=geo&amp;t_v_frame=MLLW&amp;t_v_unit=us_ft", "NAVD88 to MLLW")</f>
        <v>0</v>
      </c>
      <c r="T332" s="2">
        <f>HYPERLINK("https://vdatum.noaa.gov/vdatumweb/api/convert?s_x=-81.47135788&amp;s_y=30.76432746&amp;s_z=0.0&amp;region=contiguous&amp;s_h_frame=NAD83_2011&amp;s_coor=geo&amp;s_v_frame=NAVD88&amp;s_v_unit=us_ft&amp;t_h_frame=NAD83_2011&amp;t_coor=geo&amp;t_v_frame=MHHW&amp;t_v_unit=us_ft", "NAVD88 to MHHW")</f>
        <v>0</v>
      </c>
    </row>
    <row r="333" spans="1:20">
      <c r="A333" s="1" t="s">
        <v>357</v>
      </c>
      <c r="B333" s="1" t="s">
        <v>627</v>
      </c>
      <c r="C333" s="1" t="s">
        <v>645</v>
      </c>
      <c r="D333" s="1" t="s">
        <v>654</v>
      </c>
      <c r="H333" s="1">
        <v>-81.65426503</v>
      </c>
      <c r="I333" s="1">
        <v>30.74411814</v>
      </c>
      <c r="J333" s="1">
        <f>HYPERLINK("https://waterdata.usgs.gov/nwis/nwismap/?site_no=02231254&amp;agency_cd=USGS", "US02231254")</f>
        <v>0</v>
      </c>
      <c r="K333" s="1" t="s">
        <v>861</v>
      </c>
      <c r="L333" s="1" t="s">
        <v>867</v>
      </c>
      <c r="M333" s="1">
        <v>9373617</v>
      </c>
      <c r="N333" s="1">
        <v>0</v>
      </c>
      <c r="O333" s="1" t="s">
        <v>869</v>
      </c>
      <c r="P333" s="1" t="s">
        <v>874</v>
      </c>
      <c r="Q333" s="1">
        <v>2.665</v>
      </c>
      <c r="R333" s="1">
        <v>-2.383</v>
      </c>
      <c r="S333" s="2">
        <f>HYPERLINK("https://vdatum.noaa.gov/vdatumweb/api/convert?s_x=-81.65426503&amp;s_y=30.74411814&amp;s_z=0.0&amp;region=contiguous&amp;s_h_frame=NAD83_2011&amp;s_coor=geo&amp;s_v_frame=NAVD88&amp;s_v_unit=us_ft&amp;t_h_frame=NAD83_2011&amp;t_coor=geo&amp;t_v_frame=MLLW&amp;t_v_unit=us_ft", "NAVD88 to MLLW")</f>
        <v>0</v>
      </c>
      <c r="T333" s="2">
        <f>HYPERLINK("https://vdatum.noaa.gov/vdatumweb/api/convert?s_x=-81.65426503&amp;s_y=30.74411814&amp;s_z=0.0&amp;region=contiguous&amp;s_h_frame=NAD83_2011&amp;s_coor=geo&amp;s_v_frame=NAVD88&amp;s_v_unit=us_ft&amp;t_h_frame=NAD83_2011&amp;t_coor=geo&amp;t_v_frame=MHHW&amp;t_v_unit=us_ft", "NAVD88 to MHHW")</f>
        <v>0</v>
      </c>
    </row>
    <row r="334" spans="1:20">
      <c r="A334" s="1" t="s">
        <v>358</v>
      </c>
      <c r="B334" s="1" t="s">
        <v>627</v>
      </c>
      <c r="C334" s="1" t="s">
        <v>645</v>
      </c>
      <c r="D334" s="1" t="s">
        <v>654</v>
      </c>
      <c r="E334" s="1" t="s">
        <v>749</v>
      </c>
      <c r="F334" s="1" t="s">
        <v>847</v>
      </c>
      <c r="G334" s="1" t="s">
        <v>854</v>
      </c>
      <c r="H334" s="1">
        <v>-81.58981466</v>
      </c>
      <c r="I334" s="1">
        <v>30.55078729</v>
      </c>
      <c r="J334" s="1">
        <f>HYPERLINK("https://waterdata.usgs.gov/nwis/nwismap/?site_no=02231291&amp;agency_cd=USGS", "US02231291")</f>
        <v>0</v>
      </c>
      <c r="K334" s="1" t="s">
        <v>861</v>
      </c>
      <c r="L334" s="1" t="s">
        <v>867</v>
      </c>
      <c r="M334" s="1">
        <v>8952437</v>
      </c>
      <c r="N334" s="1">
        <v>-3.51</v>
      </c>
      <c r="O334" s="1" t="s">
        <v>869</v>
      </c>
      <c r="P334" s="1" t="s">
        <v>874</v>
      </c>
      <c r="Q334" s="1">
        <v>2.66</v>
      </c>
      <c r="R334" s="1">
        <v>-2.025</v>
      </c>
      <c r="S334" s="2">
        <f>HYPERLINK("https://vdatum.noaa.gov/vdatumweb/api/convert?s_x=-81.58981466&amp;s_y=30.55078729&amp;s_z=0.0&amp;region=contiguous&amp;s_h_frame=NAD83_2011&amp;s_coor=geo&amp;s_v_frame=NAVD88&amp;s_v_unit=us_ft&amp;t_h_frame=NAD83_2011&amp;t_coor=geo&amp;t_v_frame=MLLW&amp;t_v_unit=us_ft", "NAVD88 to MLLW")</f>
        <v>0</v>
      </c>
      <c r="T334" s="2">
        <f>HYPERLINK("https://vdatum.noaa.gov/vdatumweb/api/convert?s_x=-81.58981466&amp;s_y=30.55078729&amp;s_z=0.0&amp;region=contiguous&amp;s_h_frame=NAD83_2011&amp;s_coor=geo&amp;s_v_frame=NAVD88&amp;s_v_unit=us_ft&amp;t_h_frame=NAD83_2011&amp;t_coor=geo&amp;t_v_frame=MHHW&amp;t_v_unit=us_ft", "NAVD88 to MHHW")</f>
        <v>0</v>
      </c>
    </row>
    <row r="335" spans="1:20">
      <c r="A335" s="1" t="s">
        <v>359</v>
      </c>
      <c r="B335" s="1" t="s">
        <v>627</v>
      </c>
      <c r="C335" s="1" t="s">
        <v>645</v>
      </c>
      <c r="D335" s="1" t="s">
        <v>654</v>
      </c>
      <c r="E335" s="1" t="s">
        <v>752</v>
      </c>
      <c r="F335" s="1" t="s">
        <v>847</v>
      </c>
      <c r="G335" s="1" t="s">
        <v>854</v>
      </c>
      <c r="H335" s="1">
        <v>-81.68313477</v>
      </c>
      <c r="I335" s="1">
        <v>29.59635261</v>
      </c>
      <c r="J335" s="1">
        <f>HYPERLINK("https://waterdata.usgs.gov/nwis/nwismap/?site_no=02244040&amp;agency_cd=USGS", "US02244040")</f>
        <v>0</v>
      </c>
      <c r="K335" s="1" t="s">
        <v>861</v>
      </c>
      <c r="L335" s="1" t="s">
        <v>867</v>
      </c>
      <c r="M335" s="1">
        <v>5865553</v>
      </c>
      <c r="N335" s="1">
        <v>-3.33</v>
      </c>
      <c r="O335" s="1" t="s">
        <v>869</v>
      </c>
      <c r="P335" s="1" t="s">
        <v>874</v>
      </c>
      <c r="Q335" s="1">
        <v>0.5610000000000001</v>
      </c>
      <c r="R335" s="1">
        <v>-0.578</v>
      </c>
      <c r="S335" s="2">
        <f>HYPERLINK("https://vdatum.noaa.gov/vdatumweb/api/convert?s_x=-81.68313477&amp;s_y=29.59635261&amp;s_z=0.0&amp;region=contiguous&amp;s_h_frame=NAD83_2011&amp;s_coor=geo&amp;s_v_frame=NAVD88&amp;s_v_unit=us_ft&amp;t_h_frame=NAD83_2011&amp;t_coor=geo&amp;t_v_frame=MLLW&amp;t_v_unit=us_ft", "NAVD88 to MLLW")</f>
        <v>0</v>
      </c>
      <c r="T335" s="2">
        <f>HYPERLINK("https://vdatum.noaa.gov/vdatumweb/api/convert?s_x=-81.68313477&amp;s_y=29.59635261&amp;s_z=0.0&amp;region=contiguous&amp;s_h_frame=NAD83_2011&amp;s_coor=geo&amp;s_v_frame=NAVD88&amp;s_v_unit=us_ft&amp;t_h_frame=NAD83_2011&amp;t_coor=geo&amp;t_v_frame=MHHW&amp;t_v_unit=us_ft", "NAVD88 to MHHW")</f>
        <v>0</v>
      </c>
    </row>
    <row r="336" spans="1:20">
      <c r="A336" s="1" t="s">
        <v>360</v>
      </c>
      <c r="B336" s="1" t="s">
        <v>627</v>
      </c>
      <c r="C336" s="1" t="s">
        <v>645</v>
      </c>
      <c r="D336" s="1" t="s">
        <v>654</v>
      </c>
      <c r="E336" s="1" t="s">
        <v>752</v>
      </c>
      <c r="F336" s="1" t="s">
        <v>847</v>
      </c>
      <c r="G336" s="1" t="s">
        <v>854</v>
      </c>
      <c r="H336" s="1">
        <v>-81.62618778</v>
      </c>
      <c r="I336" s="1">
        <v>29.57774225</v>
      </c>
      <c r="J336" s="1">
        <f>HYPERLINK("https://waterdata.usgs.gov/nwis/nwismap/?site_no=02244440&amp;agency_cd=USGS", "US02244440")</f>
        <v>0</v>
      </c>
      <c r="K336" s="1" t="s">
        <v>861</v>
      </c>
      <c r="L336" s="1" t="s">
        <v>867</v>
      </c>
      <c r="M336" s="1">
        <v>7815258</v>
      </c>
      <c r="N336" s="1">
        <v>-3.33</v>
      </c>
      <c r="O336" s="1" t="s">
        <v>869</v>
      </c>
      <c r="P336" s="1" t="s">
        <v>874</v>
      </c>
      <c r="Q336" s="1">
        <v>0.62</v>
      </c>
      <c r="R336" s="1">
        <v>-0.524</v>
      </c>
      <c r="S336" s="2">
        <f>HYPERLINK("https://vdatum.noaa.gov/vdatumweb/api/convert?s_x=-81.62618778&amp;s_y=29.57774225&amp;s_z=0.0&amp;region=contiguous&amp;s_h_frame=NAD83_2011&amp;s_coor=geo&amp;s_v_frame=NAVD88&amp;s_v_unit=us_ft&amp;t_h_frame=NAD83_2011&amp;t_coor=geo&amp;t_v_frame=MLLW&amp;t_v_unit=us_ft", "NAVD88 to MLLW")</f>
        <v>0</v>
      </c>
      <c r="T336" s="2">
        <f>HYPERLINK("https://vdatum.noaa.gov/vdatumweb/api/convert?s_x=-81.62618778&amp;s_y=29.57774225&amp;s_z=0.0&amp;region=contiguous&amp;s_h_frame=NAD83_2011&amp;s_coor=geo&amp;s_v_frame=NAVD88&amp;s_v_unit=us_ft&amp;t_h_frame=NAD83_2011&amp;t_coor=geo&amp;t_v_frame=MHHW&amp;t_v_unit=us_ft", "NAVD88 to MHHW")</f>
        <v>0</v>
      </c>
    </row>
    <row r="337" spans="1:20">
      <c r="A337" s="1" t="s">
        <v>361</v>
      </c>
      <c r="B337" s="1" t="s">
        <v>627</v>
      </c>
      <c r="C337" s="1" t="s">
        <v>645</v>
      </c>
      <c r="D337" s="1" t="s">
        <v>654</v>
      </c>
      <c r="E337" s="1" t="s">
        <v>750</v>
      </c>
      <c r="F337" s="1" t="s">
        <v>847</v>
      </c>
      <c r="G337" s="1" t="s">
        <v>854</v>
      </c>
      <c r="H337" s="1">
        <v>-81.48436352</v>
      </c>
      <c r="I337" s="1">
        <v>29.72337494</v>
      </c>
      <c r="J337" s="1">
        <f>HYPERLINK("https://waterdata.usgs.gov/nwis/nwismap/?site_no=02245260&amp;agency_cd=USGS", "US02245260")</f>
        <v>0</v>
      </c>
      <c r="K337" s="1" t="s">
        <v>861</v>
      </c>
      <c r="L337" s="1" t="s">
        <v>867</v>
      </c>
      <c r="M337" s="1">
        <v>5865730</v>
      </c>
      <c r="N337" s="1">
        <v>0</v>
      </c>
      <c r="O337" s="1" t="s">
        <v>869</v>
      </c>
      <c r="P337" s="1" t="s">
        <v>874</v>
      </c>
      <c r="Q337" s="1">
        <v>-999999</v>
      </c>
      <c r="R337" s="1">
        <v>-999999</v>
      </c>
      <c r="S337" s="2">
        <f>HYPERLINK("https://vdatum.noaa.gov/vdatumweb/api/convert?s_x=-81.48436352&amp;s_y=29.72337494&amp;s_z=0.0&amp;region=contiguous&amp;s_h_frame=NAD83_2011&amp;s_coor=geo&amp;s_v_frame=NAVD88&amp;s_v_unit=us_ft&amp;t_h_frame=NAD83_2011&amp;t_coor=geo&amp;t_v_frame=MLLW&amp;t_v_unit=us_ft", "Missing")</f>
        <v>0</v>
      </c>
      <c r="T337" s="2">
        <f>HYPERLINK("https://vdatum.noaa.gov/vdatumweb/api/convert?s_x=-81.48436352&amp;s_y=29.72337494&amp;s_z=0.0&amp;region=contiguous&amp;s_h_frame=NAD83_2011&amp;s_coor=geo&amp;s_v_frame=NAVD88&amp;s_v_unit=us_ft&amp;t_h_frame=NAD83_2011&amp;t_coor=geo&amp;t_v_frame=MHHW&amp;t_v_unit=us_ft", "Missing")</f>
        <v>0</v>
      </c>
    </row>
    <row r="338" spans="1:20">
      <c r="A338" s="1" t="s">
        <v>362</v>
      </c>
      <c r="B338" s="1" t="s">
        <v>627</v>
      </c>
      <c r="C338" s="1" t="s">
        <v>645</v>
      </c>
      <c r="D338" s="1" t="s">
        <v>654</v>
      </c>
      <c r="E338" s="1" t="s">
        <v>750</v>
      </c>
      <c r="F338" s="1" t="s">
        <v>847</v>
      </c>
      <c r="G338" s="1" t="s">
        <v>854</v>
      </c>
      <c r="H338" s="1">
        <v>-81.5499968</v>
      </c>
      <c r="I338" s="1">
        <v>29.79999436</v>
      </c>
      <c r="J338" s="1">
        <f>HYPERLINK("https://waterdata.usgs.gov/nwis/nwismap/?site_no=02245290&amp;agency_cd=USGS", "US02245290")</f>
        <v>0</v>
      </c>
      <c r="K338" s="1" t="s">
        <v>861</v>
      </c>
      <c r="L338" s="1" t="s">
        <v>867</v>
      </c>
      <c r="M338" s="1">
        <v>4920238</v>
      </c>
      <c r="N338" s="1">
        <v>0</v>
      </c>
      <c r="O338" s="1" t="s">
        <v>869</v>
      </c>
      <c r="P338" s="1" t="s">
        <v>874</v>
      </c>
      <c r="Q338" s="1">
        <v>0.626</v>
      </c>
      <c r="R338" s="1">
        <v>-0.631</v>
      </c>
      <c r="S338" s="2">
        <f>HYPERLINK("https://vdatum.noaa.gov/vdatumweb/api/convert?s_x=-81.5499968&amp;s_y=29.79999436&amp;s_z=0.0&amp;region=contiguous&amp;s_h_frame=NAD83_2011&amp;s_coor=geo&amp;s_v_frame=NAVD88&amp;s_v_unit=us_ft&amp;t_h_frame=NAD83_2011&amp;t_coor=geo&amp;t_v_frame=MLLW&amp;t_v_unit=us_ft", "NAVD88 to MLLW")</f>
        <v>0</v>
      </c>
      <c r="T338" s="2">
        <f>HYPERLINK("https://vdatum.noaa.gov/vdatumweb/api/convert?s_x=-81.5499968&amp;s_y=29.79999436&amp;s_z=0.0&amp;region=contiguous&amp;s_h_frame=NAD83_2011&amp;s_coor=geo&amp;s_v_frame=NAVD88&amp;s_v_unit=us_ft&amp;t_h_frame=NAD83_2011&amp;t_coor=geo&amp;t_v_frame=MHHW&amp;t_v_unit=us_ft", "NAVD88 to MHHW")</f>
        <v>0</v>
      </c>
    </row>
    <row r="339" spans="1:20">
      <c r="A339" s="1" t="s">
        <v>363</v>
      </c>
      <c r="B339" s="1" t="s">
        <v>627</v>
      </c>
      <c r="C339" s="1" t="s">
        <v>645</v>
      </c>
      <c r="D339" s="1" t="s">
        <v>654</v>
      </c>
      <c r="E339" s="1" t="s">
        <v>750</v>
      </c>
      <c r="F339" s="1" t="s">
        <v>847</v>
      </c>
      <c r="G339" s="1" t="s">
        <v>854</v>
      </c>
      <c r="H339" s="1">
        <v>-81.61513287</v>
      </c>
      <c r="I339" s="1">
        <v>30.00591651</v>
      </c>
      <c r="J339" s="1">
        <f>HYPERLINK("https://waterdata.usgs.gov/nwis/nwismap/?site_no=02245340&amp;agency_cd=USGS", "US02245340")</f>
        <v>0</v>
      </c>
      <c r="K339" s="1" t="s">
        <v>861</v>
      </c>
      <c r="L339" s="1" t="s">
        <v>867</v>
      </c>
      <c r="M339" s="1">
        <v>3613677</v>
      </c>
      <c r="N339" s="1">
        <v>0</v>
      </c>
      <c r="O339" s="1" t="s">
        <v>869</v>
      </c>
      <c r="P339" s="1" t="s">
        <v>874</v>
      </c>
      <c r="Q339" s="1">
        <v>0.512</v>
      </c>
      <c r="R339" s="1">
        <v>-0.437</v>
      </c>
      <c r="S339" s="2">
        <f>HYPERLINK("https://vdatum.noaa.gov/vdatumweb/api/convert?s_x=-81.61513287&amp;s_y=30.00591651&amp;s_z=0.0&amp;region=contiguous&amp;s_h_frame=NAD83_2011&amp;s_coor=geo&amp;s_v_frame=NAVD88&amp;s_v_unit=us_ft&amp;t_h_frame=NAD83_2011&amp;t_coor=geo&amp;t_v_frame=MLLW&amp;t_v_unit=us_ft", "NAVD88 to MLLW")</f>
        <v>0</v>
      </c>
      <c r="T339" s="2">
        <f>HYPERLINK("https://vdatum.noaa.gov/vdatumweb/api/convert?s_x=-81.61513287&amp;s_y=30.00591651&amp;s_z=0.0&amp;region=contiguous&amp;s_h_frame=NAD83_2011&amp;s_coor=geo&amp;s_v_frame=NAVD88&amp;s_v_unit=us_ft&amp;t_h_frame=NAD83_2011&amp;t_coor=geo&amp;t_v_frame=MHHW&amp;t_v_unit=us_ft", "NAVD88 to MHHW")</f>
        <v>0</v>
      </c>
    </row>
    <row r="340" spans="1:20">
      <c r="A340" s="1" t="s">
        <v>364</v>
      </c>
      <c r="B340" s="1" t="s">
        <v>627</v>
      </c>
      <c r="C340" s="1" t="s">
        <v>645</v>
      </c>
      <c r="D340" s="1" t="s">
        <v>654</v>
      </c>
      <c r="E340" s="1" t="s">
        <v>749</v>
      </c>
      <c r="F340" s="1" t="s">
        <v>847</v>
      </c>
      <c r="G340" s="1" t="s">
        <v>854</v>
      </c>
      <c r="H340" s="1">
        <v>-81.55589678</v>
      </c>
      <c r="I340" s="1">
        <v>30.14332484</v>
      </c>
      <c r="J340" s="1">
        <f>HYPERLINK("https://waterdata.usgs.gov/nwis/nwismap/?site_no=02246160&amp;agency_cd=USGS", "US02246160")</f>
        <v>0</v>
      </c>
      <c r="K340" s="1" t="s">
        <v>861</v>
      </c>
      <c r="L340" s="1" t="s">
        <v>867</v>
      </c>
      <c r="M340" s="1">
        <v>7065437</v>
      </c>
      <c r="N340" s="1">
        <v>0</v>
      </c>
      <c r="O340" s="1" t="s">
        <v>869</v>
      </c>
      <c r="P340" s="1" t="s">
        <v>874</v>
      </c>
      <c r="Q340" s="1">
        <v>-999999</v>
      </c>
      <c r="R340" s="1">
        <v>-999999</v>
      </c>
      <c r="S340" s="2">
        <f>HYPERLINK("https://vdatum.noaa.gov/vdatumweb/api/convert?s_x=-81.55589678&amp;s_y=30.14332484&amp;s_z=0.0&amp;region=contiguous&amp;s_h_frame=NAD83_2011&amp;s_coor=geo&amp;s_v_frame=NAVD88&amp;s_v_unit=us_ft&amp;t_h_frame=NAD83_2011&amp;t_coor=geo&amp;t_v_frame=MLLW&amp;t_v_unit=us_ft", "Missing")</f>
        <v>0</v>
      </c>
      <c r="T340" s="2">
        <f>HYPERLINK("https://vdatum.noaa.gov/vdatumweb/api/convert?s_x=-81.55589678&amp;s_y=30.14332484&amp;s_z=0.0&amp;region=contiguous&amp;s_h_frame=NAD83_2011&amp;s_coor=geo&amp;s_v_frame=NAVD88&amp;s_v_unit=us_ft&amp;t_h_frame=NAD83_2011&amp;t_coor=geo&amp;t_v_frame=MHHW&amp;t_v_unit=us_ft", "Missing")</f>
        <v>0</v>
      </c>
    </row>
    <row r="341" spans="1:20">
      <c r="A341" s="1" t="s">
        <v>365</v>
      </c>
      <c r="B341" s="1" t="s">
        <v>627</v>
      </c>
      <c r="C341" s="1" t="s">
        <v>645</v>
      </c>
      <c r="D341" s="1" t="s">
        <v>654</v>
      </c>
      <c r="E341" s="1" t="s">
        <v>749</v>
      </c>
      <c r="F341" s="1" t="s">
        <v>847</v>
      </c>
      <c r="G341" s="1" t="s">
        <v>854</v>
      </c>
      <c r="H341" s="1">
        <v>-81.54638568</v>
      </c>
      <c r="I341" s="1">
        <v>30.11916096</v>
      </c>
      <c r="J341" s="1">
        <f>HYPERLINK("https://waterdata.usgs.gov/nwis/nwismap/?site_no=022462002&amp;agency_cd=USGS", "US022462002")</f>
        <v>0</v>
      </c>
      <c r="K341" s="1" t="s">
        <v>861</v>
      </c>
      <c r="L341" s="1" t="s">
        <v>867</v>
      </c>
      <c r="M341" s="1">
        <v>7065437</v>
      </c>
      <c r="N341" s="1">
        <v>0</v>
      </c>
      <c r="O341" s="1" t="s">
        <v>869</v>
      </c>
      <c r="P341" s="1" t="s">
        <v>874</v>
      </c>
      <c r="Q341" s="1">
        <v>-999999</v>
      </c>
      <c r="R341" s="1">
        <v>-999999</v>
      </c>
      <c r="S341" s="2">
        <f>HYPERLINK("https://vdatum.noaa.gov/vdatumweb/api/convert?s_x=-81.54638568&amp;s_y=30.11916096&amp;s_z=0.0&amp;region=contiguous&amp;s_h_frame=NAD83_2011&amp;s_coor=geo&amp;s_v_frame=NAVD88&amp;s_v_unit=us_ft&amp;t_h_frame=NAD83_2011&amp;t_coor=geo&amp;t_v_frame=MLLW&amp;t_v_unit=us_ft", "Missing")</f>
        <v>0</v>
      </c>
      <c r="T341" s="2">
        <f>HYPERLINK("https://vdatum.noaa.gov/vdatumweb/api/convert?s_x=-81.54638568&amp;s_y=30.11916096&amp;s_z=0.0&amp;region=contiguous&amp;s_h_frame=NAD83_2011&amp;s_coor=geo&amp;s_v_frame=NAVD88&amp;s_v_unit=us_ft&amp;t_h_frame=NAD83_2011&amp;t_coor=geo&amp;t_v_frame=MHHW&amp;t_v_unit=us_ft", "Missing")</f>
        <v>0</v>
      </c>
    </row>
    <row r="342" spans="1:20">
      <c r="A342" s="1" t="s">
        <v>366</v>
      </c>
      <c r="B342" s="1" t="s">
        <v>627</v>
      </c>
      <c r="C342" s="1" t="s">
        <v>645</v>
      </c>
      <c r="D342" s="1" t="s">
        <v>654</v>
      </c>
      <c r="E342" s="1" t="s">
        <v>749</v>
      </c>
      <c r="F342" s="1" t="s">
        <v>847</v>
      </c>
      <c r="G342" s="1" t="s">
        <v>854</v>
      </c>
      <c r="H342" s="1">
        <v>-81.74037282</v>
      </c>
      <c r="I342" s="1">
        <v>30.282178</v>
      </c>
      <c r="J342" s="1">
        <f>HYPERLINK("https://waterdata.usgs.gov/nwis/nwismap/?site_no=02246459&amp;agency_cd=USGS", "US02246459")</f>
        <v>0</v>
      </c>
      <c r="K342" s="1" t="s">
        <v>861</v>
      </c>
      <c r="L342" s="1" t="s">
        <v>867</v>
      </c>
      <c r="M342" s="1">
        <v>6729611</v>
      </c>
      <c r="N342" s="1">
        <v>-3.49</v>
      </c>
      <c r="O342" s="1" t="s">
        <v>869</v>
      </c>
      <c r="P342" s="1" t="s">
        <v>874</v>
      </c>
      <c r="Q342" s="1">
        <v>-999999</v>
      </c>
      <c r="R342" s="1">
        <v>-999999</v>
      </c>
      <c r="S342" s="2">
        <f>HYPERLINK("https://vdatum.noaa.gov/vdatumweb/api/convert?s_x=-81.74037282&amp;s_y=30.282178&amp;s_z=0.0&amp;region=contiguous&amp;s_h_frame=NAD83_2011&amp;s_coor=geo&amp;s_v_frame=NAVD88&amp;s_v_unit=us_ft&amp;t_h_frame=NAD83_2011&amp;t_coor=geo&amp;t_v_frame=MLLW&amp;t_v_unit=us_ft", "Missing")</f>
        <v>0</v>
      </c>
      <c r="T342" s="2">
        <f>HYPERLINK("https://vdatum.noaa.gov/vdatumweb/api/convert?s_x=-81.74037282&amp;s_y=30.282178&amp;s_z=0.0&amp;region=contiguous&amp;s_h_frame=NAD83_2011&amp;s_coor=geo&amp;s_v_frame=NAVD88&amp;s_v_unit=us_ft&amp;t_h_frame=NAD83_2011&amp;t_coor=geo&amp;t_v_frame=MHHW&amp;t_v_unit=us_ft", "Missing")</f>
        <v>0</v>
      </c>
    </row>
    <row r="343" spans="1:20">
      <c r="A343" s="1" t="s">
        <v>367</v>
      </c>
      <c r="B343" s="1" t="s">
        <v>627</v>
      </c>
      <c r="C343" s="1" t="s">
        <v>645</v>
      </c>
      <c r="D343" s="1" t="s">
        <v>654</v>
      </c>
      <c r="E343" s="1" t="s">
        <v>749</v>
      </c>
      <c r="F343" s="1" t="s">
        <v>847</v>
      </c>
      <c r="G343" s="1" t="s">
        <v>854</v>
      </c>
      <c r="H343" s="1">
        <v>-81.66537024</v>
      </c>
      <c r="I343" s="1">
        <v>30.32245584</v>
      </c>
      <c r="J343" s="1">
        <f>HYPERLINK("https://waterdata.usgs.gov/nwis/nwismap/?site_no=02246500&amp;agency_cd=USGS", "US02246500")</f>
        <v>0</v>
      </c>
      <c r="K343" s="1" t="s">
        <v>861</v>
      </c>
      <c r="L343" s="1" t="s">
        <v>867</v>
      </c>
      <c r="M343" s="1">
        <v>6462007</v>
      </c>
      <c r="N343" s="1">
        <v>-3.38</v>
      </c>
      <c r="O343" s="1" t="s">
        <v>869</v>
      </c>
      <c r="P343" s="1" t="s">
        <v>874</v>
      </c>
      <c r="Q343" s="1">
        <v>1.171</v>
      </c>
      <c r="R343" s="1">
        <v>-0.647</v>
      </c>
      <c r="S343" s="2">
        <f>HYPERLINK("https://vdatum.noaa.gov/vdatumweb/api/convert?s_x=-81.66537024&amp;s_y=30.32245584&amp;s_z=0.0&amp;region=contiguous&amp;s_h_frame=NAD83_2011&amp;s_coor=geo&amp;s_v_frame=NAVD88&amp;s_v_unit=us_ft&amp;t_h_frame=NAD83_2011&amp;t_coor=geo&amp;t_v_frame=MLLW&amp;t_v_unit=us_ft", "NAVD88 to MLLW")</f>
        <v>0</v>
      </c>
      <c r="T343" s="2">
        <f>HYPERLINK("https://vdatum.noaa.gov/vdatumweb/api/convert?s_x=-81.66537024&amp;s_y=30.32245584&amp;s_z=0.0&amp;region=contiguous&amp;s_h_frame=NAD83_2011&amp;s_coor=geo&amp;s_v_frame=NAVD88&amp;s_v_unit=us_ft&amp;t_h_frame=NAD83_2011&amp;t_coor=geo&amp;t_v_frame=MHHW&amp;t_v_unit=us_ft", "NAVD88 to MHHW")</f>
        <v>0</v>
      </c>
    </row>
    <row r="344" spans="1:20">
      <c r="A344" s="1" t="s">
        <v>368</v>
      </c>
      <c r="B344" s="1" t="s">
        <v>627</v>
      </c>
      <c r="C344" s="1" t="s">
        <v>645</v>
      </c>
      <c r="D344" s="1" t="s">
        <v>654</v>
      </c>
      <c r="E344" s="1" t="s">
        <v>749</v>
      </c>
      <c r="F344" s="1" t="s">
        <v>847</v>
      </c>
      <c r="G344" s="1" t="s">
        <v>854</v>
      </c>
      <c r="H344" s="1">
        <v>-81.56999677</v>
      </c>
      <c r="I344" s="1">
        <v>30.28696369</v>
      </c>
      <c r="J344" s="1">
        <f>HYPERLINK("https://waterdata.usgs.gov/nwis/nwismap/?site_no=02246518&amp;agency_cd=USGS", "US02246518")</f>
        <v>0</v>
      </c>
      <c r="K344" s="1" t="s">
        <v>861</v>
      </c>
      <c r="L344" s="1" t="s">
        <v>867</v>
      </c>
      <c r="M344" s="1">
        <v>8138262</v>
      </c>
      <c r="N344" s="1">
        <v>0</v>
      </c>
      <c r="O344" s="1" t="s">
        <v>869</v>
      </c>
      <c r="P344" s="1" t="s">
        <v>874</v>
      </c>
      <c r="Q344" s="1">
        <v>-999999</v>
      </c>
      <c r="R344" s="1">
        <v>-999999</v>
      </c>
      <c r="S344" s="2">
        <f>HYPERLINK("https://vdatum.noaa.gov/vdatumweb/api/convert?s_x=-81.56999677&amp;s_y=30.28696369&amp;s_z=0.0&amp;region=contiguous&amp;s_h_frame=NAD83_2011&amp;s_coor=geo&amp;s_v_frame=NAVD88&amp;s_v_unit=us_ft&amp;t_h_frame=NAD83_2011&amp;t_coor=geo&amp;t_v_frame=MLLW&amp;t_v_unit=us_ft", "Missing")</f>
        <v>0</v>
      </c>
      <c r="T344" s="2">
        <f>HYPERLINK("https://vdatum.noaa.gov/vdatumweb/api/convert?s_x=-81.56999677&amp;s_y=30.28696369&amp;s_z=0.0&amp;region=contiguous&amp;s_h_frame=NAD83_2011&amp;s_coor=geo&amp;s_v_frame=NAVD88&amp;s_v_unit=us_ft&amp;t_h_frame=NAD83_2011&amp;t_coor=geo&amp;t_v_frame=MHHW&amp;t_v_unit=us_ft", "Missing")</f>
        <v>0</v>
      </c>
    </row>
    <row r="345" spans="1:20">
      <c r="A345" s="1" t="s">
        <v>369</v>
      </c>
      <c r="B345" s="1" t="s">
        <v>627</v>
      </c>
      <c r="C345" s="1" t="s">
        <v>645</v>
      </c>
      <c r="D345" s="1" t="s">
        <v>654</v>
      </c>
      <c r="E345" s="1" t="s">
        <v>749</v>
      </c>
      <c r="F345" s="1" t="s">
        <v>847</v>
      </c>
      <c r="G345" s="1" t="s">
        <v>854</v>
      </c>
      <c r="H345" s="1">
        <v>-81.69648431</v>
      </c>
      <c r="I345" s="1">
        <v>30.4174548</v>
      </c>
      <c r="J345" s="1">
        <f>HYPERLINK("https://waterdata.usgs.gov/nwis/nwismap/?site_no=02246621&amp;agency_cd=USGS", "US02246621")</f>
        <v>0</v>
      </c>
      <c r="K345" s="1" t="s">
        <v>861</v>
      </c>
      <c r="L345" s="1" t="s">
        <v>867</v>
      </c>
      <c r="M345" s="1">
        <v>7146971</v>
      </c>
      <c r="N345" s="1">
        <v>0</v>
      </c>
      <c r="O345" s="1" t="s">
        <v>869</v>
      </c>
      <c r="P345" s="1" t="s">
        <v>874</v>
      </c>
      <c r="Q345" s="1">
        <v>1.601</v>
      </c>
      <c r="R345" s="1">
        <v>-1.185</v>
      </c>
      <c r="S345" s="2">
        <f>HYPERLINK("https://vdatum.noaa.gov/vdatumweb/api/convert?s_x=-81.69648431&amp;s_y=30.4174548&amp;s_z=0.0&amp;region=contiguous&amp;s_h_frame=NAD83_2011&amp;s_coor=geo&amp;s_v_frame=NAVD88&amp;s_v_unit=us_ft&amp;t_h_frame=NAD83_2011&amp;t_coor=geo&amp;t_v_frame=MLLW&amp;t_v_unit=us_ft", "NAVD88 to MLLW")</f>
        <v>0</v>
      </c>
      <c r="T345" s="2">
        <f>HYPERLINK("https://vdatum.noaa.gov/vdatumweb/api/convert?s_x=-81.69648431&amp;s_y=30.4174548&amp;s_z=0.0&amp;region=contiguous&amp;s_h_frame=NAD83_2011&amp;s_coor=geo&amp;s_v_frame=NAVD88&amp;s_v_unit=us_ft&amp;t_h_frame=NAD83_2011&amp;t_coor=geo&amp;t_v_frame=MHHW&amp;t_v_unit=us_ft", "NAVD88 to MHHW")</f>
        <v>0</v>
      </c>
    </row>
    <row r="346" spans="1:20">
      <c r="A346" s="1" t="s">
        <v>370</v>
      </c>
      <c r="B346" s="1" t="s">
        <v>627</v>
      </c>
      <c r="C346" s="1" t="s">
        <v>645</v>
      </c>
      <c r="D346" s="1" t="s">
        <v>654</v>
      </c>
      <c r="E346" s="1" t="s">
        <v>749</v>
      </c>
      <c r="F346" s="1" t="s">
        <v>847</v>
      </c>
      <c r="G346" s="1" t="s">
        <v>854</v>
      </c>
      <c r="H346" s="1">
        <v>-81.59688565</v>
      </c>
      <c r="I346" s="1">
        <v>30.45493588</v>
      </c>
      <c r="J346" s="1">
        <f>HYPERLINK("https://waterdata.usgs.gov/nwis/nwismap/?site_no=02246804&amp;agency_cd=USGS", "US02246804")</f>
        <v>0</v>
      </c>
      <c r="K346" s="1" t="s">
        <v>861</v>
      </c>
      <c r="L346" s="1" t="s">
        <v>867</v>
      </c>
      <c r="M346" s="1">
        <v>9344547</v>
      </c>
      <c r="N346" s="1">
        <v>0</v>
      </c>
      <c r="O346" s="1" t="s">
        <v>869</v>
      </c>
      <c r="P346" s="1" t="s">
        <v>874</v>
      </c>
      <c r="Q346" s="1">
        <v>-999999</v>
      </c>
      <c r="R346" s="1">
        <v>-999999</v>
      </c>
      <c r="S346" s="2">
        <f>HYPERLINK("https://vdatum.noaa.gov/vdatumweb/api/convert?s_x=-81.59688565&amp;s_y=30.45493588&amp;s_z=0.0&amp;region=contiguous&amp;s_h_frame=NAD83_2011&amp;s_coor=geo&amp;s_v_frame=NAVD88&amp;s_v_unit=us_ft&amp;t_h_frame=NAD83_2011&amp;t_coor=geo&amp;t_v_frame=MLLW&amp;t_v_unit=us_ft", "Missing")</f>
        <v>0</v>
      </c>
      <c r="T346" s="2">
        <f>HYPERLINK("https://vdatum.noaa.gov/vdatumweb/api/convert?s_x=-81.59688565&amp;s_y=30.45493588&amp;s_z=0.0&amp;region=contiguous&amp;s_h_frame=NAD83_2011&amp;s_coor=geo&amp;s_v_frame=NAVD88&amp;s_v_unit=us_ft&amp;t_h_frame=NAD83_2011&amp;t_coor=geo&amp;t_v_frame=MHHW&amp;t_v_unit=us_ft", "Missing")</f>
        <v>0</v>
      </c>
    </row>
    <row r="347" spans="1:20">
      <c r="A347" s="1" t="s">
        <v>371</v>
      </c>
      <c r="B347" s="1" t="s">
        <v>627</v>
      </c>
      <c r="C347" s="1" t="s">
        <v>645</v>
      </c>
      <c r="D347" s="1" t="s">
        <v>654</v>
      </c>
      <c r="E347" s="1" t="s">
        <v>749</v>
      </c>
      <c r="F347" s="1" t="s">
        <v>847</v>
      </c>
      <c r="G347" s="1" t="s">
        <v>854</v>
      </c>
      <c r="H347" s="1">
        <v>-81.51825787999999</v>
      </c>
      <c r="I347" s="1">
        <v>30.44837477</v>
      </c>
      <c r="J347" s="1">
        <f>HYPERLINK("https://waterdata.usgs.gov/nwis/nwismap/?site_no=02246825&amp;agency_cd=USGS", "US02246825")</f>
        <v>0</v>
      </c>
      <c r="K347" s="1" t="s">
        <v>861</v>
      </c>
      <c r="L347" s="1" t="s">
        <v>867</v>
      </c>
      <c r="M347" s="1">
        <v>9148913</v>
      </c>
      <c r="N347" s="1">
        <v>0</v>
      </c>
      <c r="O347" s="1" t="s">
        <v>869</v>
      </c>
      <c r="P347" s="1" t="s">
        <v>874</v>
      </c>
      <c r="Q347" s="1">
        <v>-999999</v>
      </c>
      <c r="R347" s="1">
        <v>-999999</v>
      </c>
      <c r="S347" s="2">
        <f>HYPERLINK("https://vdatum.noaa.gov/vdatumweb/api/convert?s_x=-81.51825788&amp;s_y=30.44837477&amp;s_z=0.0&amp;region=contiguous&amp;s_h_frame=NAD83_2011&amp;s_coor=geo&amp;s_v_frame=NAVD88&amp;s_v_unit=us_ft&amp;t_h_frame=NAD83_2011&amp;t_coor=geo&amp;t_v_frame=MLLW&amp;t_v_unit=us_ft", "Missing")</f>
        <v>0</v>
      </c>
      <c r="T347" s="2">
        <f>HYPERLINK("https://vdatum.noaa.gov/vdatumweb/api/convert?s_x=-81.51825788&amp;s_y=30.44837477&amp;s_z=0.0&amp;region=contiguous&amp;s_h_frame=NAD83_2011&amp;s_coor=geo&amp;s_v_frame=NAVD88&amp;s_v_unit=us_ft&amp;t_h_frame=NAD83_2011&amp;t_coor=geo&amp;t_v_frame=MHHW&amp;t_v_unit=us_ft", "Missing")</f>
        <v>0</v>
      </c>
    </row>
    <row r="348" spans="1:20">
      <c r="A348" s="1" t="s">
        <v>372</v>
      </c>
      <c r="B348" s="1" t="s">
        <v>627</v>
      </c>
      <c r="C348" s="1" t="s">
        <v>645</v>
      </c>
      <c r="D348" s="1" t="s">
        <v>654</v>
      </c>
      <c r="E348" s="1" t="s">
        <v>750</v>
      </c>
      <c r="F348" s="1" t="s">
        <v>847</v>
      </c>
      <c r="G348" s="1" t="s">
        <v>854</v>
      </c>
      <c r="H348" s="1">
        <v>-81.25950769000001</v>
      </c>
      <c r="I348" s="1">
        <v>29.66941114</v>
      </c>
      <c r="J348" s="1">
        <f>HYPERLINK("https://waterdata.usgs.gov/nwis/nwismap/?site_no=02247222&amp;agency_cd=USGS", "US02247222")</f>
        <v>0</v>
      </c>
      <c r="K348" s="1" t="s">
        <v>861</v>
      </c>
      <c r="L348" s="1" t="s">
        <v>867</v>
      </c>
      <c r="M348" s="1">
        <v>6549429</v>
      </c>
      <c r="N348" s="1">
        <v>-4.42</v>
      </c>
      <c r="O348" s="1" t="s">
        <v>869</v>
      </c>
      <c r="P348" s="1" t="s">
        <v>874</v>
      </c>
      <c r="Q348" s="1">
        <v>-999999</v>
      </c>
      <c r="R348" s="1">
        <v>-999999</v>
      </c>
      <c r="S348" s="2">
        <f>HYPERLINK("https://vdatum.noaa.gov/vdatumweb/api/convert?s_x=-81.25950769&amp;s_y=29.66941114&amp;s_z=0.0&amp;region=contiguous&amp;s_h_frame=NAD83_2011&amp;s_coor=geo&amp;s_v_frame=NAVD88&amp;s_v_unit=us_ft&amp;t_h_frame=NAD83_2011&amp;t_coor=geo&amp;t_v_frame=MLLW&amp;t_v_unit=us_ft", "Missing")</f>
        <v>0</v>
      </c>
      <c r="T348" s="2">
        <f>HYPERLINK("https://vdatum.noaa.gov/vdatumweb/api/convert?s_x=-81.25950769&amp;s_y=29.66941114&amp;s_z=0.0&amp;region=contiguous&amp;s_h_frame=NAD83_2011&amp;s_coor=geo&amp;s_v_frame=NAVD88&amp;s_v_unit=us_ft&amp;t_h_frame=NAD83_2011&amp;t_coor=geo&amp;t_v_frame=MHHW&amp;t_v_unit=us_ft", "Missing")</f>
        <v>0</v>
      </c>
    </row>
    <row r="349" spans="1:20">
      <c r="A349" s="1" t="s">
        <v>373</v>
      </c>
      <c r="B349" s="1" t="s">
        <v>627</v>
      </c>
      <c r="C349" s="1" t="s">
        <v>645</v>
      </c>
      <c r="D349" s="1" t="s">
        <v>654</v>
      </c>
      <c r="E349" s="1" t="s">
        <v>749</v>
      </c>
      <c r="F349" s="1" t="s">
        <v>847</v>
      </c>
      <c r="G349" s="1" t="s">
        <v>854</v>
      </c>
      <c r="H349" s="1">
        <v>-81.66620155</v>
      </c>
      <c r="I349" s="1">
        <v>30.19023477</v>
      </c>
      <c r="J349" s="1">
        <f>HYPERLINK("https://waterdata.usgs.gov/nwis/nwismap/?site_no=301124081395901&amp;agency_cd=USGS", "US301124081395901")</f>
        <v>0</v>
      </c>
      <c r="K349" s="1" t="s">
        <v>861</v>
      </c>
      <c r="L349" s="1" t="s">
        <v>867</v>
      </c>
      <c r="M349" s="1">
        <v>6983375</v>
      </c>
      <c r="N349" s="1">
        <v>0</v>
      </c>
      <c r="O349" s="1" t="s">
        <v>869</v>
      </c>
      <c r="P349" s="1" t="s">
        <v>874</v>
      </c>
      <c r="Q349" s="1">
        <v>0.498</v>
      </c>
      <c r="R349" s="1">
        <v>-0.484</v>
      </c>
      <c r="S349" s="2">
        <f>HYPERLINK("https://vdatum.noaa.gov/vdatumweb/api/convert?s_x=-81.66620155&amp;s_y=30.19023477&amp;s_z=0.0&amp;region=contiguous&amp;s_h_frame=NAD83_2011&amp;s_coor=geo&amp;s_v_frame=NAVD88&amp;s_v_unit=us_ft&amp;t_h_frame=NAD83_2011&amp;t_coor=geo&amp;t_v_frame=MLLW&amp;t_v_unit=us_ft", "NAVD88 to MLLW")</f>
        <v>0</v>
      </c>
      <c r="T349" s="2">
        <f>HYPERLINK("https://vdatum.noaa.gov/vdatumweb/api/convert?s_x=-81.66620155&amp;s_y=30.19023477&amp;s_z=0.0&amp;region=contiguous&amp;s_h_frame=NAD83_2011&amp;s_coor=geo&amp;s_v_frame=NAVD88&amp;s_v_unit=us_ft&amp;t_h_frame=NAD83_2011&amp;t_coor=geo&amp;t_v_frame=MHHW&amp;t_v_unit=us_ft", "NAVD88 to MHHW")</f>
        <v>0</v>
      </c>
    </row>
    <row r="350" spans="1:20">
      <c r="A350" s="1" t="s">
        <v>374</v>
      </c>
      <c r="B350" s="1" t="s">
        <v>627</v>
      </c>
      <c r="C350" s="1" t="s">
        <v>645</v>
      </c>
      <c r="D350" s="1" t="s">
        <v>654</v>
      </c>
      <c r="E350" s="1" t="s">
        <v>749</v>
      </c>
      <c r="F350" s="1" t="s">
        <v>847</v>
      </c>
      <c r="G350" s="1" t="s">
        <v>854</v>
      </c>
      <c r="H350" s="1">
        <v>-81.55814426000001</v>
      </c>
      <c r="I350" s="1">
        <v>30.38606692</v>
      </c>
      <c r="J350" s="1">
        <f>HYPERLINK("https://waterdata.usgs.gov/nwis/nwismap/?site_no=302309081333001&amp;agency_cd=USGS", "US302309081333001")</f>
        <v>0</v>
      </c>
      <c r="K350" s="1" t="s">
        <v>861</v>
      </c>
      <c r="L350" s="1" t="s">
        <v>867</v>
      </c>
      <c r="M350" s="1">
        <v>9566857</v>
      </c>
      <c r="N350" s="1">
        <v>0</v>
      </c>
      <c r="O350" s="1" t="s">
        <v>869</v>
      </c>
      <c r="P350" s="1" t="s">
        <v>874</v>
      </c>
      <c r="Q350" s="1">
        <v>2.276</v>
      </c>
      <c r="R350" s="1">
        <v>-1.394</v>
      </c>
      <c r="S350" s="2">
        <f>HYPERLINK("https://vdatum.noaa.gov/vdatumweb/api/convert?s_x=-81.55814426&amp;s_y=30.38606692&amp;s_z=0.0&amp;region=contiguous&amp;s_h_frame=NAD83_2011&amp;s_coor=geo&amp;s_v_frame=NAVD88&amp;s_v_unit=us_ft&amp;t_h_frame=NAD83_2011&amp;t_coor=geo&amp;t_v_frame=MLLW&amp;t_v_unit=us_ft", "NAVD88 to MLLW")</f>
        <v>0</v>
      </c>
      <c r="T350" s="2">
        <f>HYPERLINK("https://vdatum.noaa.gov/vdatumweb/api/convert?s_x=-81.55814426&amp;s_y=30.38606692&amp;s_z=0.0&amp;region=contiguous&amp;s_h_frame=NAD83_2011&amp;s_coor=geo&amp;s_v_frame=NAVD88&amp;s_v_unit=us_ft&amp;t_h_frame=NAD83_2011&amp;t_coor=geo&amp;t_v_frame=MHHW&amp;t_v_unit=us_ft", "NAVD88 to MHHW")</f>
        <v>0</v>
      </c>
    </row>
    <row r="351" spans="1:20">
      <c r="A351" s="1" t="s">
        <v>375</v>
      </c>
      <c r="B351" s="1" t="s">
        <v>628</v>
      </c>
      <c r="C351" s="1" t="s">
        <v>645</v>
      </c>
      <c r="D351" s="1" t="s">
        <v>654</v>
      </c>
      <c r="E351" s="1" t="s">
        <v>753</v>
      </c>
      <c r="F351" s="1" t="s">
        <v>847</v>
      </c>
      <c r="G351" s="1" t="s">
        <v>854</v>
      </c>
      <c r="H351" s="1">
        <v>-81.1065</v>
      </c>
      <c r="I351" s="1">
        <v>24.711</v>
      </c>
      <c r="J351" s="1">
        <f>HYPERLINK("https://tidesandcurrents.noaa.gov/stationhome.html?id=8723970", "8723970")</f>
        <v>0</v>
      </c>
      <c r="K351" s="1" t="s">
        <v>865</v>
      </c>
      <c r="L351" s="1" t="s">
        <v>866</v>
      </c>
      <c r="M351" s="1">
        <v>3064771</v>
      </c>
      <c r="N351" s="1">
        <v>0</v>
      </c>
      <c r="O351" s="1" t="s">
        <v>869</v>
      </c>
      <c r="P351" s="1" t="s">
        <v>874</v>
      </c>
      <c r="Q351" s="1">
        <v>1.349</v>
      </c>
      <c r="R351" s="1">
        <v>0.378</v>
      </c>
      <c r="S351" s="2">
        <f>HYPERLINK("https://vdatum.noaa.gov/vdatumweb/api/convert?s_x=-81.1065&amp;s_y=24.711&amp;s_z=0.0&amp;region=contiguous&amp;s_h_frame=NAD83_2011&amp;s_coor=geo&amp;s_v_frame=NAVD88&amp;s_v_unit=us_ft&amp;t_h_frame=NAD83_2011&amp;t_coor=geo&amp;t_v_frame=MLLW&amp;t_v_unit=us_ft", "NAVD88 to MLLW")</f>
        <v>0</v>
      </c>
      <c r="T351" s="2">
        <f>HYPERLINK("https://vdatum.noaa.gov/vdatumweb/api/convert?s_x=-81.1065&amp;s_y=24.711&amp;s_z=0.0&amp;region=contiguous&amp;s_h_frame=NAD83_2011&amp;s_coor=geo&amp;s_v_frame=NAVD88&amp;s_v_unit=us_ft&amp;t_h_frame=NAD83_2011&amp;t_coor=geo&amp;t_v_frame=MHHW&amp;t_v_unit=us_ft", "NAVD88 to MHHW")</f>
        <v>0</v>
      </c>
    </row>
    <row r="352" spans="1:20">
      <c r="A352" s="1" t="s">
        <v>376</v>
      </c>
      <c r="B352" s="1" t="s">
        <v>628</v>
      </c>
      <c r="C352" s="1" t="s">
        <v>645</v>
      </c>
      <c r="D352" s="1" t="s">
        <v>654</v>
      </c>
      <c r="E352" s="1" t="s">
        <v>754</v>
      </c>
      <c r="F352" s="1" t="s">
        <v>847</v>
      </c>
      <c r="G352" s="1" t="s">
        <v>854</v>
      </c>
      <c r="H352" s="1">
        <v>-81.8081</v>
      </c>
      <c r="I352" s="1">
        <v>24.55083</v>
      </c>
      <c r="J352" s="1">
        <f>HYPERLINK("https://tidesandcurrents.noaa.gov/stationhome.html?id=8724580", "8724580")</f>
        <v>0</v>
      </c>
      <c r="K352" s="1" t="s">
        <v>865</v>
      </c>
      <c r="L352" s="1" t="s">
        <v>866</v>
      </c>
      <c r="M352" s="1">
        <v>3414910</v>
      </c>
      <c r="N352" s="1">
        <v>0</v>
      </c>
      <c r="O352" s="1" t="s">
        <v>869</v>
      </c>
      <c r="P352" s="1" t="s">
        <v>874</v>
      </c>
      <c r="Q352" s="1">
        <v>1.751</v>
      </c>
      <c r="R352" s="1">
        <v>-0.056</v>
      </c>
      <c r="S352" s="2">
        <f>HYPERLINK("https://vdatum.noaa.gov/vdatumweb/api/convert?s_x=-81.8081&amp;s_y=24.55083&amp;s_z=0.0&amp;region=contiguous&amp;s_h_frame=NAD83_2011&amp;s_coor=geo&amp;s_v_frame=NAVD88&amp;s_v_unit=us_ft&amp;t_h_frame=NAD83_2011&amp;t_coor=geo&amp;t_v_frame=MLLW&amp;t_v_unit=us_ft", "NAVD88 to MLLW")</f>
        <v>0</v>
      </c>
      <c r="T352" s="2">
        <f>HYPERLINK("https://vdatum.noaa.gov/vdatumweb/api/convert?s_x=-81.8081&amp;s_y=24.55083&amp;s_z=0.0&amp;region=contiguous&amp;s_h_frame=NAD83_2011&amp;s_coor=geo&amp;s_v_frame=NAVD88&amp;s_v_unit=us_ft&amp;t_h_frame=NAD83_2011&amp;t_coor=geo&amp;t_v_frame=MHHW&amp;t_v_unit=us_ft", "NAVD88 to MHHW")</f>
        <v>0</v>
      </c>
    </row>
    <row r="353" spans="1:20">
      <c r="A353" s="1" t="s">
        <v>377</v>
      </c>
      <c r="B353" s="1" t="s">
        <v>629</v>
      </c>
      <c r="C353" s="1" t="s">
        <v>649</v>
      </c>
      <c r="D353" s="1" t="s">
        <v>654</v>
      </c>
      <c r="E353" s="1" t="s">
        <v>755</v>
      </c>
      <c r="F353" s="1" t="s">
        <v>848</v>
      </c>
      <c r="G353" s="1" t="s">
        <v>856</v>
      </c>
      <c r="H353" s="1">
        <v>-91.2376</v>
      </c>
      <c r="I353" s="1">
        <v>29.6675</v>
      </c>
      <c r="J353" s="1">
        <f>HYPERLINK("https://tidesandcurrents.noaa.gov/stationhome.html?id=8764044", "8764044")</f>
        <v>0</v>
      </c>
      <c r="K353" s="1" t="s">
        <v>861</v>
      </c>
      <c r="L353" s="1" t="s">
        <v>866</v>
      </c>
      <c r="M353" s="1">
        <v>10149630</v>
      </c>
      <c r="N353" s="1">
        <v>0</v>
      </c>
      <c r="O353" s="1" t="s">
        <v>869</v>
      </c>
      <c r="P353" s="1" t="s">
        <v>874</v>
      </c>
      <c r="Q353" s="1">
        <v>-1.3</v>
      </c>
      <c r="R353" s="1">
        <v>-1.943</v>
      </c>
      <c r="S353" s="2">
        <f>HYPERLINK("https://vdatum.noaa.gov/vdatumweb/api/convert?s_x=-91.2376&amp;s_y=29.6675&amp;s_z=0.0&amp;region=contiguous&amp;s_h_frame=NAD83_2011&amp;s_coor=geo&amp;s_v_frame=NAVD88&amp;s_v_unit=us_ft&amp;t_h_frame=NAD83_2011&amp;t_coor=geo&amp;t_v_frame=MLLW&amp;t_v_unit=us_ft", "NAVD88 to MLLW")</f>
        <v>0</v>
      </c>
      <c r="T353" s="2">
        <f>HYPERLINK("https://vdatum.noaa.gov/vdatumweb/api/convert?s_x=-91.2376&amp;s_y=29.6675&amp;s_z=0.0&amp;region=contiguous&amp;s_h_frame=NAD83_2011&amp;s_coor=geo&amp;s_v_frame=NAVD88&amp;s_v_unit=us_ft&amp;t_h_frame=NAD83_2011&amp;t_coor=geo&amp;t_v_frame=MHHW&amp;t_v_unit=us_ft", "NAVD88 to MHHW")</f>
        <v>0</v>
      </c>
    </row>
    <row r="354" spans="1:20">
      <c r="A354" s="1" t="s">
        <v>378</v>
      </c>
      <c r="B354" s="1" t="s">
        <v>629</v>
      </c>
      <c r="D354" s="1" t="s">
        <v>654</v>
      </c>
      <c r="H354" s="1">
        <v>-91.3381</v>
      </c>
      <c r="I354" s="1">
        <v>29.4496</v>
      </c>
      <c r="J354" s="1">
        <f>HYPERLINK("https://tidesandcurrents.noaa.gov/stationhome.html?id=8764227", "8764227")</f>
        <v>0</v>
      </c>
      <c r="K354" s="1" t="s">
        <v>860</v>
      </c>
      <c r="L354" s="1" t="s">
        <v>866</v>
      </c>
      <c r="M354" s="1">
        <v>3712289</v>
      </c>
      <c r="N354" s="1">
        <v>0</v>
      </c>
      <c r="O354" s="1" t="s">
        <v>869</v>
      </c>
      <c r="P354" s="1" t="s">
        <v>874</v>
      </c>
      <c r="Q354" s="1">
        <v>0.5669999999999999</v>
      </c>
      <c r="R354" s="1">
        <v>-1.175</v>
      </c>
      <c r="S354" s="2">
        <f>HYPERLINK("https://vdatum.noaa.gov/vdatumweb/api/convert?s_x=-91.3381&amp;s_y=29.4496&amp;s_z=0.0&amp;region=contiguous&amp;s_h_frame=NAD83_2011&amp;s_coor=geo&amp;s_v_frame=NAVD88&amp;s_v_unit=us_ft&amp;t_h_frame=NAD83_2011&amp;t_coor=geo&amp;t_v_frame=MLLW&amp;t_v_unit=us_ft", "NAVD88 to MLLW")</f>
        <v>0</v>
      </c>
      <c r="T354" s="2">
        <f>HYPERLINK("https://vdatum.noaa.gov/vdatumweb/api/convert?s_x=-91.3381&amp;s_y=29.4496&amp;s_z=0.0&amp;region=contiguous&amp;s_h_frame=NAD83_2011&amp;s_coor=geo&amp;s_v_frame=NAVD88&amp;s_v_unit=us_ft&amp;t_h_frame=NAD83_2011&amp;t_coor=geo&amp;t_v_frame=MHHW&amp;t_v_unit=us_ft", "NAVD88 to MHHW")</f>
        <v>0</v>
      </c>
    </row>
    <row r="355" spans="1:20">
      <c r="A355" s="1" t="s">
        <v>379</v>
      </c>
      <c r="B355" s="1" t="s">
        <v>629</v>
      </c>
      <c r="D355" s="1" t="s">
        <v>654</v>
      </c>
      <c r="E355" s="1" t="s">
        <v>755</v>
      </c>
      <c r="F355" s="1" t="s">
        <v>848</v>
      </c>
      <c r="G355" s="1" t="s">
        <v>856</v>
      </c>
      <c r="H355" s="1">
        <v>-91.3839</v>
      </c>
      <c r="I355" s="1">
        <v>29.3675</v>
      </c>
      <c r="J355" s="1">
        <f>HYPERLINK("https://tidesandcurrents.noaa.gov/stationhome.html?id=8764314", "8764314")</f>
        <v>0</v>
      </c>
      <c r="K355" s="1" t="s">
        <v>861</v>
      </c>
      <c r="L355" s="1" t="s">
        <v>866</v>
      </c>
      <c r="M355" s="1">
        <v>3381070</v>
      </c>
      <c r="N355" s="1">
        <v>0.11</v>
      </c>
      <c r="O355" s="1" t="s">
        <v>869</v>
      </c>
      <c r="P355" s="1" t="s">
        <v>874</v>
      </c>
      <c r="Q355" s="1">
        <v>0.723</v>
      </c>
      <c r="R355" s="1">
        <v>-1.229</v>
      </c>
      <c r="S355" s="2">
        <f>HYPERLINK("https://vdatum.noaa.gov/vdatumweb/api/convert?s_x=-91.3839&amp;s_y=29.3675&amp;s_z=0.0&amp;region=contiguous&amp;s_h_frame=NAD83_2011&amp;s_coor=geo&amp;s_v_frame=NAVD88&amp;s_v_unit=us_ft&amp;t_h_frame=NAD83_2011&amp;t_coor=geo&amp;t_v_frame=MLLW&amp;t_v_unit=us_ft", "NAVD88 to MLLW")</f>
        <v>0</v>
      </c>
      <c r="T355" s="2">
        <f>HYPERLINK("https://vdatum.noaa.gov/vdatumweb/api/convert?s_x=-91.3839&amp;s_y=29.3675&amp;s_z=0.0&amp;region=contiguous&amp;s_h_frame=NAD83_2011&amp;s_coor=geo&amp;s_v_frame=NAVD88&amp;s_v_unit=us_ft&amp;t_h_frame=NAD83_2011&amp;t_coor=geo&amp;t_v_frame=MHHW&amp;t_v_unit=us_ft", "NAVD88 to MHHW")</f>
        <v>0</v>
      </c>
    </row>
    <row r="356" spans="1:20">
      <c r="A356" s="1" t="s">
        <v>380</v>
      </c>
      <c r="B356" s="1" t="s">
        <v>629</v>
      </c>
      <c r="D356" s="1" t="s">
        <v>654</v>
      </c>
      <c r="H356" s="1">
        <v>-91.88</v>
      </c>
      <c r="I356" s="1">
        <v>29.71336</v>
      </c>
      <c r="J356" s="1">
        <f>HYPERLINK("https://tidesandcurrents.noaa.gov/stationhome.html?id=8765251", "8765251")</f>
        <v>0</v>
      </c>
      <c r="K356" s="1" t="s">
        <v>861</v>
      </c>
      <c r="L356" s="1" t="s">
        <v>866</v>
      </c>
      <c r="M356" s="1">
        <v>6329629</v>
      </c>
      <c r="N356" s="1">
        <v>0.145</v>
      </c>
      <c r="O356" s="1" t="s">
        <v>869</v>
      </c>
      <c r="P356" s="1" t="s">
        <v>874</v>
      </c>
      <c r="Q356" s="1">
        <v>0.416</v>
      </c>
      <c r="R356" s="1">
        <v>-1.307</v>
      </c>
      <c r="S356" s="2">
        <f>HYPERLINK("https://vdatum.noaa.gov/vdatumweb/api/convert?s_x=-91.88&amp;s_y=29.71336&amp;s_z=0.0&amp;region=contiguous&amp;s_h_frame=NAD83_2011&amp;s_coor=geo&amp;s_v_frame=NAVD88&amp;s_v_unit=us_ft&amp;t_h_frame=NAD83_2011&amp;t_coor=geo&amp;t_v_frame=MLLW&amp;t_v_unit=us_ft", "NAVD88 to MLLW")</f>
        <v>0</v>
      </c>
      <c r="T356" s="2">
        <f>HYPERLINK("https://vdatum.noaa.gov/vdatumweb/api/convert?s_x=-91.88&amp;s_y=29.71336&amp;s_z=0.0&amp;region=contiguous&amp;s_h_frame=NAD83_2011&amp;s_coor=geo&amp;s_v_frame=NAVD88&amp;s_v_unit=us_ft&amp;t_h_frame=NAD83_2011&amp;t_coor=geo&amp;t_v_frame=MHHW&amp;t_v_unit=us_ft", "NAVD88 to MHHW")</f>
        <v>0</v>
      </c>
    </row>
    <row r="357" spans="1:20">
      <c r="A357" s="1" t="s">
        <v>381</v>
      </c>
      <c r="B357" s="1" t="s">
        <v>629</v>
      </c>
      <c r="C357" s="1" t="s">
        <v>649</v>
      </c>
      <c r="D357" s="1" t="s">
        <v>654</v>
      </c>
      <c r="E357" s="1" t="s">
        <v>756</v>
      </c>
      <c r="F357" s="1" t="s">
        <v>848</v>
      </c>
      <c r="G357" s="1" t="s">
        <v>856</v>
      </c>
      <c r="H357" s="1">
        <v>-92.3052</v>
      </c>
      <c r="I357" s="1">
        <v>29.55169</v>
      </c>
      <c r="J357" s="1">
        <f>HYPERLINK("https://tidesandcurrents.noaa.gov/stationhome.html?id=8766072", "8766072")</f>
        <v>0</v>
      </c>
      <c r="K357" s="1" t="s">
        <v>860</v>
      </c>
      <c r="L357" s="1" t="s">
        <v>866</v>
      </c>
      <c r="M357" s="1">
        <v>3549899</v>
      </c>
      <c r="N357" s="1">
        <v>0</v>
      </c>
      <c r="O357" s="1" t="s">
        <v>869</v>
      </c>
      <c r="P357" s="1" t="s">
        <v>874</v>
      </c>
      <c r="Q357" s="1">
        <v>-999999</v>
      </c>
      <c r="R357" s="1">
        <v>-999999</v>
      </c>
      <c r="S357" s="2">
        <f>HYPERLINK("https://vdatum.noaa.gov/vdatumweb/api/convert?s_x=-92.3052&amp;s_y=29.55169&amp;s_z=0.0&amp;region=contiguous&amp;s_h_frame=NAD83_2011&amp;s_coor=geo&amp;s_v_frame=NAVD88&amp;s_v_unit=us_ft&amp;t_h_frame=NAD83_2011&amp;t_coor=geo&amp;t_v_frame=MLLW&amp;t_v_unit=us_ft", "Missing")</f>
        <v>0</v>
      </c>
      <c r="T357" s="2">
        <f>HYPERLINK("https://vdatum.noaa.gov/vdatumweb/api/convert?s_x=-92.3052&amp;s_y=29.55169&amp;s_z=0.0&amp;region=contiguous&amp;s_h_frame=NAD83_2011&amp;s_coor=geo&amp;s_v_frame=NAVD88&amp;s_v_unit=us_ft&amp;t_h_frame=NAD83_2011&amp;t_coor=geo&amp;t_v_frame=MHHW&amp;t_v_unit=us_ft", "Missing")</f>
        <v>0</v>
      </c>
    </row>
    <row r="358" spans="1:20">
      <c r="A358" s="1" t="s">
        <v>382</v>
      </c>
      <c r="B358" s="1" t="s">
        <v>629</v>
      </c>
      <c r="C358" s="1" t="s">
        <v>649</v>
      </c>
      <c r="D358" s="1" t="s">
        <v>654</v>
      </c>
      <c r="E358" s="1" t="s">
        <v>757</v>
      </c>
      <c r="F358" s="1" t="s">
        <v>848</v>
      </c>
      <c r="G358" s="1" t="s">
        <v>856</v>
      </c>
      <c r="H358" s="1">
        <v>-93.2217</v>
      </c>
      <c r="I358" s="1">
        <v>30.22361</v>
      </c>
      <c r="J358" s="1">
        <f>HYPERLINK("https://tidesandcurrents.noaa.gov/stationhome.html?id=8767816", "8767816")</f>
        <v>0</v>
      </c>
      <c r="K358" s="1" t="s">
        <v>860</v>
      </c>
      <c r="L358" s="1" t="s">
        <v>866</v>
      </c>
      <c r="M358" s="1">
        <v>8618103</v>
      </c>
      <c r="N358" s="1">
        <v>0</v>
      </c>
      <c r="O358" s="1" t="s">
        <v>869</v>
      </c>
      <c r="P358" s="1" t="s">
        <v>874</v>
      </c>
      <c r="Q358" s="1">
        <v>0.432</v>
      </c>
      <c r="R358" s="1">
        <v>-0.907</v>
      </c>
      <c r="S358" s="2">
        <f>HYPERLINK("https://vdatum.noaa.gov/vdatumweb/api/convert?s_x=-93.2217&amp;s_y=30.22361&amp;s_z=0.0&amp;region=contiguous&amp;s_h_frame=NAD83_2011&amp;s_coor=geo&amp;s_v_frame=NAVD88&amp;s_v_unit=us_ft&amp;t_h_frame=NAD83_2011&amp;t_coor=geo&amp;t_v_frame=MLLW&amp;t_v_unit=us_ft", "NAVD88 to MLLW")</f>
        <v>0</v>
      </c>
      <c r="T358" s="2">
        <f>HYPERLINK("https://vdatum.noaa.gov/vdatumweb/api/convert?s_x=-93.2217&amp;s_y=30.22361&amp;s_z=0.0&amp;region=contiguous&amp;s_h_frame=NAD83_2011&amp;s_coor=geo&amp;s_v_frame=NAVD88&amp;s_v_unit=us_ft&amp;t_h_frame=NAD83_2011&amp;t_coor=geo&amp;t_v_frame=MHHW&amp;t_v_unit=us_ft", "NAVD88 to MHHW")</f>
        <v>0</v>
      </c>
    </row>
    <row r="359" spans="1:20">
      <c r="A359" s="1" t="s">
        <v>383</v>
      </c>
      <c r="B359" s="1" t="s">
        <v>629</v>
      </c>
      <c r="C359" s="1" t="s">
        <v>649</v>
      </c>
      <c r="D359" s="1" t="s">
        <v>654</v>
      </c>
      <c r="E359" s="1" t="s">
        <v>757</v>
      </c>
      <c r="F359" s="1" t="s">
        <v>848</v>
      </c>
      <c r="G359" s="1" t="s">
        <v>856</v>
      </c>
      <c r="H359" s="1">
        <v>-93.30070000000001</v>
      </c>
      <c r="I359" s="1">
        <v>30.1903</v>
      </c>
      <c r="J359" s="1">
        <f>HYPERLINK("https://tidesandcurrents.noaa.gov/stationhome.html?id=8767961", "8767961")</f>
        <v>0</v>
      </c>
      <c r="K359" s="1" t="s">
        <v>860</v>
      </c>
      <c r="L359" s="1" t="s">
        <v>866</v>
      </c>
      <c r="M359" s="1">
        <v>8762514</v>
      </c>
      <c r="N359" s="1">
        <v>0</v>
      </c>
      <c r="O359" s="1" t="s">
        <v>869</v>
      </c>
      <c r="P359" s="1" t="s">
        <v>874</v>
      </c>
      <c r="Q359" s="1">
        <v>0.331</v>
      </c>
      <c r="R359" s="1">
        <v>-0.948</v>
      </c>
      <c r="S359" s="2">
        <f>HYPERLINK("https://vdatum.noaa.gov/vdatumweb/api/convert?s_x=-93.3007&amp;s_y=30.1903&amp;s_z=0.0&amp;region=contiguous&amp;s_h_frame=NAD83_2011&amp;s_coor=geo&amp;s_v_frame=NAVD88&amp;s_v_unit=us_ft&amp;t_h_frame=NAD83_2011&amp;t_coor=geo&amp;t_v_frame=MLLW&amp;t_v_unit=us_ft", "NAVD88 to MLLW")</f>
        <v>0</v>
      </c>
      <c r="T359" s="2">
        <f>HYPERLINK("https://vdatum.noaa.gov/vdatumweb/api/convert?s_x=-93.3007&amp;s_y=30.1903&amp;s_z=0.0&amp;region=contiguous&amp;s_h_frame=NAD83_2011&amp;s_coor=geo&amp;s_v_frame=NAVD88&amp;s_v_unit=us_ft&amp;t_h_frame=NAD83_2011&amp;t_coor=geo&amp;t_v_frame=MHHW&amp;t_v_unit=us_ft", "NAVD88 to MHHW")</f>
        <v>0</v>
      </c>
    </row>
    <row r="360" spans="1:20">
      <c r="A360" s="1" t="s">
        <v>384</v>
      </c>
      <c r="B360" s="1" t="s">
        <v>629</v>
      </c>
      <c r="C360" s="1" t="s">
        <v>649</v>
      </c>
      <c r="D360" s="1" t="s">
        <v>654</v>
      </c>
      <c r="H360" s="1">
        <v>-93.3429</v>
      </c>
      <c r="I360" s="1">
        <v>29.76817</v>
      </c>
      <c r="J360" s="1">
        <f>HYPERLINK("https://tidesandcurrents.noaa.gov/stationhome.html?id=8768094", "8768094")</f>
        <v>0</v>
      </c>
      <c r="K360" s="1" t="s">
        <v>860</v>
      </c>
      <c r="L360" s="1" t="s">
        <v>866</v>
      </c>
      <c r="M360" s="1">
        <v>3382790</v>
      </c>
      <c r="N360" s="1">
        <v>0</v>
      </c>
      <c r="O360" s="1" t="s">
        <v>869</v>
      </c>
      <c r="P360" s="1" t="s">
        <v>874</v>
      </c>
      <c r="Q360" s="1">
        <v>0.795</v>
      </c>
      <c r="R360" s="1">
        <v>-1.17</v>
      </c>
      <c r="S360" s="2">
        <f>HYPERLINK("https://vdatum.noaa.gov/vdatumweb/api/convert?s_x=-93.3429&amp;s_y=29.76817&amp;s_z=0.0&amp;region=contiguous&amp;s_h_frame=NAD83_2011&amp;s_coor=geo&amp;s_v_frame=NAVD88&amp;s_v_unit=us_ft&amp;t_h_frame=NAD83_2011&amp;t_coor=geo&amp;t_v_frame=MLLW&amp;t_v_unit=us_ft", "NAVD88 to MLLW")</f>
        <v>0</v>
      </c>
      <c r="T360" s="2">
        <f>HYPERLINK("https://vdatum.noaa.gov/vdatumweb/api/convert?s_x=-93.3429&amp;s_y=29.76817&amp;s_z=0.0&amp;region=contiguous&amp;s_h_frame=NAD83_2011&amp;s_coor=geo&amp;s_v_frame=NAVD88&amp;s_v_unit=us_ft&amp;t_h_frame=NAD83_2011&amp;t_coor=geo&amp;t_v_frame=MHHW&amp;t_v_unit=us_ft", "NAVD88 to MHHW")</f>
        <v>0</v>
      </c>
    </row>
    <row r="361" spans="1:20">
      <c r="A361" s="1" t="s">
        <v>385</v>
      </c>
      <c r="B361" s="1" t="s">
        <v>629</v>
      </c>
      <c r="C361" s="1" t="s">
        <v>648</v>
      </c>
      <c r="D361" s="1" t="s">
        <v>654</v>
      </c>
      <c r="E361" s="1" t="s">
        <v>758</v>
      </c>
      <c r="F361" s="1" t="s">
        <v>846</v>
      </c>
      <c r="G361" s="1" t="s">
        <v>856</v>
      </c>
      <c r="H361" s="1">
        <v>-93.931</v>
      </c>
      <c r="I361" s="1">
        <v>29.86708</v>
      </c>
      <c r="J361" s="1">
        <f>HYPERLINK("https://tidesandcurrents.noaa.gov/stationhome.html?id=8770475", "8770475")</f>
        <v>0</v>
      </c>
      <c r="K361" s="1" t="s">
        <v>861</v>
      </c>
      <c r="L361" s="1" t="s">
        <v>866</v>
      </c>
      <c r="M361" s="1">
        <v>8229112</v>
      </c>
      <c r="N361" s="1">
        <v>0</v>
      </c>
      <c r="O361" s="1" t="s">
        <v>869</v>
      </c>
      <c r="P361" s="1" t="s">
        <v>874</v>
      </c>
      <c r="Q361" s="1">
        <v>-0.234</v>
      </c>
      <c r="R361" s="1">
        <v>-1.277</v>
      </c>
      <c r="S361" s="2">
        <f>HYPERLINK("https://vdatum.noaa.gov/vdatumweb/api/convert?s_x=-93.931&amp;s_y=29.86708&amp;s_z=0.0&amp;region=contiguous&amp;s_h_frame=NAD83_2011&amp;s_coor=geo&amp;s_v_frame=NAVD88&amp;s_v_unit=us_ft&amp;t_h_frame=NAD83_2011&amp;t_coor=geo&amp;t_v_frame=MLLW&amp;t_v_unit=us_ft", "NAVD88 to MLLW")</f>
        <v>0</v>
      </c>
      <c r="T361" s="2">
        <f>HYPERLINK("https://vdatum.noaa.gov/vdatumweb/api/convert?s_x=-93.931&amp;s_y=29.86708&amp;s_z=0.0&amp;region=contiguous&amp;s_h_frame=NAD83_2011&amp;s_coor=geo&amp;s_v_frame=NAVD88&amp;s_v_unit=us_ft&amp;t_h_frame=NAD83_2011&amp;t_coor=geo&amp;t_v_frame=MHHW&amp;t_v_unit=us_ft", "NAVD88 to MHHW")</f>
        <v>0</v>
      </c>
    </row>
    <row r="362" spans="1:20">
      <c r="A362" s="1" t="s">
        <v>386</v>
      </c>
      <c r="B362" s="1" t="s">
        <v>629</v>
      </c>
      <c r="C362" s="1" t="s">
        <v>648</v>
      </c>
      <c r="D362" s="1" t="s">
        <v>654</v>
      </c>
      <c r="E362" s="1" t="s">
        <v>758</v>
      </c>
      <c r="F362" s="1" t="s">
        <v>846</v>
      </c>
      <c r="G362" s="1" t="s">
        <v>856</v>
      </c>
      <c r="H362" s="1">
        <v>-93.8817</v>
      </c>
      <c r="I362" s="1">
        <v>29.98</v>
      </c>
      <c r="J362" s="1">
        <f>HYPERLINK("https://tidesandcurrents.noaa.gov/stationhome.html?id=8770520", "8770520")</f>
        <v>0</v>
      </c>
      <c r="K362" s="1" t="s">
        <v>860</v>
      </c>
      <c r="L362" s="1" t="s">
        <v>866</v>
      </c>
      <c r="M362" s="1">
        <v>9129855</v>
      </c>
      <c r="N362" s="1">
        <v>0</v>
      </c>
      <c r="O362" s="1" t="s">
        <v>869</v>
      </c>
      <c r="P362" s="1" t="s">
        <v>874</v>
      </c>
      <c r="Q362" s="1">
        <v>-0.498</v>
      </c>
      <c r="R362" s="1">
        <v>-1.43</v>
      </c>
      <c r="S362" s="2">
        <f>HYPERLINK("https://vdatum.noaa.gov/vdatumweb/api/convert?s_x=-93.8817&amp;s_y=29.98&amp;s_z=0.0&amp;region=contiguous&amp;s_h_frame=NAD83_2011&amp;s_coor=geo&amp;s_v_frame=NAVD88&amp;s_v_unit=us_ft&amp;t_h_frame=NAD83_2011&amp;t_coor=geo&amp;t_v_frame=MLLW&amp;t_v_unit=us_ft", "NAVD88 to MLLW")</f>
        <v>0</v>
      </c>
      <c r="T362" s="2">
        <f>HYPERLINK("https://vdatum.noaa.gov/vdatumweb/api/convert?s_x=-93.8817&amp;s_y=29.98&amp;s_z=0.0&amp;region=contiguous&amp;s_h_frame=NAD83_2011&amp;s_coor=geo&amp;s_v_frame=NAVD88&amp;s_v_unit=us_ft&amp;t_h_frame=NAD83_2011&amp;t_coor=geo&amp;t_v_frame=MHHW&amp;t_v_unit=us_ft", "NAVD88 to MHHW")</f>
        <v>0</v>
      </c>
    </row>
    <row r="363" spans="1:20">
      <c r="A363" s="1" t="s">
        <v>387</v>
      </c>
      <c r="B363" s="1" t="s">
        <v>629</v>
      </c>
      <c r="C363" s="1" t="s">
        <v>648</v>
      </c>
      <c r="D363" s="1" t="s">
        <v>654</v>
      </c>
      <c r="H363" s="1">
        <v>-93.87009999999999</v>
      </c>
      <c r="I363" s="1">
        <v>29.7284</v>
      </c>
      <c r="J363" s="1">
        <f>HYPERLINK("https://tidesandcurrents.noaa.gov/stationhome.html?id=8770570", "8770570")</f>
        <v>0</v>
      </c>
      <c r="K363" s="1" t="s">
        <v>860</v>
      </c>
      <c r="L363" s="1" t="s">
        <v>866</v>
      </c>
      <c r="M363" s="1">
        <v>5247083</v>
      </c>
      <c r="N363" s="1">
        <v>0.423</v>
      </c>
      <c r="O363" s="1" t="s">
        <v>869</v>
      </c>
      <c r="P363" s="1" t="s">
        <v>874</v>
      </c>
      <c r="Q363" s="1">
        <v>-0.427</v>
      </c>
      <c r="R363" s="1">
        <v>-2.025</v>
      </c>
      <c r="S363" s="2">
        <f>HYPERLINK("https://vdatum.noaa.gov/vdatumweb/api/convert?s_x=-93.8701&amp;s_y=29.7284&amp;s_z=0.0&amp;region=contiguous&amp;s_h_frame=NAD83_2011&amp;s_coor=geo&amp;s_v_frame=NAVD88&amp;s_v_unit=us_ft&amp;t_h_frame=NAD83_2011&amp;t_coor=geo&amp;t_v_frame=MLLW&amp;t_v_unit=us_ft", "NAVD88 to MLLW")</f>
        <v>0</v>
      </c>
      <c r="T363" s="2">
        <f>HYPERLINK("https://vdatum.noaa.gov/vdatumweb/api/convert?s_x=-93.8701&amp;s_y=29.7284&amp;s_z=0.0&amp;region=contiguous&amp;s_h_frame=NAD83_2011&amp;s_coor=geo&amp;s_v_frame=NAVD88&amp;s_v_unit=us_ft&amp;t_h_frame=NAD83_2011&amp;t_coor=geo&amp;t_v_frame=MHHW&amp;t_v_unit=us_ft", "NAVD88 to MHHW")</f>
        <v>0</v>
      </c>
    </row>
    <row r="364" spans="1:20">
      <c r="A364" s="1" t="s">
        <v>388</v>
      </c>
      <c r="B364" s="1" t="s">
        <v>629</v>
      </c>
      <c r="C364" s="1" t="s">
        <v>648</v>
      </c>
      <c r="D364" s="1" t="s">
        <v>654</v>
      </c>
      <c r="E364" s="1" t="s">
        <v>758</v>
      </c>
      <c r="F364" s="1" t="s">
        <v>846</v>
      </c>
      <c r="G364" s="1" t="s">
        <v>856</v>
      </c>
      <c r="H364" s="1">
        <v>-93.8419</v>
      </c>
      <c r="I364" s="1">
        <v>29.68939</v>
      </c>
      <c r="J364" s="1">
        <f>HYPERLINK("https://tidesandcurrents.noaa.gov/stationhome.html?id=8770822", "8770822")</f>
        <v>0</v>
      </c>
      <c r="K364" s="1" t="s">
        <v>860</v>
      </c>
      <c r="L364" s="1" t="s">
        <v>866</v>
      </c>
      <c r="M364" s="1">
        <v>3551217</v>
      </c>
      <c r="N364" s="1">
        <v>0</v>
      </c>
      <c r="O364" s="1" t="s">
        <v>869</v>
      </c>
      <c r="P364" s="1" t="s">
        <v>874</v>
      </c>
      <c r="Q364" s="1">
        <v>0.357</v>
      </c>
      <c r="R364" s="1">
        <v>-1.659</v>
      </c>
      <c r="S364" s="2">
        <f>HYPERLINK("https://vdatum.noaa.gov/vdatumweb/api/convert?s_x=-93.8419&amp;s_y=29.68939&amp;s_z=0.0&amp;region=contiguous&amp;s_h_frame=NAD83_2011&amp;s_coor=geo&amp;s_v_frame=NAVD88&amp;s_v_unit=us_ft&amp;t_h_frame=NAD83_2011&amp;t_coor=geo&amp;t_v_frame=MLLW&amp;t_v_unit=us_ft", "NAVD88 to MLLW")</f>
        <v>0</v>
      </c>
      <c r="T364" s="2">
        <f>HYPERLINK("https://vdatum.noaa.gov/vdatumweb/api/convert?s_x=-93.8419&amp;s_y=29.68939&amp;s_z=0.0&amp;region=contiguous&amp;s_h_frame=NAD83_2011&amp;s_coor=geo&amp;s_v_frame=NAVD88&amp;s_v_unit=us_ft&amp;t_h_frame=NAD83_2011&amp;t_coor=geo&amp;t_v_frame=MHHW&amp;t_v_unit=us_ft", "NAVD88 to MHHW")</f>
        <v>0</v>
      </c>
    </row>
    <row r="365" spans="1:20">
      <c r="A365" s="1" t="s">
        <v>389</v>
      </c>
      <c r="B365" s="1" t="s">
        <v>629</v>
      </c>
      <c r="C365" s="1" t="s">
        <v>649</v>
      </c>
      <c r="D365" s="1" t="s">
        <v>654</v>
      </c>
      <c r="E365" s="1" t="s">
        <v>757</v>
      </c>
      <c r="F365" s="1" t="s">
        <v>848</v>
      </c>
      <c r="G365" s="1" t="s">
        <v>856</v>
      </c>
      <c r="H365" s="1">
        <v>-93.25</v>
      </c>
      <c r="I365" s="1">
        <v>30.34</v>
      </c>
      <c r="J365" s="1" t="s">
        <v>859</v>
      </c>
      <c r="K365" s="1" t="s">
        <v>861</v>
      </c>
      <c r="L365" s="1" t="s">
        <v>859</v>
      </c>
      <c r="M365" s="1">
        <v>8242436</v>
      </c>
      <c r="N365" s="1">
        <v>0</v>
      </c>
      <c r="O365" s="1" t="s">
        <v>869</v>
      </c>
      <c r="P365" s="1" t="s">
        <v>874</v>
      </c>
      <c r="Q365" s="1">
        <v>-999999</v>
      </c>
      <c r="R365" s="1">
        <v>-999999</v>
      </c>
      <c r="S365" s="2">
        <f>HYPERLINK("https://vdatum.noaa.gov/vdatumweb/api/convert?s_x=-93.25&amp;s_y=30.34&amp;s_z=0.0&amp;region=contiguous&amp;s_h_frame=NAD83_2011&amp;s_coor=geo&amp;s_v_frame=NAVD88&amp;s_v_unit=us_ft&amp;t_h_frame=NAD83_2011&amp;t_coor=geo&amp;t_v_frame=MLLW&amp;t_v_unit=us_ft", "Missing")</f>
        <v>0</v>
      </c>
      <c r="T365" s="2">
        <f>HYPERLINK("https://vdatum.noaa.gov/vdatumweb/api/convert?s_x=-93.25&amp;s_y=30.34&amp;s_z=0.0&amp;region=contiguous&amp;s_h_frame=NAD83_2011&amp;s_coor=geo&amp;s_v_frame=NAVD88&amp;s_v_unit=us_ft&amp;t_h_frame=NAD83_2011&amp;t_coor=geo&amp;t_v_frame=MHHW&amp;t_v_unit=us_ft", "Missing")</f>
        <v>0</v>
      </c>
    </row>
    <row r="366" spans="1:20">
      <c r="A366" s="1" t="s">
        <v>390</v>
      </c>
      <c r="B366" s="1" t="s">
        <v>629</v>
      </c>
      <c r="C366" s="1" t="s">
        <v>649</v>
      </c>
      <c r="D366" s="1" t="s">
        <v>654</v>
      </c>
      <c r="E366" s="1" t="s">
        <v>757</v>
      </c>
      <c r="F366" s="1" t="s">
        <v>848</v>
      </c>
      <c r="G366" s="1" t="s">
        <v>856</v>
      </c>
      <c r="H366" s="1">
        <v>-93.14</v>
      </c>
      <c r="I366" s="1">
        <v>30.29</v>
      </c>
      <c r="J366" s="1" t="s">
        <v>859</v>
      </c>
      <c r="K366" s="1" t="s">
        <v>861</v>
      </c>
      <c r="L366" s="1" t="s">
        <v>859</v>
      </c>
      <c r="M366" s="1">
        <v>8238676</v>
      </c>
      <c r="N366" s="1">
        <v>0</v>
      </c>
      <c r="O366" s="1" t="s">
        <v>869</v>
      </c>
      <c r="P366" s="1" t="s">
        <v>874</v>
      </c>
      <c r="Q366" s="1">
        <v>0.471</v>
      </c>
      <c r="R366" s="1">
        <v>-0.982</v>
      </c>
      <c r="S366" s="2">
        <f>HYPERLINK("https://vdatum.noaa.gov/vdatumweb/api/convert?s_x=-93.14&amp;s_y=30.29&amp;s_z=0.0&amp;region=contiguous&amp;s_h_frame=NAD83_2011&amp;s_coor=geo&amp;s_v_frame=NAVD88&amp;s_v_unit=us_ft&amp;t_h_frame=NAD83_2011&amp;t_coor=geo&amp;t_v_frame=MLLW&amp;t_v_unit=us_ft", "NAVD88 to MLLW")</f>
        <v>0</v>
      </c>
      <c r="T366" s="2">
        <f>HYPERLINK("https://vdatum.noaa.gov/vdatumweb/api/convert?s_x=-93.14&amp;s_y=30.29&amp;s_z=0.0&amp;region=contiguous&amp;s_h_frame=NAD83_2011&amp;s_coor=geo&amp;s_v_frame=NAVD88&amp;s_v_unit=us_ft&amp;t_h_frame=NAD83_2011&amp;t_coor=geo&amp;t_v_frame=MHHW&amp;t_v_unit=us_ft", "NAVD88 to MHHW")</f>
        <v>0</v>
      </c>
    </row>
    <row r="367" spans="1:20">
      <c r="A367" s="1" t="s">
        <v>391</v>
      </c>
      <c r="B367" s="1" t="s">
        <v>629</v>
      </c>
      <c r="C367" s="1" t="s">
        <v>649</v>
      </c>
      <c r="D367" s="1" t="s">
        <v>654</v>
      </c>
      <c r="E367" s="1" t="s">
        <v>759</v>
      </c>
      <c r="F367" s="1" t="s">
        <v>848</v>
      </c>
      <c r="G367" s="1" t="s">
        <v>856</v>
      </c>
      <c r="H367" s="1">
        <v>-91.76139000000001</v>
      </c>
      <c r="I367" s="1">
        <v>30.56889</v>
      </c>
      <c r="J367" s="1" t="s">
        <v>859</v>
      </c>
      <c r="K367" s="1" t="s">
        <v>861</v>
      </c>
      <c r="L367" s="1" t="s">
        <v>859</v>
      </c>
      <c r="M367" s="1">
        <v>9958381</v>
      </c>
      <c r="N367" s="1">
        <v>0</v>
      </c>
      <c r="O367" s="1" t="s">
        <v>869</v>
      </c>
      <c r="P367" s="1" t="s">
        <v>874</v>
      </c>
      <c r="Q367" s="1">
        <v>-999999</v>
      </c>
      <c r="R367" s="1">
        <v>-999999</v>
      </c>
      <c r="S367" s="2">
        <f>HYPERLINK("https://vdatum.noaa.gov/vdatumweb/api/convert?s_x=-91.76139&amp;s_y=30.56889&amp;s_z=0.0&amp;region=contiguous&amp;s_h_frame=NAD83_2011&amp;s_coor=geo&amp;s_v_frame=NAVD88&amp;s_v_unit=us_ft&amp;t_h_frame=NAD83_2011&amp;t_coor=geo&amp;t_v_frame=MLLW&amp;t_v_unit=us_ft", "Missing")</f>
        <v>0</v>
      </c>
      <c r="T367" s="2">
        <f>HYPERLINK("https://vdatum.noaa.gov/vdatumweb/api/convert?s_x=-91.76139&amp;s_y=30.56889&amp;s_z=0.0&amp;region=contiguous&amp;s_h_frame=NAD83_2011&amp;s_coor=geo&amp;s_v_frame=NAVD88&amp;s_v_unit=us_ft&amp;t_h_frame=NAD83_2011&amp;t_coor=geo&amp;t_v_frame=MHHW&amp;t_v_unit=us_ft", "Missing")</f>
        <v>0</v>
      </c>
    </row>
    <row r="368" spans="1:20">
      <c r="A368" s="1" t="s">
        <v>392</v>
      </c>
      <c r="B368" s="1" t="s">
        <v>629</v>
      </c>
      <c r="C368" s="1" t="s">
        <v>649</v>
      </c>
      <c r="D368" s="1" t="s">
        <v>654</v>
      </c>
      <c r="E368" s="1" t="s">
        <v>757</v>
      </c>
      <c r="F368" s="1" t="s">
        <v>848</v>
      </c>
      <c r="G368" s="1" t="s">
        <v>856</v>
      </c>
      <c r="H368" s="1">
        <v>-93.21805999999999</v>
      </c>
      <c r="I368" s="1">
        <v>30.25361</v>
      </c>
      <c r="J368" s="1" t="s">
        <v>859</v>
      </c>
      <c r="K368" s="1" t="s">
        <v>861</v>
      </c>
      <c r="L368" s="1" t="s">
        <v>859</v>
      </c>
      <c r="M368" s="1">
        <v>8238676</v>
      </c>
      <c r="N368" s="1">
        <v>0</v>
      </c>
      <c r="O368" s="1" t="s">
        <v>869</v>
      </c>
      <c r="P368" s="1" t="s">
        <v>874</v>
      </c>
      <c r="Q368" s="1">
        <v>0.427</v>
      </c>
      <c r="R368" s="1">
        <v>-0.9340000000000001</v>
      </c>
      <c r="S368" s="2">
        <f>HYPERLINK("https://vdatum.noaa.gov/vdatumweb/api/convert?s_x=-93.21806&amp;s_y=30.25361&amp;s_z=0.0&amp;region=contiguous&amp;s_h_frame=NAD83_2011&amp;s_coor=geo&amp;s_v_frame=NAVD88&amp;s_v_unit=us_ft&amp;t_h_frame=NAD83_2011&amp;t_coor=geo&amp;t_v_frame=MLLW&amp;t_v_unit=us_ft", "NAVD88 to MLLW")</f>
        <v>0</v>
      </c>
      <c r="T368" s="2">
        <f>HYPERLINK("https://vdatum.noaa.gov/vdatumweb/api/convert?s_x=-93.21806&amp;s_y=30.25361&amp;s_z=0.0&amp;region=contiguous&amp;s_h_frame=NAD83_2011&amp;s_coor=geo&amp;s_v_frame=NAVD88&amp;s_v_unit=us_ft&amp;t_h_frame=NAD83_2011&amp;t_coor=geo&amp;t_v_frame=MHHW&amp;t_v_unit=us_ft", "NAVD88 to MHHW")</f>
        <v>0</v>
      </c>
    </row>
    <row r="369" spans="1:20">
      <c r="A369" s="1" t="s">
        <v>393</v>
      </c>
      <c r="B369" s="1" t="s">
        <v>629</v>
      </c>
      <c r="C369" s="1" t="s">
        <v>649</v>
      </c>
      <c r="D369" s="1" t="s">
        <v>654</v>
      </c>
      <c r="E369" s="1" t="s">
        <v>757</v>
      </c>
      <c r="F369" s="1" t="s">
        <v>848</v>
      </c>
      <c r="G369" s="1" t="s">
        <v>856</v>
      </c>
      <c r="H369" s="1">
        <v>-93.26278000000001</v>
      </c>
      <c r="I369" s="1">
        <v>30.29417</v>
      </c>
      <c r="J369" s="1" t="s">
        <v>859</v>
      </c>
      <c r="K369" s="1" t="s">
        <v>861</v>
      </c>
      <c r="L369" s="1" t="s">
        <v>859</v>
      </c>
      <c r="M369" s="1">
        <v>6522467</v>
      </c>
      <c r="N369" s="1">
        <v>0</v>
      </c>
      <c r="O369" s="1" t="s">
        <v>869</v>
      </c>
      <c r="P369" s="1" t="s">
        <v>874</v>
      </c>
      <c r="Q369" s="1">
        <v>-999999</v>
      </c>
      <c r="R369" s="1">
        <v>-999999</v>
      </c>
      <c r="S369" s="2">
        <f>HYPERLINK("https://vdatum.noaa.gov/vdatumweb/api/convert?s_x=-93.26278&amp;s_y=30.29417&amp;s_z=0.0&amp;region=contiguous&amp;s_h_frame=NAD83_2011&amp;s_coor=geo&amp;s_v_frame=NAVD88&amp;s_v_unit=us_ft&amp;t_h_frame=NAD83_2011&amp;t_coor=geo&amp;t_v_frame=MLLW&amp;t_v_unit=us_ft", "Missing")</f>
        <v>0</v>
      </c>
      <c r="T369" s="2">
        <f>HYPERLINK("https://vdatum.noaa.gov/vdatumweb/api/convert?s_x=-93.26278&amp;s_y=30.29417&amp;s_z=0.0&amp;region=contiguous&amp;s_h_frame=NAD83_2011&amp;s_coor=geo&amp;s_v_frame=NAVD88&amp;s_v_unit=us_ft&amp;t_h_frame=NAD83_2011&amp;t_coor=geo&amp;t_v_frame=MHHW&amp;t_v_unit=us_ft", "Missing")</f>
        <v>0</v>
      </c>
    </row>
    <row r="370" spans="1:20">
      <c r="A370" s="1" t="s">
        <v>394</v>
      </c>
      <c r="B370" s="1" t="s">
        <v>629</v>
      </c>
      <c r="C370" s="1" t="s">
        <v>649</v>
      </c>
      <c r="D370" s="1" t="s">
        <v>654</v>
      </c>
      <c r="E370" s="1" t="s">
        <v>742</v>
      </c>
      <c r="F370" s="1" t="s">
        <v>848</v>
      </c>
      <c r="G370" s="1" t="s">
        <v>856</v>
      </c>
      <c r="H370" s="1">
        <v>-92.78100000000001</v>
      </c>
      <c r="I370" s="1">
        <v>30.0003</v>
      </c>
      <c r="J370" s="1" t="s">
        <v>859</v>
      </c>
      <c r="K370" s="1" t="s">
        <v>861</v>
      </c>
      <c r="L370" s="1" t="s">
        <v>859</v>
      </c>
      <c r="M370" s="1">
        <v>9946075</v>
      </c>
      <c r="N370" s="1">
        <v>0</v>
      </c>
      <c r="O370" s="1" t="s">
        <v>869</v>
      </c>
      <c r="P370" s="1" t="s">
        <v>874</v>
      </c>
      <c r="Q370" s="1">
        <v>-999999</v>
      </c>
      <c r="R370" s="1">
        <v>-999999</v>
      </c>
      <c r="S370" s="2">
        <f>HYPERLINK("https://vdatum.noaa.gov/vdatumweb/api/convert?s_x=-92.781&amp;s_y=30.0003&amp;s_z=0.0&amp;region=contiguous&amp;s_h_frame=NAD83_2011&amp;s_coor=geo&amp;s_v_frame=NAVD88&amp;s_v_unit=us_ft&amp;t_h_frame=NAD83_2011&amp;t_coor=geo&amp;t_v_frame=MLLW&amp;t_v_unit=us_ft", "Missing")</f>
        <v>0</v>
      </c>
      <c r="T370" s="2">
        <f>HYPERLINK("https://vdatum.noaa.gov/vdatumweb/api/convert?s_x=-92.781&amp;s_y=30.0003&amp;s_z=0.0&amp;region=contiguous&amp;s_h_frame=NAD83_2011&amp;s_coor=geo&amp;s_v_frame=NAVD88&amp;s_v_unit=us_ft&amp;t_h_frame=NAD83_2011&amp;t_coor=geo&amp;t_v_frame=MHHW&amp;t_v_unit=us_ft", "Missing")</f>
        <v>0</v>
      </c>
    </row>
    <row r="371" spans="1:20">
      <c r="A371" s="1" t="s">
        <v>395</v>
      </c>
      <c r="B371" s="1" t="s">
        <v>629</v>
      </c>
      <c r="C371" s="1" t="s">
        <v>649</v>
      </c>
      <c r="D371" s="1" t="s">
        <v>654</v>
      </c>
      <c r="E371" s="1" t="s">
        <v>755</v>
      </c>
      <c r="F371" s="1" t="s">
        <v>848</v>
      </c>
      <c r="G371" s="1" t="s">
        <v>856</v>
      </c>
      <c r="H371" s="1">
        <v>-91.1872</v>
      </c>
      <c r="I371" s="1">
        <v>29.7194</v>
      </c>
      <c r="J371" s="1" t="s">
        <v>859</v>
      </c>
      <c r="K371" s="1" t="s">
        <v>861</v>
      </c>
      <c r="L371" s="1" t="s">
        <v>859</v>
      </c>
      <c r="M371" s="1">
        <v>10322050</v>
      </c>
      <c r="N371" s="1">
        <v>0</v>
      </c>
      <c r="O371" s="1" t="s">
        <v>869</v>
      </c>
      <c r="P371" s="1" t="s">
        <v>874</v>
      </c>
      <c r="Q371" s="1">
        <v>-999999</v>
      </c>
      <c r="R371" s="1">
        <v>-999999</v>
      </c>
      <c r="S371" s="2">
        <f>HYPERLINK("https://vdatum.noaa.gov/vdatumweb/api/convert?s_x=-91.1872&amp;s_y=29.7194&amp;s_z=0.0&amp;region=contiguous&amp;s_h_frame=NAD83_2011&amp;s_coor=geo&amp;s_v_frame=NAVD88&amp;s_v_unit=us_ft&amp;t_h_frame=NAD83_2011&amp;t_coor=geo&amp;t_v_frame=MLLW&amp;t_v_unit=us_ft", "Missing")</f>
        <v>0</v>
      </c>
      <c r="T371" s="2">
        <f>HYPERLINK("https://vdatum.noaa.gov/vdatumweb/api/convert?s_x=-91.1872&amp;s_y=29.7194&amp;s_z=0.0&amp;region=contiguous&amp;s_h_frame=NAD83_2011&amp;s_coor=geo&amp;s_v_frame=NAVD88&amp;s_v_unit=us_ft&amp;t_h_frame=NAD83_2011&amp;t_coor=geo&amp;t_v_frame=MHHW&amp;t_v_unit=us_ft", "Missing")</f>
        <v>0</v>
      </c>
    </row>
    <row r="372" spans="1:20">
      <c r="A372" s="1" t="s">
        <v>396</v>
      </c>
      <c r="B372" s="1" t="s">
        <v>629</v>
      </c>
      <c r="C372" s="1" t="s">
        <v>649</v>
      </c>
      <c r="D372" s="1" t="s">
        <v>654</v>
      </c>
      <c r="E372" s="1" t="s">
        <v>757</v>
      </c>
      <c r="F372" s="1" t="s">
        <v>848</v>
      </c>
      <c r="G372" s="1" t="s">
        <v>856</v>
      </c>
      <c r="H372" s="1">
        <v>-93.24722</v>
      </c>
      <c r="I372" s="1">
        <v>30.23694</v>
      </c>
      <c r="J372" s="1" t="s">
        <v>859</v>
      </c>
      <c r="K372" s="1" t="s">
        <v>861</v>
      </c>
      <c r="L372" s="1" t="s">
        <v>859</v>
      </c>
      <c r="M372" s="1">
        <v>8238654</v>
      </c>
      <c r="N372" s="1">
        <v>0</v>
      </c>
      <c r="O372" s="1" t="s">
        <v>869</v>
      </c>
      <c r="P372" s="1" t="s">
        <v>874</v>
      </c>
      <c r="Q372" s="1">
        <v>0.405</v>
      </c>
      <c r="R372" s="1">
        <v>-0.9330000000000001</v>
      </c>
      <c r="S372" s="2">
        <f>HYPERLINK("https://vdatum.noaa.gov/vdatumweb/api/convert?s_x=-93.24722&amp;s_y=30.23694&amp;s_z=0.0&amp;region=contiguous&amp;s_h_frame=NAD83_2011&amp;s_coor=geo&amp;s_v_frame=NAVD88&amp;s_v_unit=us_ft&amp;t_h_frame=NAD83_2011&amp;t_coor=geo&amp;t_v_frame=MLLW&amp;t_v_unit=us_ft", "NAVD88 to MLLW")</f>
        <v>0</v>
      </c>
      <c r="T372" s="2">
        <f>HYPERLINK("https://vdatum.noaa.gov/vdatumweb/api/convert?s_x=-93.24722&amp;s_y=30.23694&amp;s_z=0.0&amp;region=contiguous&amp;s_h_frame=NAD83_2011&amp;s_coor=geo&amp;s_v_frame=NAVD88&amp;s_v_unit=us_ft&amp;t_h_frame=NAD83_2011&amp;t_coor=geo&amp;t_v_frame=MHHW&amp;t_v_unit=us_ft", "NAVD88 to MHHW")</f>
        <v>0</v>
      </c>
    </row>
    <row r="373" spans="1:20">
      <c r="A373" s="1" t="s">
        <v>397</v>
      </c>
      <c r="B373" s="1" t="s">
        <v>629</v>
      </c>
      <c r="C373" s="1" t="s">
        <v>649</v>
      </c>
      <c r="D373" s="1" t="s">
        <v>654</v>
      </c>
      <c r="E373" s="1" t="s">
        <v>760</v>
      </c>
      <c r="F373" s="1" t="s">
        <v>848</v>
      </c>
      <c r="G373" s="1" t="s">
        <v>856</v>
      </c>
      <c r="H373" s="1">
        <v>-91.98389</v>
      </c>
      <c r="I373" s="1">
        <v>30.27167</v>
      </c>
      <c r="J373" s="1" t="s">
        <v>859</v>
      </c>
      <c r="K373" s="1" t="s">
        <v>861</v>
      </c>
      <c r="L373" s="1" t="s">
        <v>859</v>
      </c>
      <c r="M373" s="1">
        <v>10288191</v>
      </c>
      <c r="N373" s="1">
        <v>0</v>
      </c>
      <c r="O373" s="1" t="s">
        <v>869</v>
      </c>
      <c r="P373" s="1" t="s">
        <v>874</v>
      </c>
      <c r="Q373" s="1">
        <v>-999999</v>
      </c>
      <c r="R373" s="1">
        <v>-999999</v>
      </c>
      <c r="S373" s="2">
        <f>HYPERLINK("https://vdatum.noaa.gov/vdatumweb/api/convert?s_x=-91.98389&amp;s_y=30.27167&amp;s_z=0.0&amp;region=contiguous&amp;s_h_frame=NAD83_2011&amp;s_coor=geo&amp;s_v_frame=NAVD88&amp;s_v_unit=us_ft&amp;t_h_frame=NAD83_2011&amp;t_coor=geo&amp;t_v_frame=MLLW&amp;t_v_unit=us_ft", "Missing")</f>
        <v>0</v>
      </c>
      <c r="T373" s="2">
        <f>HYPERLINK("https://vdatum.noaa.gov/vdatumweb/api/convert?s_x=-91.98389&amp;s_y=30.27167&amp;s_z=0.0&amp;region=contiguous&amp;s_h_frame=NAD83_2011&amp;s_coor=geo&amp;s_v_frame=NAVD88&amp;s_v_unit=us_ft&amp;t_h_frame=NAD83_2011&amp;t_coor=geo&amp;t_v_frame=MHHW&amp;t_v_unit=us_ft", "Missing")</f>
        <v>0</v>
      </c>
    </row>
    <row r="374" spans="1:20">
      <c r="A374" s="1" t="s">
        <v>398</v>
      </c>
      <c r="B374" s="1" t="s">
        <v>629</v>
      </c>
      <c r="C374" s="1" t="s">
        <v>649</v>
      </c>
      <c r="D374" s="1" t="s">
        <v>654</v>
      </c>
      <c r="E374" s="1" t="s">
        <v>761</v>
      </c>
      <c r="F374" s="1" t="s">
        <v>848</v>
      </c>
      <c r="G374" s="1" t="s">
        <v>856</v>
      </c>
      <c r="H374" s="1">
        <v>-91.09971632</v>
      </c>
      <c r="I374" s="1">
        <v>29.66832801</v>
      </c>
      <c r="J374" s="1">
        <f>HYPERLINK("https://waterdata.usgs.gov/nwis/nwismap/?site_no=073814675&amp;agency_cd=USGS", "US073814675")</f>
        <v>0</v>
      </c>
      <c r="K374" s="1" t="s">
        <v>861</v>
      </c>
      <c r="L374" s="1" t="s">
        <v>867</v>
      </c>
      <c r="M374" s="1">
        <v>10236024</v>
      </c>
      <c r="N374" s="1">
        <v>-0.57</v>
      </c>
      <c r="O374" s="1" t="s">
        <v>869</v>
      </c>
      <c r="P374" s="1" t="s">
        <v>874</v>
      </c>
      <c r="Q374" s="1">
        <v>-999999</v>
      </c>
      <c r="R374" s="1">
        <v>-999999</v>
      </c>
      <c r="S374" s="2">
        <f>HYPERLINK("https://vdatum.noaa.gov/vdatumweb/api/convert?s_x=-91.09971632&amp;s_y=29.66832801&amp;s_z=0.0&amp;region=contiguous&amp;s_h_frame=NAD83_2011&amp;s_coor=geo&amp;s_v_frame=NAVD88&amp;s_v_unit=us_ft&amp;t_h_frame=NAD83_2011&amp;t_coor=geo&amp;t_v_frame=MLLW&amp;t_v_unit=us_ft", "Missing")</f>
        <v>0</v>
      </c>
      <c r="T374" s="2">
        <f>HYPERLINK("https://vdatum.noaa.gov/vdatumweb/api/convert?s_x=-91.09971632&amp;s_y=29.66832801&amp;s_z=0.0&amp;region=contiguous&amp;s_h_frame=NAD83_2011&amp;s_coor=geo&amp;s_v_frame=NAVD88&amp;s_v_unit=us_ft&amp;t_h_frame=NAD83_2011&amp;t_coor=geo&amp;t_v_frame=MHHW&amp;t_v_unit=us_ft", "Missing")</f>
        <v>0</v>
      </c>
    </row>
    <row r="375" spans="1:20">
      <c r="A375" s="1" t="s">
        <v>399</v>
      </c>
      <c r="B375" s="1" t="s">
        <v>629</v>
      </c>
      <c r="C375" s="1" t="s">
        <v>649</v>
      </c>
      <c r="D375" s="1" t="s">
        <v>654</v>
      </c>
      <c r="E375" s="1" t="s">
        <v>762</v>
      </c>
      <c r="F375" s="1" t="s">
        <v>848</v>
      </c>
      <c r="G375" s="1" t="s">
        <v>856</v>
      </c>
      <c r="H375" s="1">
        <v>-91.7983333</v>
      </c>
      <c r="I375" s="1">
        <v>30.9825</v>
      </c>
      <c r="J375" s="1">
        <f>HYPERLINK("https://waterdata.usgs.gov/nwis/nwismap/?site_no=07381490&amp;agency_cd=USGS", "US07381490")</f>
        <v>0</v>
      </c>
      <c r="K375" s="1" t="s">
        <v>861</v>
      </c>
      <c r="L375" s="1" t="s">
        <v>867</v>
      </c>
      <c r="M375" s="1">
        <v>3733575</v>
      </c>
      <c r="N375" s="1">
        <v>0.023</v>
      </c>
      <c r="O375" s="1" t="s">
        <v>869</v>
      </c>
      <c r="P375" s="1" t="s">
        <v>874</v>
      </c>
      <c r="Q375" s="1">
        <v>-999999</v>
      </c>
      <c r="R375" s="1">
        <v>-999999</v>
      </c>
      <c r="S375" s="2">
        <f>HYPERLINK("https://vdatum.noaa.gov/vdatumweb/api/convert?s_x=-91.7983333&amp;s_y=30.9825&amp;s_z=0.0&amp;region=contiguous&amp;s_h_frame=NAD83_2011&amp;s_coor=geo&amp;s_v_frame=NAVD88&amp;s_v_unit=us_ft&amp;t_h_frame=NAD83_2011&amp;t_coor=geo&amp;t_v_frame=MLLW&amp;t_v_unit=us_ft", "Missing")</f>
        <v>0</v>
      </c>
      <c r="T375" s="2">
        <f>HYPERLINK("https://vdatum.noaa.gov/vdatumweb/api/convert?s_x=-91.7983333&amp;s_y=30.9825&amp;s_z=0.0&amp;region=contiguous&amp;s_h_frame=NAD83_2011&amp;s_coor=geo&amp;s_v_frame=NAVD88&amp;s_v_unit=us_ft&amp;t_h_frame=NAD83_2011&amp;t_coor=geo&amp;t_v_frame=MHHW&amp;t_v_unit=us_ft", "Missing")</f>
        <v>0</v>
      </c>
    </row>
    <row r="376" spans="1:20">
      <c r="A376" s="1" t="s">
        <v>400</v>
      </c>
      <c r="B376" s="1" t="s">
        <v>629</v>
      </c>
      <c r="C376" s="1" t="s">
        <v>649</v>
      </c>
      <c r="D376" s="1" t="s">
        <v>654</v>
      </c>
      <c r="E376" s="1" t="s">
        <v>759</v>
      </c>
      <c r="F376" s="1" t="s">
        <v>848</v>
      </c>
      <c r="G376" s="1" t="s">
        <v>856</v>
      </c>
      <c r="H376" s="1">
        <v>-91.7362262</v>
      </c>
      <c r="I376" s="1">
        <v>30.690743</v>
      </c>
      <c r="J376" s="1">
        <f>HYPERLINK("https://waterdata.usgs.gov/nwis/nwismap/?site_no=07381495&amp;agency_cd=USGS", "US07381495")</f>
        <v>0</v>
      </c>
      <c r="K376" s="1" t="s">
        <v>861</v>
      </c>
      <c r="L376" s="1" t="s">
        <v>867</v>
      </c>
      <c r="M376" s="1">
        <v>9958381</v>
      </c>
      <c r="N376" s="1">
        <v>-0.05</v>
      </c>
      <c r="O376" s="1" t="s">
        <v>869</v>
      </c>
      <c r="P376" s="1" t="s">
        <v>874</v>
      </c>
      <c r="Q376" s="1">
        <v>-999999</v>
      </c>
      <c r="R376" s="1">
        <v>-999999</v>
      </c>
      <c r="S376" s="2">
        <f>HYPERLINK("https://vdatum.noaa.gov/vdatumweb/api/convert?s_x=-91.7362262&amp;s_y=30.690743&amp;s_z=0.0&amp;region=contiguous&amp;s_h_frame=NAD83_2011&amp;s_coor=geo&amp;s_v_frame=NAVD88&amp;s_v_unit=us_ft&amp;t_h_frame=NAD83_2011&amp;t_coor=geo&amp;t_v_frame=MLLW&amp;t_v_unit=us_ft", "Missing")</f>
        <v>0</v>
      </c>
      <c r="T376" s="2">
        <f>HYPERLINK("https://vdatum.noaa.gov/vdatumweb/api/convert?s_x=-91.7362262&amp;s_y=30.690743&amp;s_z=0.0&amp;region=contiguous&amp;s_h_frame=NAD83_2011&amp;s_coor=geo&amp;s_v_frame=NAVD88&amp;s_v_unit=us_ft&amp;t_h_frame=NAD83_2011&amp;t_coor=geo&amp;t_v_frame=MHHW&amp;t_v_unit=us_ft", "Missing")</f>
        <v>0</v>
      </c>
    </row>
    <row r="377" spans="1:20">
      <c r="A377" s="1" t="s">
        <v>401</v>
      </c>
      <c r="B377" s="1" t="s">
        <v>629</v>
      </c>
      <c r="C377" s="1" t="s">
        <v>649</v>
      </c>
      <c r="D377" s="1" t="s">
        <v>654</v>
      </c>
      <c r="E377" s="1" t="s">
        <v>763</v>
      </c>
      <c r="F377" s="1" t="s">
        <v>848</v>
      </c>
      <c r="G377" s="1" t="s">
        <v>856</v>
      </c>
      <c r="H377" s="1">
        <v>-91.6867797</v>
      </c>
      <c r="I377" s="1">
        <v>30.28158638</v>
      </c>
      <c r="J377" s="1">
        <f>HYPERLINK("https://waterdata.usgs.gov/nwis/nwismap/?site_no=07381515&amp;agency_cd=USGS", "US07381515")</f>
        <v>0</v>
      </c>
      <c r="K377" s="1" t="s">
        <v>861</v>
      </c>
      <c r="L377" s="1" t="s">
        <v>867</v>
      </c>
      <c r="M377" s="1">
        <v>10188406</v>
      </c>
      <c r="N377" s="1">
        <v>-0.171</v>
      </c>
      <c r="O377" s="1" t="s">
        <v>869</v>
      </c>
      <c r="P377" s="1" t="s">
        <v>874</v>
      </c>
      <c r="Q377" s="1">
        <v>-999999</v>
      </c>
      <c r="R377" s="1">
        <v>-999999</v>
      </c>
      <c r="S377" s="2">
        <f>HYPERLINK("https://vdatum.noaa.gov/vdatumweb/api/convert?s_x=-91.6867797&amp;s_y=30.28158638&amp;s_z=0.0&amp;region=contiguous&amp;s_h_frame=NAD83_2011&amp;s_coor=geo&amp;s_v_frame=NAVD88&amp;s_v_unit=us_ft&amp;t_h_frame=NAD83_2011&amp;t_coor=geo&amp;t_v_frame=MLLW&amp;t_v_unit=us_ft", "Missing")</f>
        <v>0</v>
      </c>
      <c r="T377" s="2">
        <f>HYPERLINK("https://vdatum.noaa.gov/vdatumweb/api/convert?s_x=-91.6867797&amp;s_y=30.28158638&amp;s_z=0.0&amp;region=contiguous&amp;s_h_frame=NAD83_2011&amp;s_coor=geo&amp;s_v_frame=NAVD88&amp;s_v_unit=us_ft&amp;t_h_frame=NAD83_2011&amp;t_coor=geo&amp;t_v_frame=MHHW&amp;t_v_unit=us_ft", "Missing")</f>
        <v>0</v>
      </c>
    </row>
    <row r="378" spans="1:20">
      <c r="A378" s="1" t="s">
        <v>402</v>
      </c>
      <c r="B378" s="1" t="s">
        <v>629</v>
      </c>
      <c r="C378" s="1" t="s">
        <v>649</v>
      </c>
      <c r="D378" s="1" t="s">
        <v>654</v>
      </c>
      <c r="E378" s="1" t="s">
        <v>755</v>
      </c>
      <c r="F378" s="1" t="s">
        <v>848</v>
      </c>
      <c r="G378" s="1" t="s">
        <v>856</v>
      </c>
      <c r="H378" s="1">
        <v>-91.44566620000001</v>
      </c>
      <c r="I378" s="1">
        <v>29.89270406</v>
      </c>
      <c r="J378" s="1">
        <f>HYPERLINK("https://waterdata.usgs.gov/nwis/nwismap/?site_no=073815450&amp;agency_cd=USGS", "US073815450")</f>
        <v>0</v>
      </c>
      <c r="K378" s="1" t="s">
        <v>861</v>
      </c>
      <c r="L378" s="1" t="s">
        <v>867</v>
      </c>
      <c r="M378" s="1">
        <v>9786814</v>
      </c>
      <c r="N378" s="1">
        <v>0</v>
      </c>
      <c r="O378" s="1" t="s">
        <v>869</v>
      </c>
      <c r="P378" s="1" t="s">
        <v>874</v>
      </c>
      <c r="Q378" s="1">
        <v>-1.326</v>
      </c>
      <c r="R378" s="1">
        <v>-2.071</v>
      </c>
      <c r="S378" s="2">
        <f>HYPERLINK("https://vdatum.noaa.gov/vdatumweb/api/convert?s_x=-91.4456662&amp;s_y=29.89270406&amp;s_z=0.0&amp;region=contiguous&amp;s_h_frame=NAD83_2011&amp;s_coor=geo&amp;s_v_frame=NAVD88&amp;s_v_unit=us_ft&amp;t_h_frame=NAD83_2011&amp;t_coor=geo&amp;t_v_frame=MLLW&amp;t_v_unit=us_ft", "NAVD88 to MLLW")</f>
        <v>0</v>
      </c>
      <c r="T378" s="2">
        <f>HYPERLINK("https://vdatum.noaa.gov/vdatumweb/api/convert?s_x=-91.4456662&amp;s_y=29.89270406&amp;s_z=0.0&amp;region=contiguous&amp;s_h_frame=NAD83_2011&amp;s_coor=geo&amp;s_v_frame=NAVD88&amp;s_v_unit=us_ft&amp;t_h_frame=NAD83_2011&amp;t_coor=geo&amp;t_v_frame=MHHW&amp;t_v_unit=us_ft", "NAVD88 to MHHW")</f>
        <v>0</v>
      </c>
    </row>
    <row r="379" spans="1:20">
      <c r="A379" s="1" t="s">
        <v>403</v>
      </c>
      <c r="B379" s="1" t="s">
        <v>629</v>
      </c>
      <c r="C379" s="1" t="s">
        <v>649</v>
      </c>
      <c r="D379" s="1" t="s">
        <v>654</v>
      </c>
      <c r="E379" s="1" t="s">
        <v>755</v>
      </c>
      <c r="F379" s="1" t="s">
        <v>848</v>
      </c>
      <c r="G379" s="1" t="s">
        <v>856</v>
      </c>
      <c r="H379" s="1">
        <v>-91.37287954999999</v>
      </c>
      <c r="I379" s="1">
        <v>29.69798113</v>
      </c>
      <c r="J379" s="1">
        <f>HYPERLINK("https://waterdata.usgs.gov/nwis/nwismap/?site_no=07381590&amp;agency_cd=USGS", "US07381590")</f>
        <v>0</v>
      </c>
      <c r="K379" s="1" t="s">
        <v>861</v>
      </c>
      <c r="L379" s="1" t="s">
        <v>867</v>
      </c>
      <c r="M379" s="1">
        <v>9742289</v>
      </c>
      <c r="N379" s="1">
        <v>-0.17</v>
      </c>
      <c r="O379" s="1" t="s">
        <v>869</v>
      </c>
      <c r="P379" s="1" t="s">
        <v>874</v>
      </c>
      <c r="Q379" s="1">
        <v>-999999</v>
      </c>
      <c r="R379" s="1">
        <v>-999999</v>
      </c>
      <c r="S379" s="2">
        <f>HYPERLINK("https://vdatum.noaa.gov/vdatumweb/api/convert?s_x=-91.37287955&amp;s_y=29.69798113&amp;s_z=0.0&amp;region=contiguous&amp;s_h_frame=NAD83_2011&amp;s_coor=geo&amp;s_v_frame=NAVD88&amp;s_v_unit=us_ft&amp;t_h_frame=NAD83_2011&amp;t_coor=geo&amp;t_v_frame=MLLW&amp;t_v_unit=us_ft", "Missing")</f>
        <v>0</v>
      </c>
      <c r="T379" s="2">
        <f>HYPERLINK("https://vdatum.noaa.gov/vdatumweb/api/convert?s_x=-91.37287955&amp;s_y=29.69798113&amp;s_z=0.0&amp;region=contiguous&amp;s_h_frame=NAD83_2011&amp;s_coor=geo&amp;s_v_frame=NAVD88&amp;s_v_unit=us_ft&amp;t_h_frame=NAD83_2011&amp;t_coor=geo&amp;t_v_frame=MHHW&amp;t_v_unit=us_ft", "Missing")</f>
        <v>0</v>
      </c>
    </row>
    <row r="380" spans="1:20">
      <c r="A380" s="1" t="s">
        <v>404</v>
      </c>
      <c r="B380" s="1" t="s">
        <v>629</v>
      </c>
      <c r="C380" s="1" t="s">
        <v>649</v>
      </c>
      <c r="D380" s="1" t="s">
        <v>654</v>
      </c>
      <c r="E380" s="1" t="s">
        <v>755</v>
      </c>
      <c r="F380" s="1" t="s">
        <v>848</v>
      </c>
      <c r="G380" s="1" t="s">
        <v>856</v>
      </c>
      <c r="H380" s="1">
        <v>-91.21193089</v>
      </c>
      <c r="I380" s="1">
        <v>29.69281407</v>
      </c>
      <c r="J380" s="1">
        <f>HYPERLINK("https://waterdata.usgs.gov/nwis/nwismap/?site_no=07381600&amp;agency_cd=USGS", "US07381600")</f>
        <v>0</v>
      </c>
      <c r="K380" s="1" t="s">
        <v>861</v>
      </c>
      <c r="L380" s="1" t="s">
        <v>867</v>
      </c>
      <c r="M380" s="1">
        <v>10199768</v>
      </c>
      <c r="N380" s="1">
        <v>-0.14</v>
      </c>
      <c r="O380" s="1" t="s">
        <v>869</v>
      </c>
      <c r="P380" s="1" t="s">
        <v>874</v>
      </c>
      <c r="Q380" s="1">
        <v>-1.217</v>
      </c>
      <c r="R380" s="1">
        <v>-1.975</v>
      </c>
      <c r="S380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LLW&amp;t_v_unit=us_ft", "NAVD88 to MLLW")</f>
        <v>0</v>
      </c>
      <c r="T380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HHW&amp;t_v_unit=us_ft", "NAVD88 to MHHW")</f>
        <v>0</v>
      </c>
    </row>
    <row r="381" spans="1:20">
      <c r="A381" s="1" t="s">
        <v>405</v>
      </c>
      <c r="B381" s="1" t="s">
        <v>629</v>
      </c>
      <c r="C381" s="1" t="s">
        <v>649</v>
      </c>
      <c r="D381" s="1" t="s">
        <v>654</v>
      </c>
      <c r="E381" s="1" t="s">
        <v>755</v>
      </c>
      <c r="F381" s="1" t="s">
        <v>848</v>
      </c>
      <c r="G381" s="1" t="s">
        <v>856</v>
      </c>
      <c r="H381" s="1">
        <v>-91.21193089</v>
      </c>
      <c r="I381" s="1">
        <v>29.69281407</v>
      </c>
      <c r="J381" s="1">
        <f>HYPERLINK("https://waterdata.usgs.gov/nwis/nwismap/?site_no=07381600&amp;agency_cd=USGS", "US07381600")</f>
        <v>0</v>
      </c>
      <c r="K381" s="1" t="s">
        <v>861</v>
      </c>
      <c r="L381" s="1" t="s">
        <v>867</v>
      </c>
      <c r="M381" s="1">
        <v>10199768</v>
      </c>
      <c r="N381" s="1">
        <v>-0.14</v>
      </c>
      <c r="O381" s="1" t="s">
        <v>869</v>
      </c>
      <c r="P381" s="1" t="s">
        <v>874</v>
      </c>
      <c r="Q381" s="1">
        <v>-1.217</v>
      </c>
      <c r="R381" s="1">
        <v>-1.975</v>
      </c>
      <c r="S381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LLW&amp;t_v_unit=us_ft", "NAVD88 to MLLW")</f>
        <v>0</v>
      </c>
      <c r="T381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HHW&amp;t_v_unit=us_ft", "NAVD88 to MHHW")</f>
        <v>0</v>
      </c>
    </row>
    <row r="382" spans="1:20">
      <c r="A382" s="1" t="s">
        <v>406</v>
      </c>
      <c r="B382" s="1" t="s">
        <v>629</v>
      </c>
      <c r="C382" s="1" t="s">
        <v>649</v>
      </c>
      <c r="D382" s="1" t="s">
        <v>654</v>
      </c>
      <c r="E382" s="1" t="s">
        <v>764</v>
      </c>
      <c r="F382" s="1" t="s">
        <v>848</v>
      </c>
      <c r="G382" s="1" t="s">
        <v>856</v>
      </c>
      <c r="H382" s="1">
        <v>-92.5905556</v>
      </c>
      <c r="I382" s="1">
        <v>30.19</v>
      </c>
      <c r="J382" s="1">
        <f>HYPERLINK("https://waterdata.usgs.gov/nwis/nwismap/?site_no=08012150&amp;agency_cd=USGS", "US08012150")</f>
        <v>0</v>
      </c>
      <c r="K382" s="1" t="s">
        <v>861</v>
      </c>
      <c r="L382" s="1" t="s">
        <v>867</v>
      </c>
      <c r="M382" s="1">
        <v>7281226</v>
      </c>
      <c r="N382" s="1">
        <v>-0.332</v>
      </c>
      <c r="O382" s="1" t="s">
        <v>869</v>
      </c>
      <c r="P382" s="1" t="s">
        <v>874</v>
      </c>
      <c r="Q382" s="1">
        <v>-999999</v>
      </c>
      <c r="R382" s="1">
        <v>-999999</v>
      </c>
      <c r="S382" s="2">
        <f>HYPERLINK("https://vdatum.noaa.gov/vdatumweb/api/convert?s_x=-92.5905556&amp;s_y=30.19&amp;s_z=0.0&amp;region=contiguous&amp;s_h_frame=NAD83_2011&amp;s_coor=geo&amp;s_v_frame=NAVD88&amp;s_v_unit=us_ft&amp;t_h_frame=NAD83_2011&amp;t_coor=geo&amp;t_v_frame=MLLW&amp;t_v_unit=us_ft", "Missing")</f>
        <v>0</v>
      </c>
      <c r="T382" s="2">
        <f>HYPERLINK("https://vdatum.noaa.gov/vdatumweb/api/convert?s_x=-92.5905556&amp;s_y=30.19&amp;s_z=0.0&amp;region=contiguous&amp;s_h_frame=NAD83_2011&amp;s_coor=geo&amp;s_v_frame=NAVD88&amp;s_v_unit=us_ft&amp;t_h_frame=NAD83_2011&amp;t_coor=geo&amp;t_v_frame=MHHW&amp;t_v_unit=us_ft", "Missing")</f>
        <v>0</v>
      </c>
    </row>
    <row r="383" spans="1:20">
      <c r="A383" s="1" t="s">
        <v>407</v>
      </c>
      <c r="B383" s="1" t="s">
        <v>629</v>
      </c>
      <c r="C383" s="1" t="s">
        <v>649</v>
      </c>
      <c r="D383" s="1" t="s">
        <v>654</v>
      </c>
      <c r="H383" s="1">
        <v>-93.29959242</v>
      </c>
      <c r="I383" s="1">
        <v>30.03187328</v>
      </c>
      <c r="J383" s="1">
        <f>HYPERLINK("https://waterdata.usgs.gov/nwis/nwismap/?site_no=08017095&amp;agency_cd=USGS", "US08017095")</f>
        <v>0</v>
      </c>
      <c r="K383" s="1" t="s">
        <v>861</v>
      </c>
      <c r="L383" s="1" t="s">
        <v>867</v>
      </c>
      <c r="M383" s="1">
        <v>8762153</v>
      </c>
      <c r="N383" s="1">
        <v>-0.88</v>
      </c>
      <c r="O383" s="1" t="s">
        <v>869</v>
      </c>
      <c r="P383" s="1" t="s">
        <v>874</v>
      </c>
      <c r="Q383" s="1">
        <v>0.07000000000000001</v>
      </c>
      <c r="R383" s="1">
        <v>-0.881</v>
      </c>
      <c r="S383" s="2">
        <f>HYPERLINK("https://vdatum.noaa.gov/vdatumweb/api/convert?s_x=-93.29959242&amp;s_y=30.03187328&amp;s_z=0.0&amp;region=contiguous&amp;s_h_frame=NAD83_2011&amp;s_coor=geo&amp;s_v_frame=NAVD88&amp;s_v_unit=us_ft&amp;t_h_frame=NAD83_2011&amp;t_coor=geo&amp;t_v_frame=MLLW&amp;t_v_unit=us_ft", "NAVD88 to MLLW")</f>
        <v>0</v>
      </c>
      <c r="T383" s="2">
        <f>HYPERLINK("https://vdatum.noaa.gov/vdatumweb/api/convert?s_x=-93.29959242&amp;s_y=30.03187328&amp;s_z=0.0&amp;region=contiguous&amp;s_h_frame=NAD83_2011&amp;s_coor=geo&amp;s_v_frame=NAVD88&amp;s_v_unit=us_ft&amp;t_h_frame=NAD83_2011&amp;t_coor=geo&amp;t_v_frame=MHHW&amp;t_v_unit=us_ft", "NAVD88 to MHHW")</f>
        <v>0</v>
      </c>
    </row>
    <row r="384" spans="1:20">
      <c r="A384" s="1" t="s">
        <v>408</v>
      </c>
      <c r="B384" s="1" t="s">
        <v>630</v>
      </c>
      <c r="C384" s="1" t="s">
        <v>649</v>
      </c>
      <c r="D384" s="1" t="s">
        <v>654</v>
      </c>
      <c r="E384" s="1" t="s">
        <v>765</v>
      </c>
      <c r="F384" s="1" t="s">
        <v>849</v>
      </c>
      <c r="G384" s="1" t="s">
        <v>856</v>
      </c>
      <c r="H384" s="1">
        <v>-88.4029</v>
      </c>
      <c r="I384" s="1">
        <v>30.41319</v>
      </c>
      <c r="J384" s="1">
        <f>HYPERLINK("https://tidesandcurrents.noaa.gov/stationhome.html?id=8740166", "8740166")</f>
        <v>0</v>
      </c>
      <c r="K384" s="1" t="s">
        <v>860</v>
      </c>
      <c r="L384" s="1" t="s">
        <v>866</v>
      </c>
      <c r="M384" s="1">
        <v>6707044</v>
      </c>
      <c r="N384" s="1">
        <v>0</v>
      </c>
      <c r="O384" s="1" t="s">
        <v>869</v>
      </c>
      <c r="P384" s="1" t="s">
        <v>874</v>
      </c>
      <c r="Q384" s="1">
        <v>-999999</v>
      </c>
      <c r="R384" s="1">
        <v>-999999</v>
      </c>
      <c r="S384" s="2">
        <f>HYPERLINK("https://vdatum.noaa.gov/vdatumweb/api/convert?s_x=-88.4029&amp;s_y=30.41319&amp;s_z=0.0&amp;region=contiguous&amp;s_h_frame=NAD83_2011&amp;s_coor=geo&amp;s_v_frame=NAVD88&amp;s_v_unit=us_ft&amp;t_h_frame=NAD83_2011&amp;t_coor=geo&amp;t_v_frame=MLLW&amp;t_v_unit=us_ft", "Missing")</f>
        <v>0</v>
      </c>
      <c r="T384" s="2">
        <f>HYPERLINK("https://vdatum.noaa.gov/vdatumweb/api/convert?s_x=-88.4029&amp;s_y=30.41319&amp;s_z=0.0&amp;region=contiguous&amp;s_h_frame=NAD83_2011&amp;s_coor=geo&amp;s_v_frame=NAVD88&amp;s_v_unit=us_ft&amp;t_h_frame=NAD83_2011&amp;t_coor=geo&amp;t_v_frame=MHHW&amp;t_v_unit=us_ft", "Missing")</f>
        <v>0</v>
      </c>
    </row>
    <row r="385" spans="1:20">
      <c r="A385" s="1" t="s">
        <v>409</v>
      </c>
      <c r="B385" s="1" t="s">
        <v>630</v>
      </c>
      <c r="C385" s="1" t="s">
        <v>649</v>
      </c>
      <c r="D385" s="1" t="s">
        <v>654</v>
      </c>
      <c r="E385" s="1" t="s">
        <v>765</v>
      </c>
      <c r="F385" s="1" t="s">
        <v>849</v>
      </c>
      <c r="G385" s="1" t="s">
        <v>856</v>
      </c>
      <c r="H385" s="1">
        <v>-88.50579999999999</v>
      </c>
      <c r="I385" s="1">
        <v>30.34778</v>
      </c>
      <c r="J385" s="1">
        <f>HYPERLINK("https://tidesandcurrents.noaa.gov/stationhome.html?id=8741041", "8741041")</f>
        <v>0</v>
      </c>
      <c r="K385" s="1" t="s">
        <v>860</v>
      </c>
      <c r="L385" s="1" t="s">
        <v>866</v>
      </c>
      <c r="M385" s="1">
        <v>8000909</v>
      </c>
      <c r="N385" s="1">
        <v>0</v>
      </c>
      <c r="O385" s="1" t="s">
        <v>869</v>
      </c>
      <c r="P385" s="1" t="s">
        <v>874</v>
      </c>
      <c r="Q385" s="1">
        <v>-999999</v>
      </c>
      <c r="R385" s="1">
        <v>-999999</v>
      </c>
      <c r="S385" s="2">
        <f>HYPERLINK("https://vdatum.noaa.gov/vdatumweb/api/convert?s_x=-88.5058&amp;s_y=30.34778&amp;s_z=0.0&amp;region=contiguous&amp;s_h_frame=NAD83_2011&amp;s_coor=geo&amp;s_v_frame=NAVD88&amp;s_v_unit=us_ft&amp;t_h_frame=NAD83_2011&amp;t_coor=geo&amp;t_v_frame=MLLW&amp;t_v_unit=us_ft", "Missing")</f>
        <v>0</v>
      </c>
      <c r="T385" s="2">
        <f>HYPERLINK("https://vdatum.noaa.gov/vdatumweb/api/convert?s_x=-88.5058&amp;s_y=30.34778&amp;s_z=0.0&amp;region=contiguous&amp;s_h_frame=NAD83_2011&amp;s_coor=geo&amp;s_v_frame=NAVD88&amp;s_v_unit=us_ft&amp;t_h_frame=NAD83_2011&amp;t_coor=geo&amp;t_v_frame=MHHW&amp;t_v_unit=us_ft", "Missing")</f>
        <v>0</v>
      </c>
    </row>
    <row r="386" spans="1:20">
      <c r="A386" s="1" t="s">
        <v>410</v>
      </c>
      <c r="B386" s="1" t="s">
        <v>630</v>
      </c>
      <c r="C386" s="1" t="s">
        <v>649</v>
      </c>
      <c r="D386" s="1" t="s">
        <v>654</v>
      </c>
      <c r="E386" s="1" t="s">
        <v>765</v>
      </c>
      <c r="F386" s="1" t="s">
        <v>849</v>
      </c>
      <c r="G386" s="1" t="s">
        <v>856</v>
      </c>
      <c r="H386" s="1">
        <v>-88.56310000000001</v>
      </c>
      <c r="I386" s="1">
        <v>30.36778</v>
      </c>
      <c r="J386" s="1">
        <f>HYPERLINK("https://tidesandcurrents.noaa.gov/stationhome.html?id=8741533", "8741533")</f>
        <v>0</v>
      </c>
      <c r="K386" s="1" t="s">
        <v>860</v>
      </c>
      <c r="L386" s="1" t="s">
        <v>866</v>
      </c>
      <c r="M386" s="1">
        <v>7664388</v>
      </c>
      <c r="N386" s="1">
        <v>0</v>
      </c>
      <c r="O386" s="1" t="s">
        <v>869</v>
      </c>
      <c r="P386" s="1" t="s">
        <v>874</v>
      </c>
      <c r="Q386" s="1">
        <v>-999999</v>
      </c>
      <c r="R386" s="1">
        <v>-999999</v>
      </c>
      <c r="S386" s="2">
        <f>HYPERLINK("https://vdatum.noaa.gov/vdatumweb/api/convert?s_x=-88.5631&amp;s_y=30.36778&amp;s_z=0.0&amp;region=contiguous&amp;s_h_frame=NAD83_2011&amp;s_coor=geo&amp;s_v_frame=NAVD88&amp;s_v_unit=us_ft&amp;t_h_frame=NAD83_2011&amp;t_coor=geo&amp;t_v_frame=MLLW&amp;t_v_unit=us_ft", "Missing")</f>
        <v>0</v>
      </c>
      <c r="T386" s="2">
        <f>HYPERLINK("https://vdatum.noaa.gov/vdatumweb/api/convert?s_x=-88.5631&amp;s_y=30.36778&amp;s_z=0.0&amp;region=contiguous&amp;s_h_frame=NAD83_2011&amp;s_coor=geo&amp;s_v_frame=NAVD88&amp;s_v_unit=us_ft&amp;t_h_frame=NAD83_2011&amp;t_coor=geo&amp;t_v_frame=MHHW&amp;t_v_unit=us_ft", "Missing")</f>
        <v>0</v>
      </c>
    </row>
    <row r="387" spans="1:20">
      <c r="A387" s="1" t="s">
        <v>411</v>
      </c>
      <c r="B387" s="1" t="s">
        <v>630</v>
      </c>
      <c r="D387" s="1" t="s">
        <v>654</v>
      </c>
      <c r="H387" s="1">
        <v>-89.325</v>
      </c>
      <c r="I387" s="1">
        <v>30.325</v>
      </c>
      <c r="J387" s="1">
        <f>HYPERLINK("https://tidesandcurrents.noaa.gov/stationhome.html?id=8747437", "8747437")</f>
        <v>0</v>
      </c>
      <c r="K387" s="1" t="s">
        <v>860</v>
      </c>
      <c r="L387" s="1" t="s">
        <v>866</v>
      </c>
      <c r="M387" s="1">
        <v>5499340</v>
      </c>
      <c r="N387" s="1">
        <v>0</v>
      </c>
      <c r="O387" s="1" t="s">
        <v>869</v>
      </c>
      <c r="P387" s="1" t="s">
        <v>874</v>
      </c>
      <c r="Q387" s="1">
        <v>0.328</v>
      </c>
      <c r="R387" s="1">
        <v>-1.401</v>
      </c>
      <c r="S387" s="2">
        <f>HYPERLINK("https://vdatum.noaa.gov/vdatumweb/api/convert?s_x=-89.325&amp;s_y=30.325&amp;s_z=0.0&amp;region=contiguous&amp;s_h_frame=NAD83_2011&amp;s_coor=geo&amp;s_v_frame=NAVD88&amp;s_v_unit=us_ft&amp;t_h_frame=NAD83_2011&amp;t_coor=geo&amp;t_v_frame=MLLW&amp;t_v_unit=us_ft", "NAVD88 to MLLW")</f>
        <v>0</v>
      </c>
      <c r="T387" s="2">
        <f>HYPERLINK("https://vdatum.noaa.gov/vdatumweb/api/convert?s_x=-89.325&amp;s_y=30.325&amp;s_z=0.0&amp;region=contiguous&amp;s_h_frame=NAD83_2011&amp;s_coor=geo&amp;s_v_frame=NAVD88&amp;s_v_unit=us_ft&amp;t_h_frame=NAD83_2011&amp;t_coor=geo&amp;t_v_frame=MHHW&amp;t_v_unit=us_ft", "NAVD88 to MHHW")</f>
        <v>0</v>
      </c>
    </row>
    <row r="388" spans="1:20">
      <c r="A388" s="1" t="s">
        <v>412</v>
      </c>
      <c r="B388" s="1" t="s">
        <v>630</v>
      </c>
      <c r="C388" s="1" t="s">
        <v>649</v>
      </c>
      <c r="D388" s="1" t="s">
        <v>654</v>
      </c>
      <c r="E388" s="1" t="s">
        <v>766</v>
      </c>
      <c r="F388" s="1" t="s">
        <v>848</v>
      </c>
      <c r="G388" s="1" t="s">
        <v>856</v>
      </c>
      <c r="H388" s="1">
        <v>-89.61499999999999</v>
      </c>
      <c r="I388" s="1">
        <v>30.24</v>
      </c>
      <c r="J388" s="1">
        <f>HYPERLINK("https://tidesandcurrents.noaa.gov/stationhome.html?id=8749704", "8749704")</f>
        <v>0</v>
      </c>
      <c r="K388" s="1" t="s">
        <v>861</v>
      </c>
      <c r="L388" s="1" t="s">
        <v>866</v>
      </c>
      <c r="M388" s="1">
        <v>9397585</v>
      </c>
      <c r="N388" s="1">
        <v>0</v>
      </c>
      <c r="O388" s="1" t="s">
        <v>869</v>
      </c>
      <c r="P388" s="1" t="s">
        <v>874</v>
      </c>
      <c r="Q388" s="1">
        <v>-999999</v>
      </c>
      <c r="R388" s="1">
        <v>-999999</v>
      </c>
      <c r="S388" s="2">
        <f>HYPERLINK("https://vdatum.noaa.gov/vdatumweb/api/convert?s_x=-89.615&amp;s_y=30.24&amp;s_z=0.0&amp;region=contiguous&amp;s_h_frame=NAD83_2011&amp;s_coor=geo&amp;s_v_frame=NAVD88&amp;s_v_unit=us_ft&amp;t_h_frame=NAD83_2011&amp;t_coor=geo&amp;t_v_frame=MLLW&amp;t_v_unit=us_ft", "Missing")</f>
        <v>0</v>
      </c>
      <c r="T388" s="2">
        <f>HYPERLINK("https://vdatum.noaa.gov/vdatumweb/api/convert?s_x=-89.615&amp;s_y=30.24&amp;s_z=0.0&amp;region=contiguous&amp;s_h_frame=NAD83_2011&amp;s_coor=geo&amp;s_v_frame=NAVD88&amp;s_v_unit=us_ft&amp;t_h_frame=NAD83_2011&amp;t_coor=geo&amp;t_v_frame=MHHW&amp;t_v_unit=us_ft", "Missing")</f>
        <v>0</v>
      </c>
    </row>
    <row r="389" spans="1:20">
      <c r="A389" s="1" t="s">
        <v>413</v>
      </c>
      <c r="B389" s="1" t="s">
        <v>630</v>
      </c>
      <c r="C389" s="1" t="s">
        <v>649</v>
      </c>
      <c r="D389" s="1" t="s">
        <v>654</v>
      </c>
      <c r="E389" s="1" t="s">
        <v>767</v>
      </c>
      <c r="F389" s="1" t="s">
        <v>848</v>
      </c>
      <c r="G389" s="1" t="s">
        <v>856</v>
      </c>
      <c r="H389" s="1">
        <v>-89.25830000000001</v>
      </c>
      <c r="I389" s="1">
        <v>29.1783</v>
      </c>
      <c r="J389" s="1">
        <f>HYPERLINK("https://tidesandcurrents.noaa.gov/stationhome.html?id=8760721", "8760721")</f>
        <v>0</v>
      </c>
      <c r="K389" s="1" t="s">
        <v>860</v>
      </c>
      <c r="L389" s="1" t="s">
        <v>866</v>
      </c>
      <c r="M389" s="1">
        <v>9386538</v>
      </c>
      <c r="N389" s="1">
        <v>0.237</v>
      </c>
      <c r="O389" s="1" t="s">
        <v>869</v>
      </c>
      <c r="P389" s="1" t="s">
        <v>874</v>
      </c>
      <c r="Q389" s="1">
        <v>-0.259</v>
      </c>
      <c r="R389" s="1">
        <v>-1.285</v>
      </c>
      <c r="S389" s="2">
        <f>HYPERLINK("https://vdatum.noaa.gov/vdatumweb/api/convert?s_x=-89.2583&amp;s_y=29.1783&amp;s_z=0.0&amp;region=contiguous&amp;s_h_frame=NAD83_2011&amp;s_coor=geo&amp;s_v_frame=NAVD88&amp;s_v_unit=us_ft&amp;t_h_frame=NAD83_2011&amp;t_coor=geo&amp;t_v_frame=MLLW&amp;t_v_unit=us_ft", "NAVD88 to MLLW")</f>
        <v>0</v>
      </c>
      <c r="T389" s="2">
        <f>HYPERLINK("https://vdatum.noaa.gov/vdatumweb/api/convert?s_x=-89.2583&amp;s_y=29.1783&amp;s_z=0.0&amp;region=contiguous&amp;s_h_frame=NAD83_2011&amp;s_coor=geo&amp;s_v_frame=NAVD88&amp;s_v_unit=us_ft&amp;t_h_frame=NAD83_2011&amp;t_coor=geo&amp;t_v_frame=MHHW&amp;t_v_unit=us_ft", "NAVD88 to MHHW")</f>
        <v>0</v>
      </c>
    </row>
    <row r="390" spans="1:20">
      <c r="A390" s="1" t="s">
        <v>414</v>
      </c>
      <c r="B390" s="1" t="s">
        <v>630</v>
      </c>
      <c r="D390" s="1" t="s">
        <v>654</v>
      </c>
      <c r="H390" s="1">
        <v>-89.4075</v>
      </c>
      <c r="I390" s="1">
        <v>28.93222</v>
      </c>
      <c r="J390" s="1">
        <f>HYPERLINK("https://tidesandcurrents.noaa.gov/stationhome.html?id=8760922", "8760922")</f>
        <v>0</v>
      </c>
      <c r="K390" s="1" t="s">
        <v>860</v>
      </c>
      <c r="L390" s="1" t="s">
        <v>866</v>
      </c>
      <c r="M390" s="1">
        <v>2842929</v>
      </c>
      <c r="N390" s="1">
        <v>0.314</v>
      </c>
      <c r="O390" s="1" t="s">
        <v>869</v>
      </c>
      <c r="P390" s="1" t="s">
        <v>874</v>
      </c>
      <c r="Q390" s="1">
        <v>-0.41</v>
      </c>
      <c r="R390" s="1">
        <v>-1.637</v>
      </c>
      <c r="S390" s="2">
        <f>HYPERLINK("https://vdatum.noaa.gov/vdatumweb/api/convert?s_x=-89.4075&amp;s_y=28.93222&amp;s_z=0.0&amp;region=contiguous&amp;s_h_frame=NAD83_2011&amp;s_coor=geo&amp;s_v_frame=NAVD88&amp;s_v_unit=us_ft&amp;t_h_frame=NAD83_2011&amp;t_coor=geo&amp;t_v_frame=MLLW&amp;t_v_unit=us_ft", "NAVD88 to MLLW")</f>
        <v>0</v>
      </c>
      <c r="T390" s="2">
        <f>HYPERLINK("https://vdatum.noaa.gov/vdatumweb/api/convert?s_x=-89.4075&amp;s_y=28.93222&amp;s_z=0.0&amp;region=contiguous&amp;s_h_frame=NAD83_2011&amp;s_coor=geo&amp;s_v_frame=NAVD88&amp;s_v_unit=us_ft&amp;t_h_frame=NAD83_2011&amp;t_coor=geo&amp;t_v_frame=MHHW&amp;t_v_unit=us_ft", "NAVD88 to MHHW")</f>
        <v>0</v>
      </c>
    </row>
    <row r="391" spans="1:20">
      <c r="A391" s="1" t="s">
        <v>415</v>
      </c>
      <c r="B391" s="1" t="s">
        <v>630</v>
      </c>
      <c r="C391" s="1" t="s">
        <v>649</v>
      </c>
      <c r="D391" s="1" t="s">
        <v>654</v>
      </c>
      <c r="E391" s="1" t="s">
        <v>767</v>
      </c>
      <c r="F391" s="1" t="s">
        <v>848</v>
      </c>
      <c r="G391" s="1" t="s">
        <v>856</v>
      </c>
      <c r="H391" s="1">
        <v>-89.595</v>
      </c>
      <c r="I391" s="1">
        <v>29.39</v>
      </c>
      <c r="J391" s="1">
        <f>HYPERLINK("https://tidesandcurrents.noaa.gov/stationhome.html?id=8761193", "8761193")</f>
        <v>0</v>
      </c>
      <c r="K391" s="1" t="s">
        <v>861</v>
      </c>
      <c r="L391" s="1" t="s">
        <v>866</v>
      </c>
      <c r="M391" s="1">
        <v>9576260</v>
      </c>
      <c r="N391" s="1">
        <v>0</v>
      </c>
      <c r="O391" s="1" t="s">
        <v>869</v>
      </c>
      <c r="P391" s="1" t="s">
        <v>874</v>
      </c>
      <c r="Q391" s="1">
        <v>-999999</v>
      </c>
      <c r="R391" s="1">
        <v>-999999</v>
      </c>
      <c r="S391" s="2">
        <f>HYPERLINK("https://vdatum.noaa.gov/vdatumweb/api/convert?s_x=-89.595&amp;s_y=29.39&amp;s_z=0.0&amp;region=contiguous&amp;s_h_frame=NAD83_2011&amp;s_coor=geo&amp;s_v_frame=NAVD88&amp;s_v_unit=us_ft&amp;t_h_frame=NAD83_2011&amp;t_coor=geo&amp;t_v_frame=MLLW&amp;t_v_unit=us_ft", "Missing")</f>
        <v>0</v>
      </c>
      <c r="T391" s="2">
        <f>HYPERLINK("https://vdatum.noaa.gov/vdatumweb/api/convert?s_x=-89.595&amp;s_y=29.39&amp;s_z=0.0&amp;region=contiguous&amp;s_h_frame=NAD83_2011&amp;s_coor=geo&amp;s_v_frame=NAVD88&amp;s_v_unit=us_ft&amp;t_h_frame=NAD83_2011&amp;t_coor=geo&amp;t_v_frame=MHHW&amp;t_v_unit=us_ft", "Missing")</f>
        <v>0</v>
      </c>
    </row>
    <row r="392" spans="1:20">
      <c r="A392" s="1" t="s">
        <v>416</v>
      </c>
      <c r="B392" s="1" t="s">
        <v>630</v>
      </c>
      <c r="C392" s="1" t="s">
        <v>649</v>
      </c>
      <c r="D392" s="1" t="s">
        <v>654</v>
      </c>
      <c r="E392" s="1" t="s">
        <v>768</v>
      </c>
      <c r="F392" s="1" t="s">
        <v>848</v>
      </c>
      <c r="G392" s="1" t="s">
        <v>856</v>
      </c>
      <c r="H392" s="1">
        <v>-89.673</v>
      </c>
      <c r="I392" s="1">
        <v>29.8683</v>
      </c>
      <c r="J392" s="1">
        <f>HYPERLINK("https://tidesandcurrents.noaa.gov/stationhome.html?id=8761305", "8761305")</f>
        <v>0</v>
      </c>
      <c r="K392" s="1" t="s">
        <v>860</v>
      </c>
      <c r="L392" s="1" t="s">
        <v>866</v>
      </c>
      <c r="M392" s="1">
        <v>9731395</v>
      </c>
      <c r="N392" s="1">
        <v>0</v>
      </c>
      <c r="O392" s="1" t="s">
        <v>869</v>
      </c>
      <c r="P392" s="1" t="s">
        <v>874</v>
      </c>
      <c r="Q392" s="1">
        <v>0.099</v>
      </c>
      <c r="R392" s="1">
        <v>-1.424</v>
      </c>
      <c r="S392" s="2">
        <f>HYPERLINK("https://vdatum.noaa.gov/vdatumweb/api/convert?s_x=-89.673&amp;s_y=29.8683&amp;s_z=0.0&amp;region=contiguous&amp;s_h_frame=NAD83_2011&amp;s_coor=geo&amp;s_v_frame=NAVD88&amp;s_v_unit=us_ft&amp;t_h_frame=NAD83_2011&amp;t_coor=geo&amp;t_v_frame=MLLW&amp;t_v_unit=us_ft", "NAVD88 to MLLW")</f>
        <v>0</v>
      </c>
      <c r="T392" s="2">
        <f>HYPERLINK("https://vdatum.noaa.gov/vdatumweb/api/convert?s_x=-89.673&amp;s_y=29.8683&amp;s_z=0.0&amp;region=contiguous&amp;s_h_frame=NAD83_2011&amp;s_coor=geo&amp;s_v_frame=NAVD88&amp;s_v_unit=us_ft&amp;t_h_frame=NAD83_2011&amp;t_coor=geo&amp;t_v_frame=MHHW&amp;t_v_unit=us_ft", "NAVD88 to MHHW")</f>
        <v>0</v>
      </c>
    </row>
    <row r="393" spans="1:20">
      <c r="A393" s="1" t="s">
        <v>417</v>
      </c>
      <c r="B393" s="1" t="s">
        <v>630</v>
      </c>
      <c r="C393" s="1" t="s">
        <v>649</v>
      </c>
      <c r="D393" s="1" t="s">
        <v>654</v>
      </c>
      <c r="E393" s="1" t="s">
        <v>767</v>
      </c>
      <c r="F393" s="1" t="s">
        <v>848</v>
      </c>
      <c r="G393" s="1" t="s">
        <v>856</v>
      </c>
      <c r="H393" s="1">
        <v>-89.80500000000001</v>
      </c>
      <c r="I393" s="1">
        <v>29.5733</v>
      </c>
      <c r="J393" s="1">
        <f>HYPERLINK("https://tidesandcurrents.noaa.gov/stationhome.html?id=8761494", "8761494")</f>
        <v>0</v>
      </c>
      <c r="K393" s="1" t="s">
        <v>861</v>
      </c>
      <c r="L393" s="1" t="s">
        <v>866</v>
      </c>
      <c r="M393" s="1">
        <v>10153655</v>
      </c>
      <c r="N393" s="1">
        <v>0</v>
      </c>
      <c r="O393" s="1" t="s">
        <v>869</v>
      </c>
      <c r="P393" s="1" t="s">
        <v>874</v>
      </c>
      <c r="Q393" s="1">
        <v>-999999</v>
      </c>
      <c r="R393" s="1">
        <v>-999999</v>
      </c>
      <c r="S393" s="2">
        <f>HYPERLINK("https://vdatum.noaa.gov/vdatumweb/api/convert?s_x=-89.805&amp;s_y=29.5733&amp;s_z=0.0&amp;region=contiguous&amp;s_h_frame=NAD83_2011&amp;s_coor=geo&amp;s_v_frame=NAVD88&amp;s_v_unit=us_ft&amp;t_h_frame=NAD83_2011&amp;t_coor=geo&amp;t_v_frame=MLLW&amp;t_v_unit=us_ft", "Missing")</f>
        <v>0</v>
      </c>
      <c r="T393" s="2">
        <f>HYPERLINK("https://vdatum.noaa.gov/vdatumweb/api/convert?s_x=-89.805&amp;s_y=29.5733&amp;s_z=0.0&amp;region=contiguous&amp;s_h_frame=NAD83_2011&amp;s_coor=geo&amp;s_v_frame=NAVD88&amp;s_v_unit=us_ft&amp;t_h_frame=NAD83_2011&amp;t_coor=geo&amp;t_v_frame=MHHW&amp;t_v_unit=us_ft", "Missing")</f>
        <v>0</v>
      </c>
    </row>
    <row r="394" spans="1:20">
      <c r="A394" s="1" t="s">
        <v>418</v>
      </c>
      <c r="B394" s="1" t="s">
        <v>630</v>
      </c>
      <c r="C394" s="1" t="s">
        <v>649</v>
      </c>
      <c r="D394" s="1" t="s">
        <v>654</v>
      </c>
      <c r="E394" s="1" t="s">
        <v>758</v>
      </c>
      <c r="F394" s="1" t="s">
        <v>848</v>
      </c>
      <c r="G394" s="1" t="s">
        <v>856</v>
      </c>
      <c r="H394" s="1">
        <v>-89.95699999999999</v>
      </c>
      <c r="I394" s="1">
        <v>29.263</v>
      </c>
      <c r="J394" s="1">
        <f>HYPERLINK("https://tidesandcurrents.noaa.gov/stationhome.html?id=8761724", "8761724")</f>
        <v>0</v>
      </c>
      <c r="K394" s="1" t="s">
        <v>860</v>
      </c>
      <c r="L394" s="1" t="s">
        <v>866</v>
      </c>
      <c r="M394" s="1">
        <v>4866009</v>
      </c>
      <c r="N394" s="1">
        <v>0.055</v>
      </c>
      <c r="O394" s="1" t="s">
        <v>869</v>
      </c>
      <c r="P394" s="1" t="s">
        <v>874</v>
      </c>
      <c r="Q394" s="1">
        <v>0.354</v>
      </c>
      <c r="R394" s="1">
        <v>-0.702</v>
      </c>
      <c r="S394" s="2">
        <f>HYPERLINK("https://vdatum.noaa.gov/vdatumweb/api/convert?s_x=-89.957&amp;s_y=29.263&amp;s_z=0.0&amp;region=contiguous&amp;s_h_frame=NAD83_2011&amp;s_coor=geo&amp;s_v_frame=NAVD88&amp;s_v_unit=us_ft&amp;t_h_frame=NAD83_2011&amp;t_coor=geo&amp;t_v_frame=MLLW&amp;t_v_unit=us_ft", "NAVD88 to MLLW")</f>
        <v>0</v>
      </c>
      <c r="T394" s="2">
        <f>HYPERLINK("https://vdatum.noaa.gov/vdatumweb/api/convert?s_x=-89.957&amp;s_y=29.263&amp;s_z=0.0&amp;region=contiguous&amp;s_h_frame=NAD83_2011&amp;s_coor=geo&amp;s_v_frame=NAVD88&amp;s_v_unit=us_ft&amp;t_h_frame=NAD83_2011&amp;t_coor=geo&amp;t_v_frame=MHHW&amp;t_v_unit=us_ft", "NAVD88 to MHHW")</f>
        <v>0</v>
      </c>
    </row>
    <row r="395" spans="1:20">
      <c r="A395" s="1" t="s">
        <v>419</v>
      </c>
      <c r="B395" s="1" t="s">
        <v>630</v>
      </c>
      <c r="C395" s="1" t="s">
        <v>649</v>
      </c>
      <c r="D395" s="1" t="s">
        <v>654</v>
      </c>
      <c r="E395" s="1" t="s">
        <v>767</v>
      </c>
      <c r="F395" s="1" t="s">
        <v>848</v>
      </c>
      <c r="G395" s="1" t="s">
        <v>856</v>
      </c>
      <c r="H395" s="1">
        <v>-89.97329999999999</v>
      </c>
      <c r="I395" s="1">
        <v>29.69</v>
      </c>
      <c r="J395" s="1">
        <f>HYPERLINK("https://tidesandcurrents.noaa.gov/stationhome.html?id=8761727", "8761727")</f>
        <v>0</v>
      </c>
      <c r="K395" s="1" t="s">
        <v>861</v>
      </c>
      <c r="L395" s="1" t="s">
        <v>866</v>
      </c>
      <c r="M395" s="1">
        <v>10520382</v>
      </c>
      <c r="N395" s="1">
        <v>0</v>
      </c>
      <c r="O395" s="1" t="s">
        <v>869</v>
      </c>
      <c r="P395" s="1" t="s">
        <v>874</v>
      </c>
      <c r="Q395" s="1">
        <v>-999999</v>
      </c>
      <c r="R395" s="1">
        <v>-999999</v>
      </c>
      <c r="S395" s="2">
        <f>HYPERLINK("https://vdatum.noaa.gov/vdatumweb/api/convert?s_x=-89.9733&amp;s_y=29.69&amp;s_z=0.0&amp;region=contiguous&amp;s_h_frame=NAD83_2011&amp;s_coor=geo&amp;s_v_frame=NAVD88&amp;s_v_unit=us_ft&amp;t_h_frame=NAD83_2011&amp;t_coor=geo&amp;t_v_frame=MLLW&amp;t_v_unit=us_ft", "Missing")</f>
        <v>0</v>
      </c>
      <c r="T395" s="2">
        <f>HYPERLINK("https://vdatum.noaa.gov/vdatumweb/api/convert?s_x=-89.9733&amp;s_y=29.69&amp;s_z=0.0&amp;region=contiguous&amp;s_h_frame=NAD83_2011&amp;s_coor=geo&amp;s_v_frame=NAVD88&amp;s_v_unit=us_ft&amp;t_h_frame=NAD83_2011&amp;t_coor=geo&amp;t_v_frame=MHHW&amp;t_v_unit=us_ft", "Missing")</f>
        <v>0</v>
      </c>
    </row>
    <row r="396" spans="1:20">
      <c r="A396" s="1" t="s">
        <v>420</v>
      </c>
      <c r="B396" s="1" t="s">
        <v>630</v>
      </c>
      <c r="C396" s="1" t="s">
        <v>649</v>
      </c>
      <c r="D396" s="1" t="s">
        <v>654</v>
      </c>
      <c r="H396" s="1">
        <v>-90.1133</v>
      </c>
      <c r="I396" s="1">
        <v>30.02722</v>
      </c>
      <c r="J396" s="1">
        <f>HYPERLINK("https://tidesandcurrents.noaa.gov/stationhome.html?id=8761927", "8761927")</f>
        <v>0</v>
      </c>
      <c r="K396" s="1" t="s">
        <v>860</v>
      </c>
      <c r="L396" s="1" t="s">
        <v>866</v>
      </c>
      <c r="M396" s="1">
        <v>8301386</v>
      </c>
      <c r="N396" s="1">
        <v>0</v>
      </c>
      <c r="O396" s="1" t="s">
        <v>869</v>
      </c>
      <c r="P396" s="1" t="s">
        <v>874</v>
      </c>
      <c r="Q396" s="1">
        <v>0.032</v>
      </c>
      <c r="R396" s="1">
        <v>-0.48</v>
      </c>
      <c r="S396" s="2">
        <f>HYPERLINK("https://vdatum.noaa.gov/vdatumweb/api/convert?s_x=-90.1133&amp;s_y=30.02722&amp;s_z=0.0&amp;region=contiguous&amp;s_h_frame=NAD83_2011&amp;s_coor=geo&amp;s_v_frame=NAVD88&amp;s_v_unit=us_ft&amp;t_h_frame=NAD83_2011&amp;t_coor=geo&amp;t_v_frame=MLLW&amp;t_v_unit=us_ft", "NAVD88 to MLLW")</f>
        <v>0</v>
      </c>
      <c r="T396" s="2">
        <f>HYPERLINK("https://vdatum.noaa.gov/vdatumweb/api/convert?s_x=-90.1133&amp;s_y=30.02722&amp;s_z=0.0&amp;region=contiguous&amp;s_h_frame=NAD83_2011&amp;s_coor=geo&amp;s_v_frame=NAVD88&amp;s_v_unit=us_ft&amp;t_h_frame=NAD83_2011&amp;t_coor=geo&amp;t_v_frame=MHHW&amp;t_v_unit=us_ft", "NAVD88 to MHHW")</f>
        <v>0</v>
      </c>
    </row>
    <row r="397" spans="1:20">
      <c r="A397" s="1" t="s">
        <v>421</v>
      </c>
      <c r="B397" s="1" t="s">
        <v>630</v>
      </c>
      <c r="C397" s="1" t="s">
        <v>649</v>
      </c>
      <c r="D397" s="1" t="s">
        <v>654</v>
      </c>
      <c r="E397" s="1" t="s">
        <v>769</v>
      </c>
      <c r="F397" s="1" t="s">
        <v>848</v>
      </c>
      <c r="G397" s="1" t="s">
        <v>856</v>
      </c>
      <c r="H397" s="1">
        <v>-90.13549999999999</v>
      </c>
      <c r="I397" s="1">
        <v>29.9329</v>
      </c>
      <c r="J397" s="1">
        <f>HYPERLINK("https://tidesandcurrents.noaa.gov/stationhome.html?id=8761955", "8761955")</f>
        <v>0</v>
      </c>
      <c r="K397" s="1" t="s">
        <v>861</v>
      </c>
      <c r="L397" s="1" t="s">
        <v>866</v>
      </c>
      <c r="M397" s="1">
        <v>9642847</v>
      </c>
      <c r="N397" s="1">
        <v>0</v>
      </c>
      <c r="O397" s="1" t="s">
        <v>869</v>
      </c>
      <c r="P397" s="1" t="s">
        <v>874</v>
      </c>
      <c r="Q397" s="1">
        <v>-999999</v>
      </c>
      <c r="R397" s="1">
        <v>-999999</v>
      </c>
      <c r="S397" s="2">
        <f>HYPERLINK("https://vdatum.noaa.gov/vdatumweb/api/convert?s_x=-90.1355&amp;s_y=29.9329&amp;s_z=0.0&amp;region=contiguous&amp;s_h_frame=NAD83_2011&amp;s_coor=geo&amp;s_v_frame=NAVD88&amp;s_v_unit=us_ft&amp;t_h_frame=NAD83_2011&amp;t_coor=geo&amp;t_v_frame=MLLW&amp;t_v_unit=us_ft", "Missing")</f>
        <v>0</v>
      </c>
      <c r="T397" s="2">
        <f>HYPERLINK("https://vdatum.noaa.gov/vdatumweb/api/convert?s_x=-90.1355&amp;s_y=29.9329&amp;s_z=0.0&amp;region=contiguous&amp;s_h_frame=NAD83_2011&amp;s_coor=geo&amp;s_v_frame=NAVD88&amp;s_v_unit=us_ft&amp;t_h_frame=NAD83_2011&amp;t_coor=geo&amp;t_v_frame=MHHW&amp;t_v_unit=us_ft", "Missing")</f>
        <v>0</v>
      </c>
    </row>
    <row r="398" spans="1:20">
      <c r="A398" s="1" t="s">
        <v>422</v>
      </c>
      <c r="B398" s="1" t="s">
        <v>630</v>
      </c>
      <c r="C398" s="1" t="s">
        <v>649</v>
      </c>
      <c r="D398" s="1" t="s">
        <v>654</v>
      </c>
      <c r="E398" s="1" t="s">
        <v>766</v>
      </c>
      <c r="F398" s="1" t="s">
        <v>848</v>
      </c>
      <c r="G398" s="1" t="s">
        <v>856</v>
      </c>
      <c r="H398" s="1">
        <v>-90.16</v>
      </c>
      <c r="I398" s="1">
        <v>30.3783</v>
      </c>
      <c r="J398" s="1">
        <f>HYPERLINK("https://tidesandcurrents.noaa.gov/stationhome.html?id=8761993", "8761993")</f>
        <v>0</v>
      </c>
      <c r="K398" s="1" t="s">
        <v>861</v>
      </c>
      <c r="L398" s="1" t="s">
        <v>866</v>
      </c>
      <c r="M398" s="1">
        <v>7440692</v>
      </c>
      <c r="N398" s="1">
        <v>0</v>
      </c>
      <c r="O398" s="1" t="s">
        <v>869</v>
      </c>
      <c r="P398" s="1" t="s">
        <v>874</v>
      </c>
      <c r="Q398" s="1">
        <v>-0.109</v>
      </c>
      <c r="R398" s="1">
        <v>-0.68</v>
      </c>
      <c r="S398" s="2">
        <f>HYPERLINK("https://vdatum.noaa.gov/vdatumweb/api/convert?s_x=-90.16&amp;s_y=30.3783&amp;s_z=0.0&amp;region=contiguous&amp;s_h_frame=NAD83_2011&amp;s_coor=geo&amp;s_v_frame=NAVD88&amp;s_v_unit=us_ft&amp;t_h_frame=NAD83_2011&amp;t_coor=geo&amp;t_v_frame=MLLW&amp;t_v_unit=us_ft", "NAVD88 to MLLW")</f>
        <v>0</v>
      </c>
      <c r="T398" s="2">
        <f>HYPERLINK("https://vdatum.noaa.gov/vdatumweb/api/convert?s_x=-90.16&amp;s_y=30.3783&amp;s_z=0.0&amp;region=contiguous&amp;s_h_frame=NAD83_2011&amp;s_coor=geo&amp;s_v_frame=NAVD88&amp;s_v_unit=us_ft&amp;t_h_frame=NAD83_2011&amp;t_coor=geo&amp;t_v_frame=MHHW&amp;t_v_unit=us_ft", "NAVD88 to MHHW")</f>
        <v>0</v>
      </c>
    </row>
    <row r="399" spans="1:20">
      <c r="A399" s="1" t="s">
        <v>423</v>
      </c>
      <c r="B399" s="1" t="s">
        <v>630</v>
      </c>
      <c r="C399" s="1" t="s">
        <v>649</v>
      </c>
      <c r="D399" s="1" t="s">
        <v>654</v>
      </c>
      <c r="E399" s="1" t="s">
        <v>770</v>
      </c>
      <c r="F399" s="1" t="s">
        <v>848</v>
      </c>
      <c r="G399" s="1" t="s">
        <v>856</v>
      </c>
      <c r="H399" s="1">
        <v>-90.1992</v>
      </c>
      <c r="I399" s="1">
        <v>29.11417</v>
      </c>
      <c r="J399" s="1">
        <f>HYPERLINK("https://tidesandcurrents.noaa.gov/stationhome.html?id=8762075", "8762075")</f>
        <v>0</v>
      </c>
      <c r="K399" s="1" t="s">
        <v>860</v>
      </c>
      <c r="L399" s="1" t="s">
        <v>866</v>
      </c>
      <c r="M399" s="1">
        <v>3547884</v>
      </c>
      <c r="N399" s="1">
        <v>0</v>
      </c>
      <c r="O399" s="1" t="s">
        <v>869</v>
      </c>
      <c r="P399" s="1" t="s">
        <v>874</v>
      </c>
      <c r="Q399" s="1">
        <v>-999999</v>
      </c>
      <c r="R399" s="1">
        <v>-999999</v>
      </c>
      <c r="S399" s="2">
        <f>HYPERLINK("https://vdatum.noaa.gov/vdatumweb/api/convert?s_x=-90.1992&amp;s_y=29.11417&amp;s_z=0.0&amp;region=contiguous&amp;s_h_frame=NAD83_2011&amp;s_coor=geo&amp;s_v_frame=NAVD88&amp;s_v_unit=us_ft&amp;t_h_frame=NAD83_2011&amp;t_coor=geo&amp;t_v_frame=MLLW&amp;t_v_unit=us_ft", "Missing")</f>
        <v>0</v>
      </c>
      <c r="T399" s="2">
        <f>HYPERLINK("https://vdatum.noaa.gov/vdatumweb/api/convert?s_x=-90.1992&amp;s_y=29.11417&amp;s_z=0.0&amp;region=contiguous&amp;s_h_frame=NAD83_2011&amp;s_coor=geo&amp;s_v_frame=NAVD88&amp;s_v_unit=us_ft&amp;t_h_frame=NAD83_2011&amp;t_coor=geo&amp;t_v_frame=MHHW&amp;t_v_unit=us_ft", "Missing")</f>
        <v>0</v>
      </c>
    </row>
    <row r="400" spans="1:20">
      <c r="A400" s="1" t="s">
        <v>424</v>
      </c>
      <c r="B400" s="1" t="s">
        <v>630</v>
      </c>
      <c r="C400" s="1" t="s">
        <v>649</v>
      </c>
      <c r="D400" s="1" t="s">
        <v>654</v>
      </c>
      <c r="E400" s="1" t="s">
        <v>771</v>
      </c>
      <c r="F400" s="1" t="s">
        <v>848</v>
      </c>
      <c r="G400" s="1" t="s">
        <v>856</v>
      </c>
      <c r="H400" s="1">
        <v>-90.36799999999999</v>
      </c>
      <c r="I400" s="1">
        <v>30.0503</v>
      </c>
      <c r="J400" s="1">
        <f>HYPERLINK("https://tidesandcurrents.noaa.gov/stationhome.html?id=8762372", "8762372")</f>
        <v>0</v>
      </c>
      <c r="K400" s="1" t="s">
        <v>860</v>
      </c>
      <c r="L400" s="1" t="s">
        <v>866</v>
      </c>
      <c r="M400" s="1">
        <v>8720289</v>
      </c>
      <c r="N400" s="1">
        <v>-0.91</v>
      </c>
      <c r="O400" s="1" t="s">
        <v>869</v>
      </c>
      <c r="P400" s="1" t="s">
        <v>874</v>
      </c>
      <c r="Q400" s="1">
        <v>-999999</v>
      </c>
      <c r="R400" s="1">
        <v>-999999</v>
      </c>
      <c r="S400" s="2">
        <f>HYPERLINK("https://vdatum.noaa.gov/vdatumweb/api/convert?s_x=-90.368&amp;s_y=30.0503&amp;s_z=0.0&amp;region=contiguous&amp;s_h_frame=NAD83_2011&amp;s_coor=geo&amp;s_v_frame=NAVD88&amp;s_v_unit=us_ft&amp;t_h_frame=NAD83_2011&amp;t_coor=geo&amp;t_v_frame=MLLW&amp;t_v_unit=us_ft", "Missing")</f>
        <v>0</v>
      </c>
      <c r="T400" s="2">
        <f>HYPERLINK("https://vdatum.noaa.gov/vdatumweb/api/convert?s_x=-90.368&amp;s_y=30.0503&amp;s_z=0.0&amp;region=contiguous&amp;s_h_frame=NAD83_2011&amp;s_coor=geo&amp;s_v_frame=NAVD88&amp;s_v_unit=us_ft&amp;t_h_frame=NAD83_2011&amp;t_coor=geo&amp;t_v_frame=MHHW&amp;t_v_unit=us_ft", "Missing")</f>
        <v>0</v>
      </c>
    </row>
    <row r="401" spans="1:20">
      <c r="A401" s="1" t="s">
        <v>425</v>
      </c>
      <c r="B401" s="1" t="s">
        <v>630</v>
      </c>
      <c r="C401" s="1" t="s">
        <v>649</v>
      </c>
      <c r="D401" s="1" t="s">
        <v>654</v>
      </c>
      <c r="E401" s="1" t="s">
        <v>770</v>
      </c>
      <c r="F401" s="1" t="s">
        <v>848</v>
      </c>
      <c r="G401" s="1" t="s">
        <v>856</v>
      </c>
      <c r="H401" s="1">
        <v>-90.44670000000001</v>
      </c>
      <c r="I401" s="1">
        <v>29.4167</v>
      </c>
      <c r="J401" s="1">
        <f>HYPERLINK("https://tidesandcurrents.noaa.gov/stationhome.html?id=8762525", "8762525")</f>
        <v>0</v>
      </c>
      <c r="K401" s="1" t="s">
        <v>860</v>
      </c>
      <c r="L401" s="1" t="s">
        <v>866</v>
      </c>
      <c r="M401" s="1">
        <v>9825333</v>
      </c>
      <c r="N401" s="1">
        <v>0</v>
      </c>
      <c r="O401" s="1" t="s">
        <v>869</v>
      </c>
      <c r="P401" s="1" t="s">
        <v>874</v>
      </c>
      <c r="Q401" s="1">
        <v>-999999</v>
      </c>
      <c r="R401" s="1">
        <v>-999999</v>
      </c>
      <c r="S401" s="2">
        <f>HYPERLINK("https://vdatum.noaa.gov/vdatumweb/api/convert?s_x=-90.4467&amp;s_y=29.4167&amp;s_z=0.0&amp;region=contiguous&amp;s_h_frame=NAD83_2011&amp;s_coor=geo&amp;s_v_frame=NAVD88&amp;s_v_unit=us_ft&amp;t_h_frame=NAD83_2011&amp;t_coor=geo&amp;t_v_frame=MLLW&amp;t_v_unit=us_ft", "Missing")</f>
        <v>0</v>
      </c>
      <c r="T401" s="2">
        <f>HYPERLINK("https://vdatum.noaa.gov/vdatumweb/api/convert?s_x=-90.4467&amp;s_y=29.4167&amp;s_z=0.0&amp;region=contiguous&amp;s_h_frame=NAD83_2011&amp;s_coor=geo&amp;s_v_frame=NAVD88&amp;s_v_unit=us_ft&amp;t_h_frame=NAD83_2011&amp;t_coor=geo&amp;t_v_frame=MHHW&amp;t_v_unit=us_ft", "Missing")</f>
        <v>0</v>
      </c>
    </row>
    <row r="402" spans="1:20">
      <c r="A402" s="1" t="s">
        <v>426</v>
      </c>
      <c r="B402" s="1" t="s">
        <v>630</v>
      </c>
      <c r="C402" s="1" t="s">
        <v>649</v>
      </c>
      <c r="D402" s="1" t="s">
        <v>654</v>
      </c>
      <c r="E402" s="1" t="s">
        <v>770</v>
      </c>
      <c r="F402" s="1" t="s">
        <v>848</v>
      </c>
      <c r="G402" s="1" t="s">
        <v>856</v>
      </c>
      <c r="H402" s="1">
        <v>-90.4717</v>
      </c>
      <c r="I402" s="1">
        <v>29.4567</v>
      </c>
      <c r="J402" s="1">
        <f>HYPERLINK("https://tidesandcurrents.noaa.gov/stationhome.html?id=8762571", "8762571")</f>
        <v>0</v>
      </c>
      <c r="K402" s="1" t="s">
        <v>860</v>
      </c>
      <c r="L402" s="1" t="s">
        <v>866</v>
      </c>
      <c r="M402" s="1">
        <v>9989157</v>
      </c>
      <c r="N402" s="1">
        <v>0</v>
      </c>
      <c r="O402" s="1" t="s">
        <v>869</v>
      </c>
      <c r="P402" s="1" t="s">
        <v>874</v>
      </c>
      <c r="Q402" s="1">
        <v>-999999</v>
      </c>
      <c r="R402" s="1">
        <v>-999999</v>
      </c>
      <c r="S402" s="2">
        <f>HYPERLINK("https://vdatum.noaa.gov/vdatumweb/api/convert?s_x=-90.4717&amp;s_y=29.4567&amp;s_z=0.0&amp;region=contiguous&amp;s_h_frame=NAD83_2011&amp;s_coor=geo&amp;s_v_frame=NAVD88&amp;s_v_unit=us_ft&amp;t_h_frame=NAD83_2011&amp;t_coor=geo&amp;t_v_frame=MLLW&amp;t_v_unit=us_ft", "Missing")</f>
        <v>0</v>
      </c>
      <c r="T402" s="2">
        <f>HYPERLINK("https://vdatum.noaa.gov/vdatumweb/api/convert?s_x=-90.4717&amp;s_y=29.4567&amp;s_z=0.0&amp;region=contiguous&amp;s_h_frame=NAD83_2011&amp;s_coor=geo&amp;s_v_frame=NAVD88&amp;s_v_unit=us_ft&amp;t_h_frame=NAD83_2011&amp;t_coor=geo&amp;t_v_frame=MHHW&amp;t_v_unit=us_ft", "Missing")</f>
        <v>0</v>
      </c>
    </row>
    <row r="403" spans="1:20">
      <c r="A403" s="1" t="s">
        <v>427</v>
      </c>
      <c r="B403" s="1" t="s">
        <v>630</v>
      </c>
      <c r="C403" s="1" t="s">
        <v>649</v>
      </c>
      <c r="D403" s="1" t="s">
        <v>654</v>
      </c>
      <c r="E403" s="1" t="s">
        <v>771</v>
      </c>
      <c r="F403" s="1" t="s">
        <v>848</v>
      </c>
      <c r="G403" s="1" t="s">
        <v>856</v>
      </c>
      <c r="H403" s="1">
        <v>-90.4247</v>
      </c>
      <c r="I403" s="1">
        <v>29.9972</v>
      </c>
      <c r="J403" s="1" t="s">
        <v>859</v>
      </c>
      <c r="K403" s="1" t="s">
        <v>861</v>
      </c>
      <c r="L403" s="1" t="s">
        <v>859</v>
      </c>
      <c r="M403" s="1">
        <v>9745919</v>
      </c>
      <c r="N403" s="1">
        <v>0</v>
      </c>
      <c r="O403" s="1" t="s">
        <v>869</v>
      </c>
      <c r="P403" s="1" t="s">
        <v>874</v>
      </c>
      <c r="Q403" s="1">
        <v>-999999</v>
      </c>
      <c r="R403" s="1">
        <v>-999999</v>
      </c>
      <c r="S403" s="2">
        <f>HYPERLINK("https://vdatum.noaa.gov/vdatumweb/api/convert?s_x=-90.4247&amp;s_y=29.9972&amp;s_z=0.0&amp;region=contiguous&amp;s_h_frame=NAD83_2011&amp;s_coor=geo&amp;s_v_frame=NAVD88&amp;s_v_unit=us_ft&amp;t_h_frame=NAD83_2011&amp;t_coor=geo&amp;t_v_frame=MLLW&amp;t_v_unit=us_ft", "Missing")</f>
        <v>0</v>
      </c>
      <c r="T403" s="2">
        <f>HYPERLINK("https://vdatum.noaa.gov/vdatumweb/api/convert?s_x=-90.4247&amp;s_y=29.9972&amp;s_z=0.0&amp;region=contiguous&amp;s_h_frame=NAD83_2011&amp;s_coor=geo&amp;s_v_frame=NAVD88&amp;s_v_unit=us_ft&amp;t_h_frame=NAD83_2011&amp;t_coor=geo&amp;t_v_frame=MHHW&amp;t_v_unit=us_ft", "Missing")</f>
        <v>0</v>
      </c>
    </row>
    <row r="404" spans="1:20">
      <c r="A404" s="1" t="s">
        <v>428</v>
      </c>
      <c r="B404" s="1" t="s">
        <v>630</v>
      </c>
      <c r="C404" s="1" t="s">
        <v>649</v>
      </c>
      <c r="D404" s="1" t="s">
        <v>654</v>
      </c>
      <c r="E404" s="1" t="s">
        <v>770</v>
      </c>
      <c r="F404" s="1" t="s">
        <v>848</v>
      </c>
      <c r="G404" s="1" t="s">
        <v>856</v>
      </c>
      <c r="H404" s="1">
        <v>-90.47669999999999</v>
      </c>
      <c r="I404" s="1">
        <v>29.824</v>
      </c>
      <c r="J404" s="1" t="s">
        <v>859</v>
      </c>
      <c r="K404" s="1" t="s">
        <v>861</v>
      </c>
      <c r="L404" s="1" t="s">
        <v>859</v>
      </c>
      <c r="M404" s="1">
        <v>4212986</v>
      </c>
      <c r="N404" s="1">
        <v>0</v>
      </c>
      <c r="O404" s="1" t="s">
        <v>869</v>
      </c>
      <c r="P404" s="1" t="s">
        <v>874</v>
      </c>
      <c r="Q404" s="1">
        <v>-999999</v>
      </c>
      <c r="R404" s="1">
        <v>-999999</v>
      </c>
      <c r="S404" s="2">
        <f>HYPERLINK("https://vdatum.noaa.gov/vdatumweb/api/convert?s_x=-90.4767&amp;s_y=29.824&amp;s_z=0.0&amp;region=contiguous&amp;s_h_frame=NAD83_2011&amp;s_coor=geo&amp;s_v_frame=NAVD88&amp;s_v_unit=us_ft&amp;t_h_frame=NAD83_2011&amp;t_coor=geo&amp;t_v_frame=MLLW&amp;t_v_unit=us_ft", "Missing")</f>
        <v>0</v>
      </c>
      <c r="T404" s="2">
        <f>HYPERLINK("https://vdatum.noaa.gov/vdatumweb/api/convert?s_x=-90.4767&amp;s_y=29.824&amp;s_z=0.0&amp;region=contiguous&amp;s_h_frame=NAD83_2011&amp;s_coor=geo&amp;s_v_frame=NAVD88&amp;s_v_unit=us_ft&amp;t_h_frame=NAD83_2011&amp;t_coor=geo&amp;t_v_frame=MHHW&amp;t_v_unit=us_ft", "Missing")</f>
        <v>0</v>
      </c>
    </row>
    <row r="405" spans="1:20">
      <c r="A405" s="1" t="s">
        <v>429</v>
      </c>
      <c r="B405" s="1" t="s">
        <v>630</v>
      </c>
      <c r="C405" s="1" t="s">
        <v>649</v>
      </c>
      <c r="D405" s="1" t="s">
        <v>654</v>
      </c>
      <c r="E405" s="1" t="s">
        <v>758</v>
      </c>
      <c r="F405" s="1" t="s">
        <v>848</v>
      </c>
      <c r="G405" s="1" t="s">
        <v>856</v>
      </c>
      <c r="H405" s="1">
        <v>-90.16500000000001</v>
      </c>
      <c r="I405" s="1">
        <v>29.566</v>
      </c>
      <c r="J405" s="1" t="s">
        <v>859</v>
      </c>
      <c r="K405" s="1" t="s">
        <v>861</v>
      </c>
      <c r="L405" s="1" t="s">
        <v>859</v>
      </c>
      <c r="M405" s="1">
        <v>10380127</v>
      </c>
      <c r="N405" s="1">
        <v>0</v>
      </c>
      <c r="O405" s="1" t="s">
        <v>869</v>
      </c>
      <c r="P405" s="1" t="s">
        <v>874</v>
      </c>
      <c r="Q405" s="1">
        <v>-0.167</v>
      </c>
      <c r="R405" s="1">
        <v>-0.6840000000000001</v>
      </c>
      <c r="S405" s="2">
        <f>HYPERLINK("https://vdatum.noaa.gov/vdatumweb/api/convert?s_x=-90.165&amp;s_y=29.566&amp;s_z=0.0&amp;region=contiguous&amp;s_h_frame=NAD83_2011&amp;s_coor=geo&amp;s_v_frame=NAVD88&amp;s_v_unit=us_ft&amp;t_h_frame=NAD83_2011&amp;t_coor=geo&amp;t_v_frame=MLLW&amp;t_v_unit=us_ft", "NAVD88 to MLLW")</f>
        <v>0</v>
      </c>
      <c r="T405" s="2">
        <f>HYPERLINK("https://vdatum.noaa.gov/vdatumweb/api/convert?s_x=-90.165&amp;s_y=29.566&amp;s_z=0.0&amp;region=contiguous&amp;s_h_frame=NAD83_2011&amp;s_coor=geo&amp;s_v_frame=NAVD88&amp;s_v_unit=us_ft&amp;t_h_frame=NAD83_2011&amp;t_coor=geo&amp;t_v_frame=MHHW&amp;t_v_unit=us_ft", "NAVD88 to MHHW")</f>
        <v>0</v>
      </c>
    </row>
    <row r="406" spans="1:20">
      <c r="A406" s="1" t="s">
        <v>430</v>
      </c>
      <c r="B406" s="1" t="s">
        <v>630</v>
      </c>
      <c r="C406" s="1" t="s">
        <v>649</v>
      </c>
      <c r="D406" s="1" t="s">
        <v>654</v>
      </c>
      <c r="E406" s="1" t="s">
        <v>772</v>
      </c>
      <c r="F406" s="1" t="s">
        <v>848</v>
      </c>
      <c r="G406" s="1" t="s">
        <v>856</v>
      </c>
      <c r="H406" s="1">
        <v>-91.32250000000001</v>
      </c>
      <c r="I406" s="1">
        <v>30.13</v>
      </c>
      <c r="J406" s="1" t="s">
        <v>859</v>
      </c>
      <c r="K406" s="1" t="s">
        <v>861</v>
      </c>
      <c r="L406" s="1" t="s">
        <v>859</v>
      </c>
      <c r="M406" s="1">
        <v>10364168</v>
      </c>
      <c r="N406" s="1">
        <v>0</v>
      </c>
      <c r="O406" s="1" t="s">
        <v>869</v>
      </c>
      <c r="P406" s="1" t="s">
        <v>874</v>
      </c>
      <c r="Q406" s="1">
        <v>-999999</v>
      </c>
      <c r="R406" s="1">
        <v>-999999</v>
      </c>
      <c r="S406" s="2">
        <f>HYPERLINK("https://vdatum.noaa.gov/vdatumweb/api/convert?s_x=-91.3225&amp;s_y=30.13&amp;s_z=0.0&amp;region=contiguous&amp;s_h_frame=NAD83_2011&amp;s_coor=geo&amp;s_v_frame=NAVD88&amp;s_v_unit=us_ft&amp;t_h_frame=NAD83_2011&amp;t_coor=geo&amp;t_v_frame=MLLW&amp;t_v_unit=us_ft", "Missing")</f>
        <v>0</v>
      </c>
      <c r="T406" s="2">
        <f>HYPERLINK("https://vdatum.noaa.gov/vdatumweb/api/convert?s_x=-91.3225&amp;s_y=30.13&amp;s_z=0.0&amp;region=contiguous&amp;s_h_frame=NAD83_2011&amp;s_coor=geo&amp;s_v_frame=NAVD88&amp;s_v_unit=us_ft&amp;t_h_frame=NAD83_2011&amp;t_coor=geo&amp;t_v_frame=MHHW&amp;t_v_unit=us_ft", "Missing")</f>
        <v>0</v>
      </c>
    </row>
    <row r="407" spans="1:20">
      <c r="A407" s="1" t="s">
        <v>431</v>
      </c>
      <c r="B407" s="1" t="s">
        <v>630</v>
      </c>
      <c r="C407" s="1" t="s">
        <v>649</v>
      </c>
      <c r="D407" s="1" t="s">
        <v>654</v>
      </c>
      <c r="E407" s="1" t="s">
        <v>773</v>
      </c>
      <c r="F407" s="1" t="s">
        <v>848</v>
      </c>
      <c r="G407" s="1" t="s">
        <v>856</v>
      </c>
      <c r="H407" s="1">
        <v>-90.56861000000001</v>
      </c>
      <c r="I407" s="1">
        <v>30.05556</v>
      </c>
      <c r="J407" s="1" t="s">
        <v>859</v>
      </c>
      <c r="K407" s="1" t="s">
        <v>861</v>
      </c>
      <c r="L407" s="1" t="s">
        <v>859</v>
      </c>
      <c r="M407" s="1">
        <v>9679303</v>
      </c>
      <c r="N407" s="1">
        <v>0</v>
      </c>
      <c r="O407" s="1" t="s">
        <v>869</v>
      </c>
      <c r="P407" s="1" t="s">
        <v>874</v>
      </c>
      <c r="Q407" s="1">
        <v>-999999</v>
      </c>
      <c r="R407" s="1">
        <v>-999999</v>
      </c>
      <c r="S407" s="2">
        <f>HYPERLINK("https://vdatum.noaa.gov/vdatumweb/api/convert?s_x=-90.56861&amp;s_y=30.05556&amp;s_z=0.0&amp;region=contiguous&amp;s_h_frame=NAD83_2011&amp;s_coor=geo&amp;s_v_frame=NAVD88&amp;s_v_unit=us_ft&amp;t_h_frame=NAD83_2011&amp;t_coor=geo&amp;t_v_frame=MLLW&amp;t_v_unit=us_ft", "Missing")</f>
        <v>0</v>
      </c>
      <c r="T407" s="2">
        <f>HYPERLINK("https://vdatum.noaa.gov/vdatumweb/api/convert?s_x=-90.56861&amp;s_y=30.05556&amp;s_z=0.0&amp;region=contiguous&amp;s_h_frame=NAD83_2011&amp;s_coor=geo&amp;s_v_frame=NAVD88&amp;s_v_unit=us_ft&amp;t_h_frame=NAD83_2011&amp;t_coor=geo&amp;t_v_frame=MHHW&amp;t_v_unit=us_ft", "Missing")</f>
        <v>0</v>
      </c>
    </row>
    <row r="408" spans="1:20">
      <c r="A408" s="1" t="s">
        <v>432</v>
      </c>
      <c r="B408" s="1" t="s">
        <v>630</v>
      </c>
      <c r="C408" s="1" t="s">
        <v>649</v>
      </c>
      <c r="D408" s="1" t="s">
        <v>654</v>
      </c>
      <c r="E408" s="1" t="s">
        <v>766</v>
      </c>
      <c r="F408" s="1" t="s">
        <v>848</v>
      </c>
      <c r="G408" s="1" t="s">
        <v>856</v>
      </c>
      <c r="H408" s="1">
        <v>-89.7186</v>
      </c>
      <c r="I408" s="1">
        <v>30.2917</v>
      </c>
      <c r="J408" s="1" t="s">
        <v>859</v>
      </c>
      <c r="K408" s="1" t="s">
        <v>861</v>
      </c>
      <c r="L408" s="1" t="s">
        <v>859</v>
      </c>
      <c r="M408" s="1">
        <v>4313192</v>
      </c>
      <c r="N408" s="1">
        <v>0</v>
      </c>
      <c r="O408" s="1" t="s">
        <v>869</v>
      </c>
      <c r="P408" s="1" t="s">
        <v>874</v>
      </c>
      <c r="Q408" s="1">
        <v>-999999</v>
      </c>
      <c r="R408" s="1">
        <v>-999999</v>
      </c>
      <c r="S408" s="2">
        <f>HYPERLINK("https://vdatum.noaa.gov/vdatumweb/api/convert?s_x=-89.7186&amp;s_y=30.2917&amp;s_z=0.0&amp;region=contiguous&amp;s_h_frame=NAD83_2011&amp;s_coor=geo&amp;s_v_frame=NAVD88&amp;s_v_unit=us_ft&amp;t_h_frame=NAD83_2011&amp;t_coor=geo&amp;t_v_frame=MLLW&amp;t_v_unit=us_ft", "Missing")</f>
        <v>0</v>
      </c>
      <c r="T408" s="2">
        <f>HYPERLINK("https://vdatum.noaa.gov/vdatumweb/api/convert?s_x=-89.7186&amp;s_y=30.2917&amp;s_z=0.0&amp;region=contiguous&amp;s_h_frame=NAD83_2011&amp;s_coor=geo&amp;s_v_frame=NAVD88&amp;s_v_unit=us_ft&amp;t_h_frame=NAD83_2011&amp;t_coor=geo&amp;t_v_frame=MHHW&amp;t_v_unit=us_ft", "Missing")</f>
        <v>0</v>
      </c>
    </row>
    <row r="409" spans="1:20">
      <c r="A409" s="1" t="s">
        <v>433</v>
      </c>
      <c r="B409" s="1" t="s">
        <v>630</v>
      </c>
      <c r="C409" s="1" t="s">
        <v>649</v>
      </c>
      <c r="D409" s="1" t="s">
        <v>654</v>
      </c>
      <c r="E409" s="1" t="s">
        <v>767</v>
      </c>
      <c r="F409" s="1" t="s">
        <v>848</v>
      </c>
      <c r="G409" s="1" t="s">
        <v>856</v>
      </c>
      <c r="H409" s="1">
        <v>-89.4646</v>
      </c>
      <c r="I409" s="1">
        <v>29.364</v>
      </c>
      <c r="J409" s="1" t="s">
        <v>859</v>
      </c>
      <c r="K409" s="1" t="s">
        <v>860</v>
      </c>
      <c r="L409" s="1" t="s">
        <v>859</v>
      </c>
      <c r="M409" s="1">
        <v>9330252</v>
      </c>
      <c r="N409" s="1">
        <v>0</v>
      </c>
      <c r="O409" s="1" t="s">
        <v>869</v>
      </c>
      <c r="P409" s="1" t="s">
        <v>874</v>
      </c>
      <c r="Q409" s="1">
        <v>-999999</v>
      </c>
      <c r="R409" s="1">
        <v>-999999</v>
      </c>
      <c r="S409" s="2">
        <f>HYPERLINK("https://vdatum.noaa.gov/vdatumweb/api/convert?s_x=-89.4646&amp;s_y=29.364&amp;s_z=0.0&amp;region=contiguous&amp;s_h_frame=NAD83_2011&amp;s_coor=geo&amp;s_v_frame=NAVD88&amp;s_v_unit=us_ft&amp;t_h_frame=NAD83_2011&amp;t_coor=geo&amp;t_v_frame=MLLW&amp;t_v_unit=us_ft", "Missing")</f>
        <v>0</v>
      </c>
      <c r="T409" s="2">
        <f>HYPERLINK("https://vdatum.noaa.gov/vdatumweb/api/convert?s_x=-89.4646&amp;s_y=29.364&amp;s_z=0.0&amp;region=contiguous&amp;s_h_frame=NAD83_2011&amp;s_coor=geo&amp;s_v_frame=NAVD88&amp;s_v_unit=us_ft&amp;t_h_frame=NAD83_2011&amp;t_coor=geo&amp;t_v_frame=MHHW&amp;t_v_unit=us_ft", "Missing")</f>
        <v>0</v>
      </c>
    </row>
    <row r="410" spans="1:20">
      <c r="A410" s="1" t="s">
        <v>434</v>
      </c>
      <c r="B410" s="1" t="s">
        <v>630</v>
      </c>
      <c r="C410" s="1" t="s">
        <v>649</v>
      </c>
      <c r="D410" s="1" t="s">
        <v>654</v>
      </c>
      <c r="E410" s="1" t="s">
        <v>774</v>
      </c>
      <c r="F410" s="1" t="s">
        <v>848</v>
      </c>
      <c r="G410" s="1" t="s">
        <v>856</v>
      </c>
      <c r="H410" s="1">
        <v>-90.718</v>
      </c>
      <c r="I410" s="1">
        <v>29.569</v>
      </c>
      <c r="J410" s="1" t="s">
        <v>859</v>
      </c>
      <c r="K410" s="1" t="s">
        <v>860</v>
      </c>
      <c r="L410" s="1" t="s">
        <v>859</v>
      </c>
      <c r="M410" s="1">
        <v>10272392</v>
      </c>
      <c r="N410" s="1">
        <v>0</v>
      </c>
      <c r="O410" s="1" t="s">
        <v>869</v>
      </c>
      <c r="P410" s="1" t="s">
        <v>874</v>
      </c>
      <c r="Q410" s="1">
        <v>-999999</v>
      </c>
      <c r="R410" s="1">
        <v>-999999</v>
      </c>
      <c r="S410" s="2">
        <f>HYPERLINK("https://vdatum.noaa.gov/vdatumweb/api/convert?s_x=-90.718&amp;s_y=29.569&amp;s_z=0.0&amp;region=contiguous&amp;s_h_frame=NAD83_2011&amp;s_coor=geo&amp;s_v_frame=NAVD88&amp;s_v_unit=us_ft&amp;t_h_frame=NAD83_2011&amp;t_coor=geo&amp;t_v_frame=MLLW&amp;t_v_unit=us_ft", "Missing")</f>
        <v>0</v>
      </c>
      <c r="T410" s="2">
        <f>HYPERLINK("https://vdatum.noaa.gov/vdatumweb/api/convert?s_x=-90.718&amp;s_y=29.569&amp;s_z=0.0&amp;region=contiguous&amp;s_h_frame=NAD83_2011&amp;s_coor=geo&amp;s_v_frame=NAVD88&amp;s_v_unit=us_ft&amp;t_h_frame=NAD83_2011&amp;t_coor=geo&amp;t_v_frame=MHHW&amp;t_v_unit=us_ft", "Missing")</f>
        <v>0</v>
      </c>
    </row>
    <row r="411" spans="1:20">
      <c r="A411" s="1" t="s">
        <v>435</v>
      </c>
      <c r="B411" s="1" t="s">
        <v>630</v>
      </c>
      <c r="C411" s="1" t="s">
        <v>649</v>
      </c>
      <c r="D411" s="1" t="s">
        <v>654</v>
      </c>
      <c r="H411" s="1">
        <v>-89.2508</v>
      </c>
      <c r="I411" s="1">
        <v>29.14306</v>
      </c>
      <c r="J411" s="1" t="s">
        <v>859</v>
      </c>
      <c r="K411" s="1" t="s">
        <v>861</v>
      </c>
      <c r="L411" s="1" t="s">
        <v>859</v>
      </c>
      <c r="M411" s="1">
        <v>7650200</v>
      </c>
      <c r="N411" s="1">
        <v>0</v>
      </c>
      <c r="O411" s="1" t="s">
        <v>869</v>
      </c>
      <c r="P411" s="1" t="s">
        <v>874</v>
      </c>
      <c r="Q411" s="1">
        <v>-0.255</v>
      </c>
      <c r="R411" s="1">
        <v>-1.317</v>
      </c>
      <c r="S411" s="2">
        <f>HYPERLINK("https://vdatum.noaa.gov/vdatumweb/api/convert?s_x=-89.2508&amp;s_y=29.14306&amp;s_z=0.0&amp;region=contiguous&amp;s_h_frame=NAD83_2011&amp;s_coor=geo&amp;s_v_frame=NAVD88&amp;s_v_unit=us_ft&amp;t_h_frame=NAD83_2011&amp;t_coor=geo&amp;t_v_frame=MLLW&amp;t_v_unit=us_ft", "NAVD88 to MLLW")</f>
        <v>0</v>
      </c>
      <c r="T411" s="2">
        <f>HYPERLINK("https://vdatum.noaa.gov/vdatumweb/api/convert?s_x=-89.2508&amp;s_y=29.14306&amp;s_z=0.0&amp;region=contiguous&amp;s_h_frame=NAD83_2011&amp;s_coor=geo&amp;s_v_frame=NAVD88&amp;s_v_unit=us_ft&amp;t_h_frame=NAD83_2011&amp;t_coor=geo&amp;t_v_frame=MHHW&amp;t_v_unit=us_ft", "NAVD88 to MHHW")</f>
        <v>0</v>
      </c>
    </row>
    <row r="412" spans="1:20">
      <c r="A412" s="1" t="s">
        <v>436</v>
      </c>
      <c r="B412" s="1" t="s">
        <v>630</v>
      </c>
      <c r="C412" s="1" t="s">
        <v>649</v>
      </c>
      <c r="D412" s="1" t="s">
        <v>654</v>
      </c>
      <c r="E412" s="1" t="s">
        <v>766</v>
      </c>
      <c r="F412" s="1" t="s">
        <v>848</v>
      </c>
      <c r="G412" s="1" t="s">
        <v>856</v>
      </c>
      <c r="H412" s="1">
        <v>-89.95639</v>
      </c>
      <c r="I412" s="1">
        <v>30.2647</v>
      </c>
      <c r="J412" s="1" t="s">
        <v>859</v>
      </c>
      <c r="K412" s="1" t="s">
        <v>861</v>
      </c>
      <c r="L412" s="1" t="s">
        <v>859</v>
      </c>
      <c r="M412" s="1">
        <v>7733346</v>
      </c>
      <c r="N412" s="1">
        <v>0</v>
      </c>
      <c r="O412" s="1" t="s">
        <v>869</v>
      </c>
      <c r="P412" s="1" t="s">
        <v>874</v>
      </c>
      <c r="Q412" s="1">
        <v>-0.057</v>
      </c>
      <c r="R412" s="1">
        <v>-0.5639999999999999</v>
      </c>
      <c r="S412" s="2">
        <f>HYPERLINK("https://vdatum.noaa.gov/vdatumweb/api/convert?s_x=-89.95639&amp;s_y=30.2647&amp;s_z=0.0&amp;region=contiguous&amp;s_h_frame=NAD83_2011&amp;s_coor=geo&amp;s_v_frame=NAVD88&amp;s_v_unit=us_ft&amp;t_h_frame=NAD83_2011&amp;t_coor=geo&amp;t_v_frame=MLLW&amp;t_v_unit=us_ft", "NAVD88 to MLLW")</f>
        <v>0</v>
      </c>
      <c r="T412" s="2">
        <f>HYPERLINK("https://vdatum.noaa.gov/vdatumweb/api/convert?s_x=-89.95639&amp;s_y=30.2647&amp;s_z=0.0&amp;region=contiguous&amp;s_h_frame=NAD83_2011&amp;s_coor=geo&amp;s_v_frame=NAVD88&amp;s_v_unit=us_ft&amp;t_h_frame=NAD83_2011&amp;t_coor=geo&amp;t_v_frame=MHHW&amp;t_v_unit=us_ft", "NAVD88 to MHHW")</f>
        <v>0</v>
      </c>
    </row>
    <row r="413" spans="1:20">
      <c r="A413" s="1" t="s">
        <v>437</v>
      </c>
      <c r="B413" s="1" t="s">
        <v>630</v>
      </c>
      <c r="C413" s="1" t="s">
        <v>649</v>
      </c>
      <c r="D413" s="1" t="s">
        <v>654</v>
      </c>
      <c r="E413" s="1" t="s">
        <v>767</v>
      </c>
      <c r="F413" s="1" t="s">
        <v>848</v>
      </c>
      <c r="G413" s="1" t="s">
        <v>856</v>
      </c>
      <c r="H413" s="1">
        <v>-89.9778</v>
      </c>
      <c r="I413" s="1">
        <v>29.8569</v>
      </c>
      <c r="J413" s="1" t="s">
        <v>859</v>
      </c>
      <c r="K413" s="1" t="s">
        <v>861</v>
      </c>
      <c r="L413" s="1" t="s">
        <v>859</v>
      </c>
      <c r="M413" s="1">
        <v>10215042</v>
      </c>
      <c r="N413" s="1">
        <v>0</v>
      </c>
      <c r="O413" s="1" t="s">
        <v>869</v>
      </c>
      <c r="P413" s="1" t="s">
        <v>874</v>
      </c>
      <c r="Q413" s="1">
        <v>-999999</v>
      </c>
      <c r="R413" s="1">
        <v>-999999</v>
      </c>
      <c r="S413" s="2">
        <f>HYPERLINK("https://vdatum.noaa.gov/vdatumweb/api/convert?s_x=-89.9778&amp;s_y=29.8569&amp;s_z=0.0&amp;region=contiguous&amp;s_h_frame=NAD83_2011&amp;s_coor=geo&amp;s_v_frame=NAVD88&amp;s_v_unit=us_ft&amp;t_h_frame=NAD83_2011&amp;t_coor=geo&amp;t_v_frame=MLLW&amp;t_v_unit=us_ft", "Missing")</f>
        <v>0</v>
      </c>
      <c r="T413" s="2">
        <f>HYPERLINK("https://vdatum.noaa.gov/vdatumweb/api/convert?s_x=-89.9778&amp;s_y=29.8569&amp;s_z=0.0&amp;region=contiguous&amp;s_h_frame=NAD83_2011&amp;s_coor=geo&amp;s_v_frame=NAVD88&amp;s_v_unit=us_ft&amp;t_h_frame=NAD83_2011&amp;t_coor=geo&amp;t_v_frame=MHHW&amp;t_v_unit=us_ft", "Missing")</f>
        <v>0</v>
      </c>
    </row>
    <row r="414" spans="1:20">
      <c r="A414" s="1" t="s">
        <v>438</v>
      </c>
      <c r="B414" s="1" t="s">
        <v>630</v>
      </c>
      <c r="C414" s="1" t="s">
        <v>649</v>
      </c>
      <c r="D414" s="1" t="s">
        <v>654</v>
      </c>
      <c r="E414" s="1" t="s">
        <v>761</v>
      </c>
      <c r="F414" s="1" t="s">
        <v>848</v>
      </c>
      <c r="G414" s="1" t="s">
        <v>856</v>
      </c>
      <c r="H414" s="1">
        <v>-91.008</v>
      </c>
      <c r="I414" s="1">
        <v>29.945</v>
      </c>
      <c r="J414" s="1" t="s">
        <v>859</v>
      </c>
      <c r="K414" s="1" t="s">
        <v>860</v>
      </c>
      <c r="L414" s="1" t="s">
        <v>859</v>
      </c>
      <c r="M414" s="1">
        <v>10409628</v>
      </c>
      <c r="N414" s="1">
        <v>0</v>
      </c>
      <c r="O414" s="1" t="s">
        <v>869</v>
      </c>
      <c r="P414" s="1" t="s">
        <v>874</v>
      </c>
      <c r="Q414" s="1">
        <v>-999999</v>
      </c>
      <c r="R414" s="1">
        <v>-999999</v>
      </c>
      <c r="S414" s="2">
        <f>HYPERLINK("https://vdatum.noaa.gov/vdatumweb/api/convert?s_x=-91.008&amp;s_y=29.945&amp;s_z=0.0&amp;region=contiguous&amp;s_h_frame=NAD83_2011&amp;s_coor=geo&amp;s_v_frame=NAVD88&amp;s_v_unit=us_ft&amp;t_h_frame=NAD83_2011&amp;t_coor=geo&amp;t_v_frame=MLLW&amp;t_v_unit=us_ft", "Missing")</f>
        <v>0</v>
      </c>
      <c r="T414" s="2">
        <f>HYPERLINK("https://vdatum.noaa.gov/vdatumweb/api/convert?s_x=-91.008&amp;s_y=29.945&amp;s_z=0.0&amp;region=contiguous&amp;s_h_frame=NAD83_2011&amp;s_coor=geo&amp;s_v_frame=NAVD88&amp;s_v_unit=us_ft&amp;t_h_frame=NAD83_2011&amp;t_coor=geo&amp;t_v_frame=MHHW&amp;t_v_unit=us_ft", "Missing")</f>
        <v>0</v>
      </c>
    </row>
    <row r="415" spans="1:20">
      <c r="A415" s="1" t="s">
        <v>439</v>
      </c>
      <c r="B415" s="1" t="s">
        <v>630</v>
      </c>
      <c r="C415" s="1" t="s">
        <v>649</v>
      </c>
      <c r="D415" s="1" t="s">
        <v>654</v>
      </c>
      <c r="E415" s="1" t="s">
        <v>775</v>
      </c>
      <c r="F415" s="1" t="s">
        <v>848</v>
      </c>
      <c r="G415" s="1" t="s">
        <v>856</v>
      </c>
      <c r="H415" s="1">
        <v>-91.66444</v>
      </c>
      <c r="I415" s="1">
        <v>30.96083</v>
      </c>
      <c r="J415" s="1" t="s">
        <v>859</v>
      </c>
      <c r="K415" s="1" t="s">
        <v>861</v>
      </c>
      <c r="L415" s="1" t="s">
        <v>859</v>
      </c>
      <c r="M415" s="1">
        <v>5260975</v>
      </c>
      <c r="N415" s="1">
        <v>0</v>
      </c>
      <c r="O415" s="1" t="s">
        <v>869</v>
      </c>
      <c r="P415" s="1" t="s">
        <v>874</v>
      </c>
      <c r="Q415" s="1">
        <v>-999999</v>
      </c>
      <c r="R415" s="1">
        <v>-999999</v>
      </c>
      <c r="S415" s="2">
        <f>HYPERLINK("https://vdatum.noaa.gov/vdatumweb/api/convert?s_x=-91.66444&amp;s_y=30.96083&amp;s_z=0.0&amp;region=contiguous&amp;s_h_frame=NAD83_2011&amp;s_coor=geo&amp;s_v_frame=NAVD88&amp;s_v_unit=us_ft&amp;t_h_frame=NAD83_2011&amp;t_coor=geo&amp;t_v_frame=MLLW&amp;t_v_unit=us_ft", "Missing")</f>
        <v>0</v>
      </c>
      <c r="T415" s="2">
        <f>HYPERLINK("https://vdatum.noaa.gov/vdatumweb/api/convert?s_x=-91.66444&amp;s_y=30.96083&amp;s_z=0.0&amp;region=contiguous&amp;s_h_frame=NAD83_2011&amp;s_coor=geo&amp;s_v_frame=NAVD88&amp;s_v_unit=us_ft&amp;t_h_frame=NAD83_2011&amp;t_coor=geo&amp;t_v_frame=MHHW&amp;t_v_unit=us_ft", "Missing")</f>
        <v>0</v>
      </c>
    </row>
    <row r="416" spans="1:20">
      <c r="A416" s="1" t="s">
        <v>440</v>
      </c>
      <c r="B416" s="1" t="s">
        <v>630</v>
      </c>
      <c r="C416" s="1" t="s">
        <v>649</v>
      </c>
      <c r="D416" s="1" t="s">
        <v>654</v>
      </c>
      <c r="E416" s="1" t="s">
        <v>773</v>
      </c>
      <c r="F416" s="1" t="s">
        <v>848</v>
      </c>
      <c r="G416" s="1" t="s">
        <v>856</v>
      </c>
      <c r="H416" s="1">
        <v>-90.56861000000001</v>
      </c>
      <c r="I416" s="1">
        <v>30.05556</v>
      </c>
      <c r="J416" s="1" t="s">
        <v>859</v>
      </c>
      <c r="K416" s="1" t="s">
        <v>861</v>
      </c>
      <c r="L416" s="1" t="s">
        <v>859</v>
      </c>
      <c r="M416" s="1">
        <v>9679303</v>
      </c>
      <c r="N416" s="1">
        <v>0</v>
      </c>
      <c r="O416" s="1" t="s">
        <v>869</v>
      </c>
      <c r="P416" s="1" t="s">
        <v>874</v>
      </c>
      <c r="Q416" s="1">
        <v>-999999</v>
      </c>
      <c r="R416" s="1">
        <v>-999999</v>
      </c>
      <c r="S416" s="2">
        <f>HYPERLINK("https://vdatum.noaa.gov/vdatumweb/api/convert?s_x=-90.56861&amp;s_y=30.05556&amp;s_z=0.0&amp;region=contiguous&amp;s_h_frame=NAD83_2011&amp;s_coor=geo&amp;s_v_frame=NAVD88&amp;s_v_unit=us_ft&amp;t_h_frame=NAD83_2011&amp;t_coor=geo&amp;t_v_frame=MLLW&amp;t_v_unit=us_ft", "Missing")</f>
        <v>0</v>
      </c>
      <c r="T416" s="2">
        <f>HYPERLINK("https://vdatum.noaa.gov/vdatumweb/api/convert?s_x=-90.56861&amp;s_y=30.05556&amp;s_z=0.0&amp;region=contiguous&amp;s_h_frame=NAD83_2011&amp;s_coor=geo&amp;s_v_frame=NAVD88&amp;s_v_unit=us_ft&amp;t_h_frame=NAD83_2011&amp;t_coor=geo&amp;t_v_frame=MHHW&amp;t_v_unit=us_ft", "Missing")</f>
        <v>0</v>
      </c>
    </row>
    <row r="417" spans="1:20">
      <c r="A417" s="1" t="s">
        <v>441</v>
      </c>
      <c r="B417" s="1" t="s">
        <v>630</v>
      </c>
      <c r="C417" s="1" t="s">
        <v>649</v>
      </c>
      <c r="D417" s="1" t="s">
        <v>654</v>
      </c>
      <c r="E417" s="1" t="s">
        <v>776</v>
      </c>
      <c r="F417" s="1" t="s">
        <v>848</v>
      </c>
      <c r="G417" s="1" t="s">
        <v>856</v>
      </c>
      <c r="H417" s="1">
        <v>-91.34417000000001</v>
      </c>
      <c r="I417" s="1">
        <v>30.7028</v>
      </c>
      <c r="J417" s="1" t="s">
        <v>859</v>
      </c>
      <c r="K417" s="1" t="s">
        <v>861</v>
      </c>
      <c r="L417" s="1" t="s">
        <v>859</v>
      </c>
      <c r="M417" s="1">
        <v>5833412</v>
      </c>
      <c r="N417" s="1">
        <v>0</v>
      </c>
      <c r="O417" s="1" t="s">
        <v>869</v>
      </c>
      <c r="P417" s="1" t="s">
        <v>874</v>
      </c>
      <c r="Q417" s="1">
        <v>-999999</v>
      </c>
      <c r="R417" s="1">
        <v>-999999</v>
      </c>
      <c r="S417" s="2">
        <f>HYPERLINK("https://vdatum.noaa.gov/vdatumweb/api/convert?s_x=-91.34417&amp;s_y=30.7028&amp;s_z=0.0&amp;region=contiguous&amp;s_h_frame=NAD83_2011&amp;s_coor=geo&amp;s_v_frame=NAVD88&amp;s_v_unit=us_ft&amp;t_h_frame=NAD83_2011&amp;t_coor=geo&amp;t_v_frame=MLLW&amp;t_v_unit=us_ft", "Missing")</f>
        <v>0</v>
      </c>
      <c r="T417" s="2">
        <f>HYPERLINK("https://vdatum.noaa.gov/vdatumweb/api/convert?s_x=-91.34417&amp;s_y=30.7028&amp;s_z=0.0&amp;region=contiguous&amp;s_h_frame=NAD83_2011&amp;s_coor=geo&amp;s_v_frame=NAVD88&amp;s_v_unit=us_ft&amp;t_h_frame=NAD83_2011&amp;t_coor=geo&amp;t_v_frame=MHHW&amp;t_v_unit=us_ft", "Missing")</f>
        <v>0</v>
      </c>
    </row>
    <row r="418" spans="1:20">
      <c r="A418" s="1" t="s">
        <v>442</v>
      </c>
      <c r="B418" s="1" t="s">
        <v>630</v>
      </c>
      <c r="C418" s="1" t="s">
        <v>649</v>
      </c>
      <c r="D418" s="1" t="s">
        <v>654</v>
      </c>
      <c r="E418" s="1" t="s">
        <v>774</v>
      </c>
      <c r="F418" s="1" t="s">
        <v>848</v>
      </c>
      <c r="G418" s="1" t="s">
        <v>856</v>
      </c>
      <c r="H418" s="1">
        <v>-90.62</v>
      </c>
      <c r="I418" s="1">
        <v>29.386</v>
      </c>
      <c r="J418" s="1" t="s">
        <v>859</v>
      </c>
      <c r="K418" s="1" t="s">
        <v>860</v>
      </c>
      <c r="L418" s="1" t="s">
        <v>859</v>
      </c>
      <c r="M418" s="1">
        <v>10192623</v>
      </c>
      <c r="N418" s="1">
        <v>0</v>
      </c>
      <c r="O418" s="1" t="s">
        <v>869</v>
      </c>
      <c r="P418" s="1" t="s">
        <v>874</v>
      </c>
      <c r="Q418" s="1">
        <v>-999999</v>
      </c>
      <c r="R418" s="1">
        <v>-999999</v>
      </c>
      <c r="S418" s="2">
        <f>HYPERLINK("https://vdatum.noaa.gov/vdatumweb/api/convert?s_x=-90.62&amp;s_y=29.386&amp;s_z=0.0&amp;region=contiguous&amp;s_h_frame=NAD83_2011&amp;s_coor=geo&amp;s_v_frame=NAVD88&amp;s_v_unit=us_ft&amp;t_h_frame=NAD83_2011&amp;t_coor=geo&amp;t_v_frame=MLLW&amp;t_v_unit=us_ft", "Missing")</f>
        <v>0</v>
      </c>
      <c r="T418" s="2">
        <f>HYPERLINK("https://vdatum.noaa.gov/vdatumweb/api/convert?s_x=-90.62&amp;s_y=29.386&amp;s_z=0.0&amp;region=contiguous&amp;s_h_frame=NAD83_2011&amp;s_coor=geo&amp;s_v_frame=NAVD88&amp;s_v_unit=us_ft&amp;t_h_frame=NAD83_2011&amp;t_coor=geo&amp;t_v_frame=MHHW&amp;t_v_unit=us_ft", "Missing")</f>
        <v>0</v>
      </c>
    </row>
    <row r="419" spans="1:20">
      <c r="A419" s="1" t="s">
        <v>443</v>
      </c>
      <c r="B419" s="1" t="s">
        <v>630</v>
      </c>
      <c r="C419" s="1" t="s">
        <v>649</v>
      </c>
      <c r="D419" s="1" t="s">
        <v>654</v>
      </c>
      <c r="E419" s="1" t="s">
        <v>770</v>
      </c>
      <c r="F419" s="1" t="s">
        <v>848</v>
      </c>
      <c r="G419" s="1" t="s">
        <v>856</v>
      </c>
      <c r="H419" s="1">
        <v>-90.242</v>
      </c>
      <c r="I419" s="1">
        <v>29.334</v>
      </c>
      <c r="J419" s="1" t="s">
        <v>859</v>
      </c>
      <c r="K419" s="1" t="s">
        <v>860</v>
      </c>
      <c r="L419" s="1" t="s">
        <v>859</v>
      </c>
      <c r="M419" s="1">
        <v>9597159</v>
      </c>
      <c r="N419" s="1">
        <v>0</v>
      </c>
      <c r="O419" s="1" t="s">
        <v>869</v>
      </c>
      <c r="P419" s="1" t="s">
        <v>874</v>
      </c>
      <c r="Q419" s="1">
        <v>-999999</v>
      </c>
      <c r="R419" s="1">
        <v>-999999</v>
      </c>
      <c r="S419" s="2">
        <f>HYPERLINK("https://vdatum.noaa.gov/vdatumweb/api/convert?s_x=-90.242&amp;s_y=29.334&amp;s_z=0.0&amp;region=contiguous&amp;s_h_frame=NAD83_2011&amp;s_coor=geo&amp;s_v_frame=NAVD88&amp;s_v_unit=us_ft&amp;t_h_frame=NAD83_2011&amp;t_coor=geo&amp;t_v_frame=MLLW&amp;t_v_unit=us_ft", "Missing")</f>
        <v>0</v>
      </c>
      <c r="T419" s="2">
        <f>HYPERLINK("https://vdatum.noaa.gov/vdatumweb/api/convert?s_x=-90.242&amp;s_y=29.334&amp;s_z=0.0&amp;region=contiguous&amp;s_h_frame=NAD83_2011&amp;s_coor=geo&amp;s_v_frame=NAVD88&amp;s_v_unit=us_ft&amp;t_h_frame=NAD83_2011&amp;t_coor=geo&amp;t_v_frame=MHHW&amp;t_v_unit=us_ft", "Missing")</f>
        <v>0</v>
      </c>
    </row>
    <row r="420" spans="1:20">
      <c r="A420" s="1" t="s">
        <v>444</v>
      </c>
      <c r="B420" s="1" t="s">
        <v>630</v>
      </c>
      <c r="C420" s="1" t="s">
        <v>649</v>
      </c>
      <c r="D420" s="1" t="s">
        <v>654</v>
      </c>
      <c r="E420" s="1" t="s">
        <v>766</v>
      </c>
      <c r="F420" s="1" t="s">
        <v>848</v>
      </c>
      <c r="G420" s="1" t="s">
        <v>856</v>
      </c>
      <c r="H420" s="1">
        <v>-89.66889999999999</v>
      </c>
      <c r="I420" s="1">
        <v>30.2308</v>
      </c>
      <c r="J420" s="1" t="s">
        <v>859</v>
      </c>
      <c r="K420" s="1" t="s">
        <v>861</v>
      </c>
      <c r="L420" s="1" t="s">
        <v>859</v>
      </c>
      <c r="M420" s="1">
        <v>9739352</v>
      </c>
      <c r="N420" s="1">
        <v>0</v>
      </c>
      <c r="O420" s="1" t="s">
        <v>869</v>
      </c>
      <c r="P420" s="1" t="s">
        <v>874</v>
      </c>
      <c r="Q420" s="1">
        <v>-999999</v>
      </c>
      <c r="R420" s="1">
        <v>-999999</v>
      </c>
      <c r="S420" s="2">
        <f>HYPERLINK("https://vdatum.noaa.gov/vdatumweb/api/convert?s_x=-89.6689&amp;s_y=30.2308&amp;s_z=0.0&amp;region=contiguous&amp;s_h_frame=NAD83_2011&amp;s_coor=geo&amp;s_v_frame=NAVD88&amp;s_v_unit=us_ft&amp;t_h_frame=NAD83_2011&amp;t_coor=geo&amp;t_v_frame=MLLW&amp;t_v_unit=us_ft", "Missing")</f>
        <v>0</v>
      </c>
      <c r="T420" s="2">
        <f>HYPERLINK("https://vdatum.noaa.gov/vdatumweb/api/convert?s_x=-89.6689&amp;s_y=30.2308&amp;s_z=0.0&amp;region=contiguous&amp;s_h_frame=NAD83_2011&amp;s_coor=geo&amp;s_v_frame=NAVD88&amp;s_v_unit=us_ft&amp;t_h_frame=NAD83_2011&amp;t_coor=geo&amp;t_v_frame=MHHW&amp;t_v_unit=us_ft", "Missing")</f>
        <v>0</v>
      </c>
    </row>
    <row r="421" spans="1:20">
      <c r="A421" s="1" t="s">
        <v>445</v>
      </c>
      <c r="B421" s="1" t="s">
        <v>630</v>
      </c>
      <c r="C421" s="1" t="s">
        <v>649</v>
      </c>
      <c r="D421" s="1" t="s">
        <v>654</v>
      </c>
      <c r="E421" s="1" t="s">
        <v>777</v>
      </c>
      <c r="F421" s="1" t="s">
        <v>849</v>
      </c>
      <c r="G421" s="1" t="s">
        <v>856</v>
      </c>
      <c r="H421" s="1">
        <v>-88.89335899</v>
      </c>
      <c r="I421" s="1">
        <v>30.47602513</v>
      </c>
      <c r="J421" s="1">
        <f>HYPERLINK("https://waterdata.usgs.gov/nwis/nwismap/?site_no=02480590&amp;agency_cd=USGS", "US02480590")</f>
        <v>0</v>
      </c>
      <c r="K421" s="1" t="s">
        <v>861</v>
      </c>
      <c r="L421" s="1" t="s">
        <v>867</v>
      </c>
      <c r="M421" s="1">
        <v>4620938</v>
      </c>
      <c r="N421" s="1">
        <v>-0.27</v>
      </c>
      <c r="O421" s="1" t="s">
        <v>869</v>
      </c>
      <c r="P421" s="1" t="s">
        <v>874</v>
      </c>
      <c r="Q421" s="1">
        <v>-999999</v>
      </c>
      <c r="R421" s="1">
        <v>-999999</v>
      </c>
      <c r="S421" s="2">
        <f>HYPERLINK("https://vdatum.noaa.gov/vdatumweb/api/convert?s_x=-88.89335899&amp;s_y=30.47602513&amp;s_z=0.0&amp;region=contiguous&amp;s_h_frame=NAD83_2011&amp;s_coor=geo&amp;s_v_frame=NAVD88&amp;s_v_unit=us_ft&amp;t_h_frame=NAD83_2011&amp;t_coor=geo&amp;t_v_frame=MLLW&amp;t_v_unit=us_ft", "Missing")</f>
        <v>0</v>
      </c>
      <c r="T421" s="2">
        <f>HYPERLINK("https://vdatum.noaa.gov/vdatumweb/api/convert?s_x=-88.89335899&amp;s_y=30.47602513&amp;s_z=0.0&amp;region=contiguous&amp;s_h_frame=NAD83_2011&amp;s_coor=geo&amp;s_v_frame=NAVD88&amp;s_v_unit=us_ft&amp;t_h_frame=NAD83_2011&amp;t_coor=geo&amp;t_v_frame=MHHW&amp;t_v_unit=us_ft", "Missing")</f>
        <v>0</v>
      </c>
    </row>
    <row r="422" spans="1:20">
      <c r="A422" s="1" t="s">
        <v>446</v>
      </c>
      <c r="B422" s="1" t="s">
        <v>630</v>
      </c>
      <c r="C422" s="1" t="s">
        <v>649</v>
      </c>
      <c r="D422" s="1" t="s">
        <v>654</v>
      </c>
      <c r="E422" s="1" t="s">
        <v>778</v>
      </c>
      <c r="F422" s="1" t="s">
        <v>849</v>
      </c>
      <c r="G422" s="1" t="s">
        <v>856</v>
      </c>
      <c r="H422" s="1">
        <v>-89.44138344</v>
      </c>
      <c r="I422" s="1">
        <v>30.38721667</v>
      </c>
      <c r="J422" s="1">
        <f>HYPERLINK("https://waterdata.usgs.gov/nwis/nwismap/?site_no=02481660&amp;agency_cd=USGS", "US02481660")</f>
        <v>0</v>
      </c>
      <c r="K422" s="1" t="s">
        <v>861</v>
      </c>
      <c r="L422" s="1" t="s">
        <v>867</v>
      </c>
      <c r="M422" s="1">
        <v>4341521</v>
      </c>
      <c r="N422" s="1">
        <v>0</v>
      </c>
      <c r="O422" s="1" t="s">
        <v>869</v>
      </c>
      <c r="P422" s="1" t="s">
        <v>874</v>
      </c>
      <c r="Q422" s="1">
        <v>-999999</v>
      </c>
      <c r="R422" s="1">
        <v>-999999</v>
      </c>
      <c r="S422" s="2">
        <f>HYPERLINK("https://vdatum.noaa.gov/vdatumweb/api/convert?s_x=-89.44138344&amp;s_y=30.38721667&amp;s_z=0.0&amp;region=contiguous&amp;s_h_frame=NAD83_2011&amp;s_coor=geo&amp;s_v_frame=NAVD88&amp;s_v_unit=us_ft&amp;t_h_frame=NAD83_2011&amp;t_coor=geo&amp;t_v_frame=MLLW&amp;t_v_unit=us_ft", "Missing")</f>
        <v>0</v>
      </c>
      <c r="T422" s="2">
        <f>HYPERLINK("https://vdatum.noaa.gov/vdatumweb/api/convert?s_x=-89.44138344&amp;s_y=30.38721667&amp;s_z=0.0&amp;region=contiguous&amp;s_h_frame=NAD83_2011&amp;s_coor=geo&amp;s_v_frame=NAVD88&amp;s_v_unit=us_ft&amp;t_h_frame=NAD83_2011&amp;t_coor=geo&amp;t_v_frame=MHHW&amp;t_v_unit=us_ft", "Missing")</f>
        <v>0</v>
      </c>
    </row>
    <row r="423" spans="1:20">
      <c r="A423" s="1" t="s">
        <v>447</v>
      </c>
      <c r="B423" s="1" t="s">
        <v>630</v>
      </c>
      <c r="C423" s="1" t="s">
        <v>649</v>
      </c>
      <c r="D423" s="1" t="s">
        <v>654</v>
      </c>
      <c r="E423" s="1" t="s">
        <v>778</v>
      </c>
      <c r="F423" s="1" t="s">
        <v>849</v>
      </c>
      <c r="G423" s="1" t="s">
        <v>856</v>
      </c>
      <c r="H423" s="1">
        <v>-89.6458927</v>
      </c>
      <c r="I423" s="1">
        <v>30.352416</v>
      </c>
      <c r="J423" s="1">
        <f>HYPERLINK("https://waterdata.usgs.gov/nwis/nwismap/?site_no=02492620&amp;agency_cd=USGS", "US02492620")</f>
        <v>0</v>
      </c>
      <c r="K423" s="1" t="s">
        <v>861</v>
      </c>
      <c r="L423" s="1" t="s">
        <v>867</v>
      </c>
      <c r="M423" s="1">
        <v>6147937</v>
      </c>
      <c r="N423" s="1">
        <v>0</v>
      </c>
      <c r="O423" s="1" t="s">
        <v>869</v>
      </c>
      <c r="P423" s="1" t="s">
        <v>874</v>
      </c>
      <c r="Q423" s="1">
        <v>-999999</v>
      </c>
      <c r="R423" s="1">
        <v>-999999</v>
      </c>
      <c r="S423" s="2">
        <f>HYPERLINK("https://vdatum.noaa.gov/vdatumweb/api/convert?s_x=-89.6458927&amp;s_y=30.352416&amp;s_z=0.0&amp;region=contiguous&amp;s_h_frame=NAD83_2011&amp;s_coor=geo&amp;s_v_frame=NAVD88&amp;s_v_unit=us_ft&amp;t_h_frame=NAD83_2011&amp;t_coor=geo&amp;t_v_frame=MLLW&amp;t_v_unit=us_ft", "Missing")</f>
        <v>0</v>
      </c>
      <c r="T423" s="2">
        <f>HYPERLINK("https://vdatum.noaa.gov/vdatumweb/api/convert?s_x=-89.6458927&amp;s_y=30.352416&amp;s_z=0.0&amp;region=contiguous&amp;s_h_frame=NAD83_2011&amp;s_coor=geo&amp;s_v_frame=NAVD88&amp;s_v_unit=us_ft&amp;t_h_frame=NAD83_2011&amp;t_coor=geo&amp;t_v_frame=MHHW&amp;t_v_unit=us_ft", "Missing")</f>
        <v>0</v>
      </c>
    </row>
    <row r="424" spans="1:20">
      <c r="A424" s="1" t="s">
        <v>448</v>
      </c>
      <c r="B424" s="1" t="s">
        <v>630</v>
      </c>
      <c r="C424" s="1" t="s">
        <v>649</v>
      </c>
      <c r="D424" s="1" t="s">
        <v>654</v>
      </c>
      <c r="E424" s="1" t="s">
        <v>767</v>
      </c>
      <c r="F424" s="1" t="s">
        <v>848</v>
      </c>
      <c r="G424" s="1" t="s">
        <v>856</v>
      </c>
      <c r="H424" s="1">
        <v>-89.3500536</v>
      </c>
      <c r="I424" s="1">
        <v>29.2741095</v>
      </c>
      <c r="J424" s="1">
        <f>HYPERLINK("https://waterdata.usgs.gov/nwis/nwismap/?site_no=07374550&amp;agency_cd=USGS", "US07374550")</f>
        <v>0</v>
      </c>
      <c r="K424" s="1" t="s">
        <v>861</v>
      </c>
      <c r="L424" s="1" t="s">
        <v>867</v>
      </c>
      <c r="M424" s="1">
        <v>9509996</v>
      </c>
      <c r="N424" s="1">
        <v>0</v>
      </c>
      <c r="O424" s="1" t="s">
        <v>869</v>
      </c>
      <c r="P424" s="1" t="s">
        <v>874</v>
      </c>
      <c r="Q424" s="1">
        <v>-999999</v>
      </c>
      <c r="R424" s="1">
        <v>-999999</v>
      </c>
      <c r="S424" s="2">
        <f>HYPERLINK("https://vdatum.noaa.gov/vdatumweb/api/convert?s_x=-89.3500536&amp;s_y=29.2741095&amp;s_z=0.0&amp;region=contiguous&amp;s_h_frame=NAD83_2011&amp;s_coor=geo&amp;s_v_frame=NAVD88&amp;s_v_unit=us_ft&amp;t_h_frame=NAD83_2011&amp;t_coor=geo&amp;t_v_frame=MLLW&amp;t_v_unit=us_ft", "Missing")</f>
        <v>0</v>
      </c>
      <c r="T424" s="2">
        <f>HYPERLINK("https://vdatum.noaa.gov/vdatumweb/api/convert?s_x=-89.3500536&amp;s_y=29.2741095&amp;s_z=0.0&amp;region=contiguous&amp;s_h_frame=NAD83_2011&amp;s_coor=geo&amp;s_v_frame=NAVD88&amp;s_v_unit=us_ft&amp;t_h_frame=NAD83_2011&amp;t_coor=geo&amp;t_v_frame=MHHW&amp;t_v_unit=us_ft", "Missing")</f>
        <v>0</v>
      </c>
    </row>
    <row r="425" spans="1:20">
      <c r="A425" s="1" t="s">
        <v>449</v>
      </c>
      <c r="B425" s="1" t="s">
        <v>630</v>
      </c>
      <c r="C425" s="1" t="s">
        <v>649</v>
      </c>
      <c r="D425" s="1" t="s">
        <v>654</v>
      </c>
      <c r="E425" s="1" t="s">
        <v>779</v>
      </c>
      <c r="F425" s="1" t="s">
        <v>848</v>
      </c>
      <c r="G425" s="1" t="s">
        <v>856</v>
      </c>
      <c r="H425" s="1">
        <v>-90.33457758999999</v>
      </c>
      <c r="I425" s="1">
        <v>30.44368893</v>
      </c>
      <c r="J425" s="1">
        <f>HYPERLINK("https://waterdata.usgs.gov/nwis/nwismap/?site_no=07375650&amp;agency_cd=USGS", "US07375650")</f>
        <v>0</v>
      </c>
      <c r="K425" s="1" t="s">
        <v>861</v>
      </c>
      <c r="L425" s="1" t="s">
        <v>867</v>
      </c>
      <c r="M425" s="1">
        <v>5260974</v>
      </c>
      <c r="N425" s="1">
        <v>-0.82</v>
      </c>
      <c r="O425" s="1" t="s">
        <v>869</v>
      </c>
      <c r="P425" s="1" t="s">
        <v>874</v>
      </c>
      <c r="Q425" s="1">
        <v>-999999</v>
      </c>
      <c r="R425" s="1">
        <v>-999999</v>
      </c>
      <c r="S425" s="2">
        <f>HYPERLINK("https://vdatum.noaa.gov/vdatumweb/api/convert?s_x=-90.33457759&amp;s_y=30.44368893&amp;s_z=0.0&amp;region=contiguous&amp;s_h_frame=NAD83_2011&amp;s_coor=geo&amp;s_v_frame=NAVD88&amp;s_v_unit=us_ft&amp;t_h_frame=NAD83_2011&amp;t_coor=geo&amp;t_v_frame=MLLW&amp;t_v_unit=us_ft", "Missing")</f>
        <v>0</v>
      </c>
      <c r="T425" s="2">
        <f>HYPERLINK("https://vdatum.noaa.gov/vdatumweb/api/convert?s_x=-90.33457759&amp;s_y=30.44368893&amp;s_z=0.0&amp;region=contiguous&amp;s_h_frame=NAD83_2011&amp;s_coor=geo&amp;s_v_frame=NAVD88&amp;s_v_unit=us_ft&amp;t_h_frame=NAD83_2011&amp;t_coor=geo&amp;t_v_frame=MHHW&amp;t_v_unit=us_ft", "Missing")</f>
        <v>0</v>
      </c>
    </row>
    <row r="426" spans="1:20">
      <c r="A426" s="1" t="s">
        <v>450</v>
      </c>
      <c r="B426" s="1" t="s">
        <v>630</v>
      </c>
      <c r="C426" s="1" t="s">
        <v>649</v>
      </c>
      <c r="D426" s="1" t="s">
        <v>654</v>
      </c>
      <c r="E426" s="1" t="s">
        <v>780</v>
      </c>
      <c r="F426" s="1" t="s">
        <v>848</v>
      </c>
      <c r="G426" s="1" t="s">
        <v>856</v>
      </c>
      <c r="H426" s="1">
        <v>-90.5511111</v>
      </c>
      <c r="I426" s="1">
        <v>30.37655556</v>
      </c>
      <c r="J426" s="1">
        <f>HYPERLINK("https://waterdata.usgs.gov/nwis/nwismap/?site_no=07376300&amp;agency_cd=USGS", "US07376300")</f>
        <v>0</v>
      </c>
      <c r="K426" s="1" t="s">
        <v>861</v>
      </c>
      <c r="L426" s="1" t="s">
        <v>867</v>
      </c>
      <c r="M426" s="1">
        <v>9358289</v>
      </c>
      <c r="N426" s="1">
        <v>-0.48</v>
      </c>
      <c r="O426" s="1" t="s">
        <v>869</v>
      </c>
      <c r="P426" s="1" t="s">
        <v>874</v>
      </c>
      <c r="Q426" s="1">
        <v>-999999</v>
      </c>
      <c r="R426" s="1">
        <v>-999999</v>
      </c>
      <c r="S426" s="2">
        <f>HYPERLINK("https://vdatum.noaa.gov/vdatumweb/api/convert?s_x=-90.5511111&amp;s_y=30.37655556&amp;s_z=0.0&amp;region=contiguous&amp;s_h_frame=NAD83_2011&amp;s_coor=geo&amp;s_v_frame=NAVD88&amp;s_v_unit=us_ft&amp;t_h_frame=NAD83_2011&amp;t_coor=geo&amp;t_v_frame=MLLW&amp;t_v_unit=us_ft", "Missing")</f>
        <v>0</v>
      </c>
      <c r="T426" s="2">
        <f>HYPERLINK("https://vdatum.noaa.gov/vdatumweb/api/convert?s_x=-90.5511111&amp;s_y=30.37655556&amp;s_z=0.0&amp;region=contiguous&amp;s_h_frame=NAD83_2011&amp;s_coor=geo&amp;s_v_frame=NAVD88&amp;s_v_unit=us_ft&amp;t_h_frame=NAD83_2011&amp;t_coor=geo&amp;t_v_frame=MHHW&amp;t_v_unit=us_ft", "Missing")</f>
        <v>0</v>
      </c>
    </row>
    <row r="427" spans="1:20">
      <c r="A427" s="1" t="s">
        <v>451</v>
      </c>
      <c r="B427" s="1" t="s">
        <v>630</v>
      </c>
      <c r="C427" s="1" t="s">
        <v>649</v>
      </c>
      <c r="D427" s="1" t="s">
        <v>654</v>
      </c>
      <c r="E427" s="1" t="s">
        <v>780</v>
      </c>
      <c r="F427" s="1" t="s">
        <v>848</v>
      </c>
      <c r="G427" s="1" t="s">
        <v>856</v>
      </c>
      <c r="H427" s="1">
        <v>-90.60871643</v>
      </c>
      <c r="I427" s="1">
        <v>30.30768897</v>
      </c>
      <c r="J427" s="1">
        <f>HYPERLINK("https://waterdata.usgs.gov/nwis/nwismap/?site_no=07380215&amp;agency_cd=USGS", "US07380215")</f>
        <v>0</v>
      </c>
      <c r="K427" s="1" t="s">
        <v>861</v>
      </c>
      <c r="L427" s="1" t="s">
        <v>867</v>
      </c>
      <c r="M427" s="1">
        <v>9066965</v>
      </c>
      <c r="N427" s="1">
        <v>-0.38</v>
      </c>
      <c r="O427" s="1" t="s">
        <v>869</v>
      </c>
      <c r="P427" s="1" t="s">
        <v>874</v>
      </c>
      <c r="Q427" s="1">
        <v>-999999</v>
      </c>
      <c r="R427" s="1">
        <v>-999999</v>
      </c>
      <c r="S427" s="2">
        <f>HYPERLINK("https://vdatum.noaa.gov/vdatumweb/api/convert?s_x=-90.60871643&amp;s_y=30.30768897&amp;s_z=0.0&amp;region=contiguous&amp;s_h_frame=NAD83_2011&amp;s_coor=geo&amp;s_v_frame=NAVD88&amp;s_v_unit=us_ft&amp;t_h_frame=NAD83_2011&amp;t_coor=geo&amp;t_v_frame=MLLW&amp;t_v_unit=us_ft", "Missing")</f>
        <v>0</v>
      </c>
      <c r="T427" s="2">
        <f>HYPERLINK("https://vdatum.noaa.gov/vdatumweb/api/convert?s_x=-90.60871643&amp;s_y=30.30768897&amp;s_z=0.0&amp;region=contiguous&amp;s_h_frame=NAD83_2011&amp;s_coor=geo&amp;s_v_frame=NAVD88&amp;s_v_unit=us_ft&amp;t_h_frame=NAD83_2011&amp;t_coor=geo&amp;t_v_frame=MHHW&amp;t_v_unit=us_ft", "Missing")</f>
        <v>0</v>
      </c>
    </row>
    <row r="428" spans="1:20">
      <c r="A428" s="1" t="s">
        <v>452</v>
      </c>
      <c r="B428" s="1" t="s">
        <v>630</v>
      </c>
      <c r="C428" s="1" t="s">
        <v>649</v>
      </c>
      <c r="D428" s="1" t="s">
        <v>654</v>
      </c>
      <c r="E428" s="1" t="s">
        <v>774</v>
      </c>
      <c r="F428" s="1" t="s">
        <v>848</v>
      </c>
      <c r="G428" s="1" t="s">
        <v>856</v>
      </c>
      <c r="H428" s="1">
        <v>-90.71536164</v>
      </c>
      <c r="I428" s="1">
        <v>29.38299342</v>
      </c>
      <c r="J428" s="1">
        <f>HYPERLINK("https://waterdata.usgs.gov/nwis/nwismap/?site_no=07381324&amp;agency_cd=USGS", "US07381324")</f>
        <v>0</v>
      </c>
      <c r="K428" s="1" t="s">
        <v>861</v>
      </c>
      <c r="L428" s="1" t="s">
        <v>867</v>
      </c>
      <c r="M428" s="1">
        <v>10192783</v>
      </c>
      <c r="N428" s="1">
        <v>0</v>
      </c>
      <c r="O428" s="1" t="s">
        <v>869</v>
      </c>
      <c r="P428" s="1" t="s">
        <v>874</v>
      </c>
      <c r="Q428" s="1">
        <v>-999999</v>
      </c>
      <c r="R428" s="1">
        <v>-999999</v>
      </c>
      <c r="S428" s="2">
        <f>HYPERLINK("https://vdatum.noaa.gov/vdatumweb/api/convert?s_x=-90.71536164&amp;s_y=29.38299342&amp;s_z=0.0&amp;region=contiguous&amp;s_h_frame=NAD83_2011&amp;s_coor=geo&amp;s_v_frame=NAVD88&amp;s_v_unit=us_ft&amp;t_h_frame=NAD83_2011&amp;t_coor=geo&amp;t_v_frame=MLLW&amp;t_v_unit=us_ft", "Missing")</f>
        <v>0</v>
      </c>
      <c r="T428" s="2">
        <f>HYPERLINK("https://vdatum.noaa.gov/vdatumweb/api/convert?s_x=-90.71536164&amp;s_y=29.38299342&amp;s_z=0.0&amp;region=contiguous&amp;s_h_frame=NAD83_2011&amp;s_coor=geo&amp;s_v_frame=NAVD88&amp;s_v_unit=us_ft&amp;t_h_frame=NAD83_2011&amp;t_coor=geo&amp;t_v_frame=MHHW&amp;t_v_unit=us_ft", "Missing")</f>
        <v>0</v>
      </c>
    </row>
    <row r="429" spans="1:20">
      <c r="A429" s="1" t="s">
        <v>453</v>
      </c>
      <c r="B429" s="1" t="s">
        <v>630</v>
      </c>
      <c r="C429" s="1" t="s">
        <v>649</v>
      </c>
      <c r="D429" s="1" t="s">
        <v>654</v>
      </c>
      <c r="E429" s="1" t="s">
        <v>781</v>
      </c>
      <c r="F429" s="1" t="s">
        <v>848</v>
      </c>
      <c r="G429" s="1" t="s">
        <v>856</v>
      </c>
      <c r="H429" s="1">
        <v>-91.2104722</v>
      </c>
      <c r="I429" s="1">
        <v>30.4322222</v>
      </c>
      <c r="J429" s="1">
        <f>HYPERLINK("https://waterdata.usgs.gov/nwis/nwismap/?site_no=07381412&amp;agency_cd=USGS", "US07381412")</f>
        <v>0</v>
      </c>
      <c r="K429" s="1" t="s">
        <v>861</v>
      </c>
      <c r="L429" s="1" t="s">
        <v>867</v>
      </c>
      <c r="M429" s="1">
        <v>6790151</v>
      </c>
      <c r="N429" s="1">
        <v>-0.17</v>
      </c>
      <c r="O429" s="1" t="s">
        <v>869</v>
      </c>
      <c r="P429" s="1" t="s">
        <v>874</v>
      </c>
      <c r="Q429" s="1">
        <v>-999999</v>
      </c>
      <c r="R429" s="1">
        <v>-999999</v>
      </c>
      <c r="S429" s="2">
        <f>HYPERLINK("https://vdatum.noaa.gov/vdatumweb/api/convert?s_x=-91.2104722&amp;s_y=30.4322222&amp;s_z=0.0&amp;region=contiguous&amp;s_h_frame=NAD83_2011&amp;s_coor=geo&amp;s_v_frame=NAVD88&amp;s_v_unit=us_ft&amp;t_h_frame=NAD83_2011&amp;t_coor=geo&amp;t_v_frame=MLLW&amp;t_v_unit=us_ft", "Missing")</f>
        <v>0</v>
      </c>
      <c r="T429" s="2">
        <f>HYPERLINK("https://vdatum.noaa.gov/vdatumweb/api/convert?s_x=-91.2104722&amp;s_y=30.4322222&amp;s_z=0.0&amp;region=contiguous&amp;s_h_frame=NAD83_2011&amp;s_coor=geo&amp;s_v_frame=NAVD88&amp;s_v_unit=us_ft&amp;t_h_frame=NAD83_2011&amp;t_coor=geo&amp;t_v_frame=MHHW&amp;t_v_unit=us_ft", "Missing")</f>
        <v>0</v>
      </c>
    </row>
    <row r="430" spans="1:20">
      <c r="A430" s="1" t="s">
        <v>454</v>
      </c>
      <c r="B430" s="1" t="s">
        <v>630</v>
      </c>
      <c r="D430" s="1" t="s">
        <v>654</v>
      </c>
      <c r="H430" s="1">
        <v>-89.2502724</v>
      </c>
      <c r="I430" s="1">
        <v>30.1227723</v>
      </c>
      <c r="J430" s="1">
        <f>HYPERLINK("https://waterdata.usgs.gov/nwis/nwismap/?site_no=300722089150100&amp;agency_cd=USGS", "US300722089150100")</f>
        <v>0</v>
      </c>
      <c r="K430" s="1" t="s">
        <v>860</v>
      </c>
      <c r="L430" s="1" t="s">
        <v>867</v>
      </c>
      <c r="M430" s="1">
        <v>7789655</v>
      </c>
      <c r="N430" s="1">
        <v>-0.3</v>
      </c>
      <c r="O430" s="1" t="s">
        <v>869</v>
      </c>
      <c r="P430" s="1" t="s">
        <v>874</v>
      </c>
      <c r="Q430" s="1">
        <v>0.216</v>
      </c>
      <c r="R430" s="1">
        <v>-1.218</v>
      </c>
      <c r="S430" s="2">
        <f>HYPERLINK("https://vdatum.noaa.gov/vdatumweb/api/convert?s_x=-89.2502724&amp;s_y=30.1227723&amp;s_z=0.0&amp;region=contiguous&amp;s_h_frame=NAD83_2011&amp;s_coor=geo&amp;s_v_frame=NAVD88&amp;s_v_unit=us_ft&amp;t_h_frame=NAD83_2011&amp;t_coor=geo&amp;t_v_frame=MLLW&amp;t_v_unit=us_ft", "NAVD88 to MLLW")</f>
        <v>0</v>
      </c>
      <c r="T430" s="2">
        <f>HYPERLINK("https://vdatum.noaa.gov/vdatumweb/api/convert?s_x=-89.2502724&amp;s_y=30.1227723&amp;s_z=0.0&amp;region=contiguous&amp;s_h_frame=NAD83_2011&amp;s_coor=geo&amp;s_v_frame=NAVD88&amp;s_v_unit=us_ft&amp;t_h_frame=NAD83_2011&amp;t_coor=geo&amp;t_v_frame=MHHW&amp;t_v_unit=us_ft", "NAVD88 to MHHW")</f>
        <v>0</v>
      </c>
    </row>
    <row r="431" spans="1:20">
      <c r="A431" s="1" t="s">
        <v>455</v>
      </c>
      <c r="B431" s="1" t="s">
        <v>630</v>
      </c>
      <c r="D431" s="1" t="s">
        <v>654</v>
      </c>
      <c r="E431" s="1" t="s">
        <v>766</v>
      </c>
      <c r="F431" s="1" t="s">
        <v>848</v>
      </c>
      <c r="G431" s="1" t="s">
        <v>856</v>
      </c>
      <c r="H431" s="1">
        <v>-89.53416122</v>
      </c>
      <c r="I431" s="1">
        <v>30.19471672</v>
      </c>
      <c r="J431" s="1">
        <f>HYPERLINK("https://waterdata.usgs.gov/nwis/nwismap/?site_no=301141089320300&amp;agency_cd=USGS", "US301141089320300")</f>
        <v>0</v>
      </c>
      <c r="K431" s="1" t="s">
        <v>861</v>
      </c>
      <c r="L431" s="1" t="s">
        <v>867</v>
      </c>
      <c r="M431" s="1">
        <v>9029099</v>
      </c>
      <c r="N431" s="1">
        <v>-0.1</v>
      </c>
      <c r="O431" s="1" t="s">
        <v>869</v>
      </c>
      <c r="P431" s="1" t="s">
        <v>874</v>
      </c>
      <c r="Q431" s="1">
        <v>-999999</v>
      </c>
      <c r="R431" s="1">
        <v>-999999</v>
      </c>
      <c r="S431" s="2">
        <f>HYPERLINK("https://vdatum.noaa.gov/vdatumweb/api/convert?s_x=-89.53416122&amp;s_y=30.19471672&amp;s_z=0.0&amp;region=contiguous&amp;s_h_frame=NAD83_2011&amp;s_coor=geo&amp;s_v_frame=NAVD88&amp;s_v_unit=us_ft&amp;t_h_frame=NAD83_2011&amp;t_coor=geo&amp;t_v_frame=MLLW&amp;t_v_unit=us_ft", "Missing")</f>
        <v>0</v>
      </c>
      <c r="T431" s="2">
        <f>HYPERLINK("https://vdatum.noaa.gov/vdatumweb/api/convert?s_x=-89.53416122&amp;s_y=30.19471672&amp;s_z=0.0&amp;region=contiguous&amp;s_h_frame=NAD83_2011&amp;s_coor=geo&amp;s_v_frame=NAVD88&amp;s_v_unit=us_ft&amp;t_h_frame=NAD83_2011&amp;t_coor=geo&amp;t_v_frame=MHHW&amp;t_v_unit=us_ft", "Missing")</f>
        <v>0</v>
      </c>
    </row>
    <row r="432" spans="1:20">
      <c r="A432" s="1" t="s">
        <v>456</v>
      </c>
      <c r="B432" s="1" t="s">
        <v>631</v>
      </c>
      <c r="D432" s="1" t="s">
        <v>654</v>
      </c>
      <c r="H432" s="1">
        <v>-80.0342</v>
      </c>
      <c r="I432" s="1">
        <v>26.61278</v>
      </c>
      <c r="J432" s="1">
        <f>HYPERLINK("https://tidesandcurrents.noaa.gov/stationhome.html?id=8722670", "8722670")</f>
        <v>0</v>
      </c>
      <c r="K432" s="1" t="s">
        <v>860</v>
      </c>
      <c r="L432" s="1" t="s">
        <v>866</v>
      </c>
      <c r="M432" s="1">
        <v>1645156</v>
      </c>
      <c r="N432" s="1">
        <v>0</v>
      </c>
      <c r="O432" s="1" t="s">
        <v>869</v>
      </c>
      <c r="P432" s="1" t="s">
        <v>874</v>
      </c>
      <c r="Q432" s="1">
        <v>2.454</v>
      </c>
      <c r="R432" s="1">
        <v>-0.554</v>
      </c>
      <c r="S432" s="2">
        <f>HYPERLINK("https://vdatum.noaa.gov/vdatumweb/api/convert?s_x=-80.0342&amp;s_y=26.61278&amp;s_z=0.0&amp;region=contiguous&amp;s_h_frame=NAD83_2011&amp;s_coor=geo&amp;s_v_frame=NAVD88&amp;s_v_unit=us_ft&amp;t_h_frame=NAD83_2011&amp;t_coor=geo&amp;t_v_frame=MLLW&amp;t_v_unit=us_ft", "NAVD88 to MLLW")</f>
        <v>0</v>
      </c>
      <c r="T432" s="2">
        <f>HYPERLINK("https://vdatum.noaa.gov/vdatumweb/api/convert?s_x=-80.0342&amp;s_y=26.61278&amp;s_z=0.0&amp;region=contiguous&amp;s_h_frame=NAD83_2011&amp;s_coor=geo&amp;s_v_frame=NAVD88&amp;s_v_unit=us_ft&amp;t_h_frame=NAD83_2011&amp;t_coor=geo&amp;t_v_frame=MHHW&amp;t_v_unit=us_ft", "NAVD88 to MHHW")</f>
        <v>0</v>
      </c>
    </row>
    <row r="433" spans="1:20">
      <c r="A433" s="1" t="s">
        <v>457</v>
      </c>
      <c r="B433" s="1" t="s">
        <v>631</v>
      </c>
      <c r="D433" s="1" t="s">
        <v>654</v>
      </c>
      <c r="H433" s="1">
        <v>-80.1617</v>
      </c>
      <c r="I433" s="1">
        <v>25.73167</v>
      </c>
      <c r="J433" s="1">
        <f>HYPERLINK("https://tidesandcurrents.noaa.gov/stationhome.html?id=8723214", "8723214")</f>
        <v>0</v>
      </c>
      <c r="K433" s="1" t="s">
        <v>860</v>
      </c>
      <c r="L433" s="1" t="s">
        <v>866</v>
      </c>
      <c r="M433" s="1">
        <v>1989810</v>
      </c>
      <c r="N433" s="1">
        <v>0</v>
      </c>
      <c r="O433" s="1" t="s">
        <v>869</v>
      </c>
      <c r="P433" s="1" t="s">
        <v>874</v>
      </c>
      <c r="Q433" s="1">
        <v>1.977</v>
      </c>
      <c r="R433" s="1">
        <v>-0.209</v>
      </c>
      <c r="S433" s="2">
        <f>HYPERLINK("https://vdatum.noaa.gov/vdatumweb/api/convert?s_x=-80.1617&amp;s_y=25.73167&amp;s_z=0.0&amp;region=contiguous&amp;s_h_frame=NAD83_2011&amp;s_coor=geo&amp;s_v_frame=NAVD88&amp;s_v_unit=us_ft&amp;t_h_frame=NAD83_2011&amp;t_coor=geo&amp;t_v_frame=MLLW&amp;t_v_unit=us_ft", "NAVD88 to MLLW")</f>
        <v>0</v>
      </c>
      <c r="T433" s="2">
        <f>HYPERLINK("https://vdatum.noaa.gov/vdatumweb/api/convert?s_x=-80.1617&amp;s_y=25.73167&amp;s_z=0.0&amp;region=contiguous&amp;s_h_frame=NAD83_2011&amp;s_coor=geo&amp;s_v_frame=NAVD88&amp;s_v_unit=us_ft&amp;t_h_frame=NAD83_2011&amp;t_coor=geo&amp;t_v_frame=MHHW&amp;t_v_unit=us_ft", "NAVD88 to MHHW")</f>
        <v>0</v>
      </c>
    </row>
    <row r="434" spans="1:20">
      <c r="A434" s="1" t="s">
        <v>458</v>
      </c>
      <c r="B434" s="1" t="s">
        <v>631</v>
      </c>
      <c r="D434" s="1" t="s">
        <v>654</v>
      </c>
      <c r="H434" s="1">
        <v>-81.8075</v>
      </c>
      <c r="I434" s="1">
        <v>26.13167</v>
      </c>
      <c r="J434" s="1">
        <f>HYPERLINK("https://tidesandcurrents.noaa.gov/stationhome.html?id=8725110", "8725110")</f>
        <v>0</v>
      </c>
      <c r="K434" s="1" t="s">
        <v>860</v>
      </c>
      <c r="L434" s="1" t="s">
        <v>866</v>
      </c>
      <c r="M434" s="1">
        <v>3075098</v>
      </c>
      <c r="N434" s="1">
        <v>0</v>
      </c>
      <c r="O434" s="1" t="s">
        <v>869</v>
      </c>
      <c r="P434" s="1" t="s">
        <v>874</v>
      </c>
      <c r="Q434" s="1">
        <v>2.284</v>
      </c>
      <c r="R434" s="1">
        <v>-0.583</v>
      </c>
      <c r="S434" s="2">
        <f>HYPERLINK("https://vdatum.noaa.gov/vdatumweb/api/convert?s_x=-81.8075&amp;s_y=26.13167&amp;s_z=0.0&amp;region=contiguous&amp;s_h_frame=NAD83_2011&amp;s_coor=geo&amp;s_v_frame=NAVD88&amp;s_v_unit=us_ft&amp;t_h_frame=NAD83_2011&amp;t_coor=geo&amp;t_v_frame=MLLW&amp;t_v_unit=us_ft", "NAVD88 to MLLW")</f>
        <v>0</v>
      </c>
      <c r="T434" s="2">
        <f>HYPERLINK("https://vdatum.noaa.gov/vdatumweb/api/convert?s_x=-81.8075&amp;s_y=26.13167&amp;s_z=0.0&amp;region=contiguous&amp;s_h_frame=NAD83_2011&amp;s_coor=geo&amp;s_v_frame=NAVD88&amp;s_v_unit=us_ft&amp;t_h_frame=NAD83_2011&amp;t_coor=geo&amp;t_v_frame=MHHW&amp;t_v_unit=us_ft", "NAVD88 to MHHW")</f>
        <v>0</v>
      </c>
    </row>
    <row r="435" spans="1:20">
      <c r="A435" s="1" t="s">
        <v>459</v>
      </c>
      <c r="B435" s="1" t="s">
        <v>631</v>
      </c>
      <c r="C435" s="1" t="s">
        <v>645</v>
      </c>
      <c r="D435" s="1" t="s">
        <v>654</v>
      </c>
      <c r="E435" s="1" t="s">
        <v>782</v>
      </c>
      <c r="F435" s="1" t="s">
        <v>847</v>
      </c>
      <c r="G435" s="1" t="s">
        <v>854</v>
      </c>
      <c r="H435" s="1">
        <v>-81.5443056</v>
      </c>
      <c r="I435" s="1">
        <v>25.926</v>
      </c>
      <c r="J435" s="1">
        <f>HYPERLINK("https://waterdata.usgs.gov/nwis/nwismap/?site_no=255534081324000&amp;agency_cd=USGS", "US255534081324000")</f>
        <v>0</v>
      </c>
      <c r="K435" s="1" t="s">
        <v>861</v>
      </c>
      <c r="L435" s="1" t="s">
        <v>867</v>
      </c>
      <c r="M435" s="1">
        <v>3603700</v>
      </c>
      <c r="N435" s="1">
        <v>-2.17</v>
      </c>
      <c r="O435" s="1" t="s">
        <v>869</v>
      </c>
      <c r="P435" s="1" t="s">
        <v>874</v>
      </c>
      <c r="Q435" s="1">
        <v>-999999</v>
      </c>
      <c r="R435" s="1">
        <v>-999999</v>
      </c>
      <c r="S435" s="2">
        <f>HYPERLINK("https://vdatum.noaa.gov/vdatumweb/api/convert?s_x=-81.5443056&amp;s_y=25.926&amp;s_z=0.0&amp;region=contiguous&amp;s_h_frame=NAD83_2011&amp;s_coor=geo&amp;s_v_frame=NAVD88&amp;s_v_unit=us_ft&amp;t_h_frame=NAD83_2011&amp;t_coor=geo&amp;t_v_frame=MLLW&amp;t_v_unit=us_ft", "Missing")</f>
        <v>0</v>
      </c>
      <c r="T435" s="2">
        <f>HYPERLINK("https://vdatum.noaa.gov/vdatumweb/api/convert?s_x=-81.5443056&amp;s_y=25.926&amp;s_z=0.0&amp;region=contiguous&amp;s_h_frame=NAD83_2011&amp;s_coor=geo&amp;s_v_frame=NAVD88&amp;s_v_unit=us_ft&amp;t_h_frame=NAD83_2011&amp;t_coor=geo&amp;t_v_frame=MHHW&amp;t_v_unit=us_ft", "Missing")</f>
        <v>0</v>
      </c>
    </row>
    <row r="436" spans="1:20">
      <c r="A436" s="1" t="s">
        <v>460</v>
      </c>
      <c r="B436" s="1" t="s">
        <v>632</v>
      </c>
      <c r="C436" s="1" t="s">
        <v>645</v>
      </c>
      <c r="D436" s="1" t="s">
        <v>654</v>
      </c>
      <c r="H436" s="1">
        <v>-80.59310000000001</v>
      </c>
      <c r="I436" s="1">
        <v>28.41583</v>
      </c>
      <c r="J436" s="1">
        <f>HYPERLINK("https://tidesandcurrents.noaa.gov/stationhome.html?id=8721604", "8721604")</f>
        <v>0</v>
      </c>
      <c r="K436" s="1" t="s">
        <v>860</v>
      </c>
      <c r="L436" s="1" t="s">
        <v>866</v>
      </c>
      <c r="M436" s="1">
        <v>4222069</v>
      </c>
      <c r="N436" s="1">
        <v>0</v>
      </c>
      <c r="O436" s="1" t="s">
        <v>869</v>
      </c>
      <c r="P436" s="1" t="s">
        <v>874</v>
      </c>
      <c r="Q436" s="1">
        <v>2.863</v>
      </c>
      <c r="R436" s="1">
        <v>-1.052</v>
      </c>
      <c r="S436" s="2">
        <f>HYPERLINK("https://vdatum.noaa.gov/vdatumweb/api/convert?s_x=-80.5931&amp;s_y=28.41583&amp;s_z=0.0&amp;region=contiguous&amp;s_h_frame=NAD83_2011&amp;s_coor=geo&amp;s_v_frame=NAVD88&amp;s_v_unit=us_ft&amp;t_h_frame=NAD83_2011&amp;t_coor=geo&amp;t_v_frame=MLLW&amp;t_v_unit=us_ft", "NAVD88 to MLLW")</f>
        <v>0</v>
      </c>
      <c r="T436" s="2">
        <f>HYPERLINK("https://vdatum.noaa.gov/vdatumweb/api/convert?s_x=-80.5931&amp;s_y=28.41583&amp;s_z=0.0&amp;region=contiguous&amp;s_h_frame=NAD83_2011&amp;s_coor=geo&amp;s_v_frame=NAVD88&amp;s_v_unit=us_ft&amp;t_h_frame=NAD83_2011&amp;t_coor=geo&amp;t_v_frame=MHHW&amp;t_v_unit=us_ft", "NAVD88 to MHHW")</f>
        <v>0</v>
      </c>
    </row>
    <row r="437" spans="1:20">
      <c r="A437" s="1" t="s">
        <v>461</v>
      </c>
      <c r="B437" s="1" t="s">
        <v>632</v>
      </c>
      <c r="C437" s="1" t="s">
        <v>645</v>
      </c>
      <c r="D437" s="1" t="s">
        <v>654</v>
      </c>
      <c r="E437" s="1" t="s">
        <v>783</v>
      </c>
      <c r="F437" s="1" t="s">
        <v>847</v>
      </c>
      <c r="G437" s="1" t="s">
        <v>854</v>
      </c>
      <c r="H437" s="1">
        <v>-81.52201253</v>
      </c>
      <c r="I437" s="1">
        <v>29.16691896</v>
      </c>
      <c r="J437" s="1">
        <f>HYPERLINK("https://waterdata.usgs.gov/nwis/nwismap/?site_no=02236125&amp;agency_cd=USGS", "US02236125")</f>
        <v>0</v>
      </c>
      <c r="K437" s="1" t="s">
        <v>861</v>
      </c>
      <c r="L437" s="1" t="s">
        <v>867</v>
      </c>
      <c r="M437" s="1">
        <v>3774480</v>
      </c>
      <c r="N437" s="1">
        <v>-0.34</v>
      </c>
      <c r="O437" s="1" t="s">
        <v>869</v>
      </c>
      <c r="P437" s="1" t="s">
        <v>874</v>
      </c>
      <c r="Q437" s="1">
        <v>-999999</v>
      </c>
      <c r="R437" s="1">
        <v>-999999</v>
      </c>
      <c r="S437" s="2">
        <f>HYPERLINK("https://vdatum.noaa.gov/vdatumweb/api/convert?s_x=-81.52201253&amp;s_y=29.16691896&amp;s_z=0.0&amp;region=contiguous&amp;s_h_frame=NAD83_2011&amp;s_coor=geo&amp;s_v_frame=NAVD88&amp;s_v_unit=us_ft&amp;t_h_frame=NAD83_2011&amp;t_coor=geo&amp;t_v_frame=MLLW&amp;t_v_unit=us_ft", "Missing")</f>
        <v>0</v>
      </c>
      <c r="T437" s="2">
        <f>HYPERLINK("https://vdatum.noaa.gov/vdatumweb/api/convert?s_x=-81.52201253&amp;s_y=29.16691896&amp;s_z=0.0&amp;region=contiguous&amp;s_h_frame=NAD83_2011&amp;s_coor=geo&amp;s_v_frame=NAVD88&amp;s_v_unit=us_ft&amp;t_h_frame=NAD83_2011&amp;t_coor=geo&amp;t_v_frame=MHHW&amp;t_v_unit=us_ft", "Missing")</f>
        <v>0</v>
      </c>
    </row>
    <row r="438" spans="1:20">
      <c r="A438" s="1" t="s">
        <v>462</v>
      </c>
      <c r="B438" s="1" t="s">
        <v>632</v>
      </c>
      <c r="C438" s="1" t="s">
        <v>645</v>
      </c>
      <c r="D438" s="1" t="s">
        <v>654</v>
      </c>
      <c r="H438" s="1">
        <v>-80.42754879</v>
      </c>
      <c r="I438" s="1">
        <v>27.75446779</v>
      </c>
      <c r="J438" s="1">
        <f>HYPERLINK("https://waterdata.usgs.gov/nwis/nwismap/?site_no=02251800&amp;agency_cd=USGS", "US02251800")</f>
        <v>0</v>
      </c>
      <c r="K438" s="1" t="s">
        <v>861</v>
      </c>
      <c r="L438" s="1" t="s">
        <v>867</v>
      </c>
      <c r="M438" s="1">
        <v>4222523</v>
      </c>
      <c r="N438" s="1">
        <v>-0.45</v>
      </c>
      <c r="O438" s="1" t="s">
        <v>869</v>
      </c>
      <c r="P438" s="1" t="s">
        <v>874</v>
      </c>
      <c r="Q438" s="1">
        <v>1.138</v>
      </c>
      <c r="R438" s="1">
        <v>0.657</v>
      </c>
      <c r="S438" s="2">
        <f>HYPERLINK("https://vdatum.noaa.gov/vdatumweb/api/convert?s_x=-80.42754879&amp;s_y=27.75446779&amp;s_z=0.0&amp;region=contiguous&amp;s_h_frame=NAD83_2011&amp;s_coor=geo&amp;s_v_frame=NAVD88&amp;s_v_unit=us_ft&amp;t_h_frame=NAD83_2011&amp;t_coor=geo&amp;t_v_frame=MLLW&amp;t_v_unit=us_ft", "NAVD88 to MLLW")</f>
        <v>0</v>
      </c>
      <c r="T438" s="2">
        <f>HYPERLINK("https://vdatum.noaa.gov/vdatumweb/api/convert?s_x=-80.42754879&amp;s_y=27.75446779&amp;s_z=0.0&amp;region=contiguous&amp;s_h_frame=NAD83_2011&amp;s_coor=geo&amp;s_v_frame=NAVD88&amp;s_v_unit=us_ft&amp;t_h_frame=NAD83_2011&amp;t_coor=geo&amp;t_v_frame=MHHW&amp;t_v_unit=us_ft", "NAVD88 to MHHW")</f>
        <v>0</v>
      </c>
    </row>
    <row r="439" spans="1:20">
      <c r="A439" s="1" t="s">
        <v>463</v>
      </c>
      <c r="B439" s="1" t="s">
        <v>632</v>
      </c>
      <c r="D439" s="1" t="s">
        <v>654</v>
      </c>
      <c r="H439" s="1">
        <v>-80.25878056000001</v>
      </c>
      <c r="I439" s="1">
        <v>27.20479496</v>
      </c>
      <c r="J439" s="1">
        <f>HYPERLINK("https://waterdata.usgs.gov/nwis/nwismap/?site_no=02277100&amp;agency_cd=USGS", "US02277100")</f>
        <v>0</v>
      </c>
      <c r="K439" s="1" t="s">
        <v>861</v>
      </c>
      <c r="L439" s="1" t="s">
        <v>867</v>
      </c>
      <c r="M439" s="1">
        <v>6970445</v>
      </c>
      <c r="N439" s="1">
        <v>-0.445</v>
      </c>
      <c r="O439" s="1" t="s">
        <v>869</v>
      </c>
      <c r="P439" s="1" t="s">
        <v>874</v>
      </c>
      <c r="Q439" s="1">
        <v>1.385</v>
      </c>
      <c r="R439" s="1">
        <v>0.302</v>
      </c>
      <c r="S439" s="2">
        <f>HYPERLINK("https://vdatum.noaa.gov/vdatumweb/api/convert?s_x=-80.25878056&amp;s_y=27.20479496&amp;s_z=0.0&amp;region=contiguous&amp;s_h_frame=NAD83_2011&amp;s_coor=geo&amp;s_v_frame=NAVD88&amp;s_v_unit=us_ft&amp;t_h_frame=NAD83_2011&amp;t_coor=geo&amp;t_v_frame=MLLW&amp;t_v_unit=us_ft", "NAVD88 to MLLW")</f>
        <v>0</v>
      </c>
      <c r="T439" s="2">
        <f>HYPERLINK("https://vdatum.noaa.gov/vdatumweb/api/convert?s_x=-80.25878056&amp;s_y=27.20479496&amp;s_z=0.0&amp;region=contiguous&amp;s_h_frame=NAD83_2011&amp;s_coor=geo&amp;s_v_frame=NAVD88&amp;s_v_unit=us_ft&amp;t_h_frame=NAD83_2011&amp;t_coor=geo&amp;t_v_frame=MHHW&amp;t_v_unit=us_ft", "NAVD88 to MHHW")</f>
        <v>0</v>
      </c>
    </row>
    <row r="440" spans="1:20">
      <c r="A440" s="1" t="s">
        <v>464</v>
      </c>
      <c r="B440" s="1" t="s">
        <v>632</v>
      </c>
      <c r="D440" s="1" t="s">
        <v>654</v>
      </c>
      <c r="H440" s="1">
        <v>-80.20744168</v>
      </c>
      <c r="I440" s="1">
        <v>27.19902274</v>
      </c>
      <c r="J440" s="1">
        <f>HYPERLINK("https://waterdata.usgs.gov/nwis/nwismap/?site_no=02277110&amp;agency_cd=USGS", "US02277110")</f>
        <v>0</v>
      </c>
      <c r="K440" s="1" t="s">
        <v>861</v>
      </c>
      <c r="L440" s="1" t="s">
        <v>867</v>
      </c>
      <c r="M440" s="1">
        <v>5029974</v>
      </c>
      <c r="N440" s="1">
        <v>-0.44</v>
      </c>
      <c r="O440" s="1" t="s">
        <v>869</v>
      </c>
      <c r="P440" s="1" t="s">
        <v>874</v>
      </c>
      <c r="Q440" s="1">
        <v>1.541</v>
      </c>
      <c r="R440" s="1">
        <v>0.507</v>
      </c>
      <c r="S440" s="2">
        <f>HYPERLINK("https://vdatum.noaa.gov/vdatumweb/api/convert?s_x=-80.20744168&amp;s_y=27.19902274&amp;s_z=0.0&amp;region=contiguous&amp;s_h_frame=NAD83_2011&amp;s_coor=geo&amp;s_v_frame=NAVD88&amp;s_v_unit=us_ft&amp;t_h_frame=NAD83_2011&amp;t_coor=geo&amp;t_v_frame=MLLW&amp;t_v_unit=us_ft", "NAVD88 to MLLW")</f>
        <v>0</v>
      </c>
      <c r="T440" s="2">
        <f>HYPERLINK("https://vdatum.noaa.gov/vdatumweb/api/convert?s_x=-80.20744168&amp;s_y=27.19902274&amp;s_z=0.0&amp;region=contiguous&amp;s_h_frame=NAD83_2011&amp;s_coor=geo&amp;s_v_frame=NAVD88&amp;s_v_unit=us_ft&amp;t_h_frame=NAD83_2011&amp;t_coor=geo&amp;t_v_frame=MHHW&amp;t_v_unit=us_ft", "NAVD88 to MHHW")</f>
        <v>0</v>
      </c>
    </row>
    <row r="441" spans="1:20">
      <c r="A441" s="1" t="s">
        <v>465</v>
      </c>
      <c r="B441" s="1" t="s">
        <v>632</v>
      </c>
      <c r="C441" s="1" t="s">
        <v>645</v>
      </c>
      <c r="D441" s="1" t="s">
        <v>654</v>
      </c>
      <c r="E441" s="1" t="s">
        <v>784</v>
      </c>
      <c r="F441" s="1" t="s">
        <v>847</v>
      </c>
      <c r="G441" s="1" t="s">
        <v>854</v>
      </c>
      <c r="H441" s="1">
        <v>-80.16</v>
      </c>
      <c r="I441" s="1">
        <v>26.98528333</v>
      </c>
      <c r="J441" s="1">
        <f>HYPERLINK("https://waterdata.usgs.gov/nwis/nwismap/?site_no=265906080093500&amp;agency_cd=USGS", "US265906080093500")</f>
        <v>0</v>
      </c>
      <c r="K441" s="1" t="s">
        <v>861</v>
      </c>
      <c r="L441" s="1" t="s">
        <v>867</v>
      </c>
      <c r="M441" s="1">
        <v>6259972</v>
      </c>
      <c r="N441" s="1">
        <v>-0.461</v>
      </c>
      <c r="O441" s="1" t="s">
        <v>869</v>
      </c>
      <c r="P441" s="1" t="s">
        <v>874</v>
      </c>
      <c r="Q441" s="1">
        <v>-999999</v>
      </c>
      <c r="R441" s="1">
        <v>-999999</v>
      </c>
      <c r="S441" s="2">
        <f>HYPERLINK("https://vdatum.noaa.gov/vdatumweb/api/convert?s_x=-80.16&amp;s_y=26.98528333&amp;s_z=0.0&amp;region=contiguous&amp;s_h_frame=NAD83_2011&amp;s_coor=geo&amp;s_v_frame=NAVD88&amp;s_v_unit=us_ft&amp;t_h_frame=NAD83_2011&amp;t_coor=geo&amp;t_v_frame=MLLW&amp;t_v_unit=us_ft", "Missing")</f>
        <v>0</v>
      </c>
      <c r="T441" s="2">
        <f>HYPERLINK("https://vdatum.noaa.gov/vdatumweb/api/convert?s_x=-80.16&amp;s_y=26.98528333&amp;s_z=0.0&amp;region=contiguous&amp;s_h_frame=NAD83_2011&amp;s_coor=geo&amp;s_v_frame=NAVD88&amp;s_v_unit=us_ft&amp;t_h_frame=NAD83_2011&amp;t_coor=geo&amp;t_v_frame=MHHW&amp;t_v_unit=us_ft", "Missing")</f>
        <v>0</v>
      </c>
    </row>
    <row r="442" spans="1:20">
      <c r="A442" s="1" t="s">
        <v>466</v>
      </c>
      <c r="B442" s="1" t="s">
        <v>633</v>
      </c>
      <c r="C442" s="1" t="s">
        <v>645</v>
      </c>
      <c r="D442" s="1" t="s">
        <v>654</v>
      </c>
      <c r="E442" s="1" t="s">
        <v>785</v>
      </c>
      <c r="F442" s="1" t="s">
        <v>847</v>
      </c>
      <c r="G442" s="1" t="s">
        <v>856</v>
      </c>
      <c r="H442" s="1">
        <v>-87.21120000000001</v>
      </c>
      <c r="I442" s="1">
        <v>30.40439</v>
      </c>
      <c r="J442" s="1">
        <f>HYPERLINK("https://tidesandcurrents.noaa.gov/stationhome.html?id=8729840", "8729840")</f>
        <v>0</v>
      </c>
      <c r="K442" s="1" t="s">
        <v>865</v>
      </c>
      <c r="L442" s="1" t="s">
        <v>866</v>
      </c>
      <c r="M442" s="1">
        <v>3238423</v>
      </c>
      <c r="N442" s="1">
        <v>0</v>
      </c>
      <c r="O442" s="1" t="s">
        <v>869</v>
      </c>
      <c r="P442" s="1" t="s">
        <v>874</v>
      </c>
      <c r="Q442" s="1">
        <v>0.324</v>
      </c>
      <c r="R442" s="1">
        <v>-0.9340000000000001</v>
      </c>
      <c r="S442" s="2">
        <f>HYPERLINK("https://vdatum.noaa.gov/vdatumweb/api/convert?s_x=-87.2112&amp;s_y=30.40439&amp;s_z=0.0&amp;region=contiguous&amp;s_h_frame=NAD83_2011&amp;s_coor=geo&amp;s_v_frame=NAVD88&amp;s_v_unit=us_ft&amp;t_h_frame=NAD83_2011&amp;t_coor=geo&amp;t_v_frame=MLLW&amp;t_v_unit=us_ft", "NAVD88 to MLLW")</f>
        <v>0</v>
      </c>
      <c r="T442" s="2">
        <f>HYPERLINK("https://vdatum.noaa.gov/vdatumweb/api/convert?s_x=-87.2112&amp;s_y=30.40439&amp;s_z=0.0&amp;region=contiguous&amp;s_h_frame=NAD83_2011&amp;s_coor=geo&amp;s_v_frame=NAVD88&amp;s_v_unit=us_ft&amp;t_h_frame=NAD83_2011&amp;t_coor=geo&amp;t_v_frame=MHHW&amp;t_v_unit=us_ft", "NAVD88 to MHHW")</f>
        <v>0</v>
      </c>
    </row>
    <row r="443" spans="1:20">
      <c r="A443" s="1" t="s">
        <v>467</v>
      </c>
      <c r="B443" s="1" t="s">
        <v>633</v>
      </c>
      <c r="C443" s="1" t="s">
        <v>645</v>
      </c>
      <c r="D443" s="1" t="s">
        <v>654</v>
      </c>
      <c r="E443" s="1" t="s">
        <v>786</v>
      </c>
      <c r="F443" s="1" t="s">
        <v>850</v>
      </c>
      <c r="G443" s="1" t="s">
        <v>856</v>
      </c>
      <c r="H443" s="1">
        <v>-87.8254</v>
      </c>
      <c r="I443" s="1">
        <v>30.4169</v>
      </c>
      <c r="J443" s="1">
        <f>HYPERLINK("https://tidesandcurrents.noaa.gov/stationhome.html?id=8732828", "8732828")</f>
        <v>0</v>
      </c>
      <c r="K443" s="1" t="s">
        <v>865</v>
      </c>
      <c r="L443" s="1" t="s">
        <v>866</v>
      </c>
      <c r="M443" s="1">
        <v>2335212</v>
      </c>
      <c r="N443" s="1">
        <v>0</v>
      </c>
      <c r="O443" s="1" t="s">
        <v>869</v>
      </c>
      <c r="P443" s="1" t="s">
        <v>874</v>
      </c>
      <c r="Q443" s="1">
        <v>-999999</v>
      </c>
      <c r="R443" s="1">
        <v>-999999</v>
      </c>
      <c r="S443" s="2">
        <f>HYPERLINK("https://vdatum.noaa.gov/vdatumweb/api/convert?s_x=-87.8254&amp;s_y=30.4169&amp;s_z=0.0&amp;region=contiguous&amp;s_h_frame=NAD83_2011&amp;s_coor=geo&amp;s_v_frame=NAVD88&amp;s_v_unit=us_ft&amp;t_h_frame=NAD83_2011&amp;t_coor=geo&amp;t_v_frame=MLLW&amp;t_v_unit=us_ft", "Missing")</f>
        <v>0</v>
      </c>
      <c r="T443" s="2">
        <f>HYPERLINK("https://vdatum.noaa.gov/vdatumweb/api/convert?s_x=-87.8254&amp;s_y=30.4169&amp;s_z=0.0&amp;region=contiguous&amp;s_h_frame=NAD83_2011&amp;s_coor=geo&amp;s_v_frame=NAVD88&amp;s_v_unit=us_ft&amp;t_h_frame=NAD83_2011&amp;t_coor=geo&amp;t_v_frame=MHHW&amp;t_v_unit=us_ft", "Missing")</f>
        <v>0</v>
      </c>
    </row>
    <row r="444" spans="1:20">
      <c r="A444" s="1" t="s">
        <v>468</v>
      </c>
      <c r="B444" s="1" t="s">
        <v>633</v>
      </c>
      <c r="D444" s="1" t="s">
        <v>654</v>
      </c>
      <c r="H444" s="1">
        <v>-88.075</v>
      </c>
      <c r="I444" s="1">
        <v>30.25</v>
      </c>
      <c r="J444" s="1">
        <f>HYPERLINK("https://tidesandcurrents.noaa.gov/stationhome.html?id=8735180", "8735180")</f>
        <v>0</v>
      </c>
      <c r="K444" s="1" t="s">
        <v>865</v>
      </c>
      <c r="L444" s="1" t="s">
        <v>866</v>
      </c>
      <c r="M444" s="1">
        <v>3865122</v>
      </c>
      <c r="N444" s="1">
        <v>0</v>
      </c>
      <c r="O444" s="1" t="s">
        <v>869</v>
      </c>
      <c r="P444" s="1" t="s">
        <v>874</v>
      </c>
      <c r="Q444" s="1">
        <v>0.23</v>
      </c>
      <c r="R444" s="1">
        <v>-0.974</v>
      </c>
      <c r="S444" s="2">
        <f>HYPERLINK("https://vdatum.noaa.gov/vdatumweb/api/convert?s_x=-88.075&amp;s_y=30.25&amp;s_z=0.0&amp;region=contiguous&amp;s_h_frame=NAD83_2011&amp;s_coor=geo&amp;s_v_frame=NAVD88&amp;s_v_unit=us_ft&amp;t_h_frame=NAD83_2011&amp;t_coor=geo&amp;t_v_frame=MLLW&amp;t_v_unit=us_ft", "NAVD88 to MLLW")</f>
        <v>0</v>
      </c>
      <c r="T444" s="2">
        <f>HYPERLINK("https://vdatum.noaa.gov/vdatumweb/api/convert?s_x=-88.075&amp;s_y=30.25&amp;s_z=0.0&amp;region=contiguous&amp;s_h_frame=NAD83_2011&amp;s_coor=geo&amp;s_v_frame=NAVD88&amp;s_v_unit=us_ft&amp;t_h_frame=NAD83_2011&amp;t_coor=geo&amp;t_v_frame=MHHW&amp;t_v_unit=us_ft", "NAVD88 to MHHW")</f>
        <v>0</v>
      </c>
    </row>
    <row r="445" spans="1:20">
      <c r="A445" s="1" t="s">
        <v>469</v>
      </c>
      <c r="B445" s="1" t="s">
        <v>633</v>
      </c>
      <c r="C445" s="1" t="s">
        <v>645</v>
      </c>
      <c r="D445" s="1" t="s">
        <v>654</v>
      </c>
      <c r="H445" s="1">
        <v>-88.08799999999999</v>
      </c>
      <c r="I445" s="1">
        <v>30.5652</v>
      </c>
      <c r="J445" s="1">
        <f>HYPERLINK("https://tidesandcurrents.noaa.gov/stationhome.html?id=8735391", "8735391")</f>
        <v>0</v>
      </c>
      <c r="K445" s="1" t="s">
        <v>865</v>
      </c>
      <c r="L445" s="1" t="s">
        <v>866</v>
      </c>
      <c r="M445" s="1">
        <v>7208398</v>
      </c>
      <c r="N445" s="1">
        <v>0.138</v>
      </c>
      <c r="O445" s="1" t="s">
        <v>869</v>
      </c>
      <c r="P445" s="1" t="s">
        <v>874</v>
      </c>
      <c r="Q445" s="1">
        <v>0.343</v>
      </c>
      <c r="R445" s="1">
        <v>-1.259</v>
      </c>
      <c r="S445" s="2">
        <f>HYPERLINK("https://vdatum.noaa.gov/vdatumweb/api/convert?s_x=-88.088&amp;s_y=30.5652&amp;s_z=0.0&amp;region=contiguous&amp;s_h_frame=NAD83_2011&amp;s_coor=geo&amp;s_v_frame=NAVD88&amp;s_v_unit=us_ft&amp;t_h_frame=NAD83_2011&amp;t_coor=geo&amp;t_v_frame=MLLW&amp;t_v_unit=us_ft", "NAVD88 to MLLW")</f>
        <v>0</v>
      </c>
      <c r="T445" s="2">
        <f>HYPERLINK("https://vdatum.noaa.gov/vdatumweb/api/convert?s_x=-88.088&amp;s_y=30.5652&amp;s_z=0.0&amp;region=contiguous&amp;s_h_frame=NAD83_2011&amp;s_coor=geo&amp;s_v_frame=NAVD88&amp;s_v_unit=us_ft&amp;t_h_frame=NAD83_2011&amp;t_coor=geo&amp;t_v_frame=MHHW&amp;t_v_unit=us_ft", "NAVD88 to MHHW")</f>
        <v>0</v>
      </c>
    </row>
    <row r="446" spans="1:20">
      <c r="A446" s="1" t="s">
        <v>470</v>
      </c>
      <c r="B446" s="1" t="s">
        <v>633</v>
      </c>
      <c r="C446" s="1" t="s">
        <v>645</v>
      </c>
      <c r="D446" s="1" t="s">
        <v>654</v>
      </c>
      <c r="H446" s="1">
        <v>-88.1139</v>
      </c>
      <c r="I446" s="1">
        <v>30.4437</v>
      </c>
      <c r="J446" s="1">
        <f>HYPERLINK("https://tidesandcurrents.noaa.gov/stationhome.html?id=8735523", "8735523")</f>
        <v>0</v>
      </c>
      <c r="K446" s="1" t="s">
        <v>865</v>
      </c>
      <c r="L446" s="1" t="s">
        <v>866</v>
      </c>
      <c r="M446" s="1">
        <v>7208449</v>
      </c>
      <c r="N446" s="1">
        <v>0</v>
      </c>
      <c r="O446" s="1" t="s">
        <v>869</v>
      </c>
      <c r="P446" s="1" t="s">
        <v>874</v>
      </c>
      <c r="Q446" s="1">
        <v>-999999</v>
      </c>
      <c r="R446" s="1">
        <v>-999999</v>
      </c>
      <c r="S446" s="2">
        <f>HYPERLINK("https://vdatum.noaa.gov/vdatumweb/api/convert?s_x=-88.1139&amp;s_y=30.4437&amp;s_z=0.0&amp;region=contiguous&amp;s_h_frame=NAD83_2011&amp;s_coor=geo&amp;s_v_frame=NAVD88&amp;s_v_unit=us_ft&amp;t_h_frame=NAD83_2011&amp;t_coor=geo&amp;t_v_frame=MLLW&amp;t_v_unit=us_ft", "Missing")</f>
        <v>0</v>
      </c>
      <c r="T446" s="2">
        <f>HYPERLINK("https://vdatum.noaa.gov/vdatumweb/api/convert?s_x=-88.1139&amp;s_y=30.4437&amp;s_z=0.0&amp;region=contiguous&amp;s_h_frame=NAD83_2011&amp;s_coor=geo&amp;s_v_frame=NAVD88&amp;s_v_unit=us_ft&amp;t_h_frame=NAD83_2011&amp;t_coor=geo&amp;t_v_frame=MHHW&amp;t_v_unit=us_ft", "Missing")</f>
        <v>0</v>
      </c>
    </row>
    <row r="447" spans="1:20">
      <c r="A447" s="1" t="s">
        <v>471</v>
      </c>
      <c r="B447" s="1" t="s">
        <v>633</v>
      </c>
      <c r="C447" s="1" t="s">
        <v>645</v>
      </c>
      <c r="D447" s="1" t="s">
        <v>654</v>
      </c>
      <c r="E447" s="1" t="s">
        <v>787</v>
      </c>
      <c r="F447" s="1" t="s">
        <v>850</v>
      </c>
      <c r="G447" s="1" t="s">
        <v>856</v>
      </c>
      <c r="H447" s="1">
        <v>-88.0583</v>
      </c>
      <c r="I447" s="1">
        <v>30.6483</v>
      </c>
      <c r="J447" s="1">
        <f>HYPERLINK("https://tidesandcurrents.noaa.gov/stationhome.html?id=8736897", "8736897")</f>
        <v>0</v>
      </c>
      <c r="K447" s="1" t="s">
        <v>865</v>
      </c>
      <c r="L447" s="1" t="s">
        <v>866</v>
      </c>
      <c r="M447" s="1">
        <v>5263983</v>
      </c>
      <c r="N447" s="1">
        <v>0</v>
      </c>
      <c r="O447" s="1" t="s">
        <v>869</v>
      </c>
      <c r="P447" s="1" t="s">
        <v>874</v>
      </c>
      <c r="Q447" s="1">
        <v>0.342</v>
      </c>
      <c r="R447" s="1">
        <v>-1.291</v>
      </c>
      <c r="S447" s="2">
        <f>HYPERLINK("https://vdatum.noaa.gov/vdatumweb/api/convert?s_x=-88.0583&amp;s_y=30.6483&amp;s_z=0.0&amp;region=contiguous&amp;s_h_frame=NAD83_2011&amp;s_coor=geo&amp;s_v_frame=NAVD88&amp;s_v_unit=us_ft&amp;t_h_frame=NAD83_2011&amp;t_coor=geo&amp;t_v_frame=MLLW&amp;t_v_unit=us_ft", "NAVD88 to MLLW")</f>
        <v>0</v>
      </c>
      <c r="T447" s="2">
        <f>HYPERLINK("https://vdatum.noaa.gov/vdatumweb/api/convert?s_x=-88.0583&amp;s_y=30.6483&amp;s_z=0.0&amp;region=contiguous&amp;s_h_frame=NAD83_2011&amp;s_coor=geo&amp;s_v_frame=NAVD88&amp;s_v_unit=us_ft&amp;t_h_frame=NAD83_2011&amp;t_coor=geo&amp;t_v_frame=MHHW&amp;t_v_unit=us_ft", "NAVD88 to MHHW")</f>
        <v>0</v>
      </c>
    </row>
    <row r="448" spans="1:20">
      <c r="A448" s="1" t="s">
        <v>472</v>
      </c>
      <c r="B448" s="1" t="s">
        <v>633</v>
      </c>
      <c r="C448" s="1" t="s">
        <v>645</v>
      </c>
      <c r="D448" s="1" t="s">
        <v>654</v>
      </c>
      <c r="H448" s="1">
        <v>-88.03959999999999</v>
      </c>
      <c r="I448" s="1">
        <v>30.70461</v>
      </c>
      <c r="J448" s="1">
        <f>HYPERLINK("https://tidesandcurrents.noaa.gov/stationhome.html?id=8737048", "8737048")</f>
        <v>0</v>
      </c>
      <c r="K448" s="1" t="s">
        <v>865</v>
      </c>
      <c r="L448" s="1" t="s">
        <v>866</v>
      </c>
      <c r="M448" s="1">
        <v>6149330</v>
      </c>
      <c r="N448" s="1">
        <v>0</v>
      </c>
      <c r="O448" s="1" t="s">
        <v>869</v>
      </c>
      <c r="P448" s="1" t="s">
        <v>874</v>
      </c>
      <c r="Q448" s="1">
        <v>0.344</v>
      </c>
      <c r="R448" s="1">
        <v>-1.288</v>
      </c>
      <c r="S448" s="2">
        <f>HYPERLINK("https://vdatum.noaa.gov/vdatumweb/api/convert?s_x=-88.0396&amp;s_y=30.70461&amp;s_z=0.0&amp;region=contiguous&amp;s_h_frame=NAD83_2011&amp;s_coor=geo&amp;s_v_frame=NAVD88&amp;s_v_unit=us_ft&amp;t_h_frame=NAD83_2011&amp;t_coor=geo&amp;t_v_frame=MLLW&amp;t_v_unit=us_ft", "NAVD88 to MLLW")</f>
        <v>0</v>
      </c>
      <c r="T448" s="2">
        <f>HYPERLINK("https://vdatum.noaa.gov/vdatumweb/api/convert?s_x=-88.0396&amp;s_y=30.70461&amp;s_z=0.0&amp;region=contiguous&amp;s_h_frame=NAD83_2011&amp;s_coor=geo&amp;s_v_frame=NAVD88&amp;s_v_unit=us_ft&amp;t_h_frame=NAD83_2011&amp;t_coor=geo&amp;t_v_frame=MHHW&amp;t_v_unit=us_ft", "NAVD88 to MHHW")</f>
        <v>0</v>
      </c>
    </row>
    <row r="449" spans="1:20">
      <c r="A449" s="1" t="s">
        <v>473</v>
      </c>
      <c r="B449" s="1" t="s">
        <v>633</v>
      </c>
      <c r="C449" s="1" t="s">
        <v>645</v>
      </c>
      <c r="D449" s="1" t="s">
        <v>654</v>
      </c>
      <c r="E449" s="1" t="s">
        <v>787</v>
      </c>
      <c r="F449" s="1" t="s">
        <v>850</v>
      </c>
      <c r="G449" s="1" t="s">
        <v>856</v>
      </c>
      <c r="H449" s="1">
        <v>-88.0736</v>
      </c>
      <c r="I449" s="1">
        <v>30.7819</v>
      </c>
      <c r="J449" s="1">
        <f>HYPERLINK("https://tidesandcurrents.noaa.gov/stationhome.html?id=8737138", "8737138")</f>
        <v>0</v>
      </c>
      <c r="K449" s="1" t="s">
        <v>865</v>
      </c>
      <c r="L449" s="1" t="s">
        <v>866</v>
      </c>
      <c r="M449" s="1">
        <v>5728088</v>
      </c>
      <c r="N449" s="1">
        <v>0</v>
      </c>
      <c r="O449" s="1" t="s">
        <v>869</v>
      </c>
      <c r="P449" s="1" t="s">
        <v>874</v>
      </c>
      <c r="Q449" s="1">
        <v>-999999</v>
      </c>
      <c r="R449" s="1">
        <v>-999999</v>
      </c>
      <c r="S449" s="2">
        <f>HYPERLINK("https://vdatum.noaa.gov/vdatumweb/api/convert?s_x=-88.0736&amp;s_y=30.7819&amp;s_z=0.0&amp;region=contiguous&amp;s_h_frame=NAD83_2011&amp;s_coor=geo&amp;s_v_frame=NAVD88&amp;s_v_unit=us_ft&amp;t_h_frame=NAD83_2011&amp;t_coor=geo&amp;t_v_frame=MLLW&amp;t_v_unit=us_ft", "Missing")</f>
        <v>0</v>
      </c>
      <c r="T449" s="2">
        <f>HYPERLINK("https://vdatum.noaa.gov/vdatumweb/api/convert?s_x=-88.0736&amp;s_y=30.7819&amp;s_z=0.0&amp;region=contiguous&amp;s_h_frame=NAD83_2011&amp;s_coor=geo&amp;s_v_frame=NAVD88&amp;s_v_unit=us_ft&amp;t_h_frame=NAD83_2011&amp;t_coor=geo&amp;t_v_frame=MHHW&amp;t_v_unit=us_ft", "Missing")</f>
        <v>0</v>
      </c>
    </row>
    <row r="450" spans="1:20">
      <c r="A450" s="1" t="s">
        <v>474</v>
      </c>
      <c r="B450" s="1" t="s">
        <v>633</v>
      </c>
      <c r="C450" s="1" t="s">
        <v>649</v>
      </c>
      <c r="D450" s="1" t="s">
        <v>654</v>
      </c>
      <c r="E450" s="1" t="s">
        <v>787</v>
      </c>
      <c r="F450" s="1" t="s">
        <v>850</v>
      </c>
      <c r="G450" s="1" t="s">
        <v>856</v>
      </c>
      <c r="H450" s="1">
        <v>-88.15860000000001</v>
      </c>
      <c r="I450" s="1">
        <v>30.3766</v>
      </c>
      <c r="J450" s="1">
        <f>HYPERLINK("https://tidesandcurrents.noaa.gov/stationhome.html?id=8738043", "8738043")</f>
        <v>0</v>
      </c>
      <c r="K450" s="1" t="s">
        <v>865</v>
      </c>
      <c r="L450" s="1" t="s">
        <v>866</v>
      </c>
      <c r="M450" s="1">
        <v>6249274</v>
      </c>
      <c r="N450" s="1">
        <v>0</v>
      </c>
      <c r="O450" s="1" t="s">
        <v>869</v>
      </c>
      <c r="P450" s="1" t="s">
        <v>874</v>
      </c>
      <c r="Q450" s="1">
        <v>-999999</v>
      </c>
      <c r="R450" s="1">
        <v>-999999</v>
      </c>
      <c r="S450" s="2">
        <f>HYPERLINK("https://vdatum.noaa.gov/vdatumweb/api/convert?s_x=-88.1586&amp;s_y=30.3766&amp;s_z=0.0&amp;region=contiguous&amp;s_h_frame=NAD83_2011&amp;s_coor=geo&amp;s_v_frame=NAVD88&amp;s_v_unit=us_ft&amp;t_h_frame=NAD83_2011&amp;t_coor=geo&amp;t_v_frame=MLLW&amp;t_v_unit=us_ft", "Missing")</f>
        <v>0</v>
      </c>
      <c r="T450" s="2">
        <f>HYPERLINK("https://vdatum.noaa.gov/vdatumweb/api/convert?s_x=-88.1586&amp;s_y=30.3766&amp;s_z=0.0&amp;region=contiguous&amp;s_h_frame=NAD83_2011&amp;s_coor=geo&amp;s_v_frame=NAVD88&amp;s_v_unit=us_ft&amp;t_h_frame=NAD83_2011&amp;t_coor=geo&amp;t_v_frame=MHHW&amp;t_v_unit=us_ft", "Missing")</f>
        <v>0</v>
      </c>
    </row>
    <row r="451" spans="1:20">
      <c r="A451" s="1" t="s">
        <v>475</v>
      </c>
      <c r="B451" s="1" t="s">
        <v>633</v>
      </c>
      <c r="C451" s="1" t="s">
        <v>645</v>
      </c>
      <c r="D451" s="1" t="s">
        <v>654</v>
      </c>
      <c r="H451" s="1">
        <v>-87.6866524</v>
      </c>
      <c r="I451" s="1">
        <v>30.27964626</v>
      </c>
      <c r="J451" s="1">
        <f>HYPERLINK("https://waterdata.usgs.gov/nwis/nwismap/?site_no=02378185&amp;agency_cd=USGS", "US02378185")</f>
        <v>0</v>
      </c>
      <c r="K451" s="1" t="s">
        <v>861</v>
      </c>
      <c r="L451" s="1" t="s">
        <v>867</v>
      </c>
      <c r="M451" s="1">
        <v>5385357</v>
      </c>
      <c r="N451" s="1">
        <v>0</v>
      </c>
      <c r="O451" s="1" t="s">
        <v>869</v>
      </c>
      <c r="P451" s="1" t="s">
        <v>874</v>
      </c>
      <c r="Q451" s="1">
        <v>0.261</v>
      </c>
      <c r="R451" s="1">
        <v>-0.9</v>
      </c>
      <c r="S451" s="2">
        <f>HYPERLINK("https://vdatum.noaa.gov/vdatumweb/api/convert?s_x=-87.6866524&amp;s_y=30.27964626&amp;s_z=0.0&amp;region=contiguous&amp;s_h_frame=NAD83_2011&amp;s_coor=geo&amp;s_v_frame=NAVD88&amp;s_v_unit=us_ft&amp;t_h_frame=NAD83_2011&amp;t_coor=geo&amp;t_v_frame=MLLW&amp;t_v_unit=us_ft", "NAVD88 to MLLW")</f>
        <v>0</v>
      </c>
      <c r="T451" s="2">
        <f>HYPERLINK("https://vdatum.noaa.gov/vdatumweb/api/convert?s_x=-87.6866524&amp;s_y=30.27964626&amp;s_z=0.0&amp;region=contiguous&amp;s_h_frame=NAD83_2011&amp;s_coor=geo&amp;s_v_frame=NAVD88&amp;s_v_unit=us_ft&amp;t_h_frame=NAD83_2011&amp;t_coor=geo&amp;t_v_frame=MHHW&amp;t_v_unit=us_ft", "NAVD88 to MHHW")</f>
        <v>0</v>
      </c>
    </row>
    <row r="452" spans="1:20">
      <c r="A452" s="1" t="s">
        <v>476</v>
      </c>
      <c r="B452" s="1" t="s">
        <v>634</v>
      </c>
      <c r="D452" s="1" t="s">
        <v>654</v>
      </c>
      <c r="E452" s="1" t="s">
        <v>788</v>
      </c>
      <c r="F452" s="1" t="s">
        <v>653</v>
      </c>
      <c r="G452" s="1" t="s">
        <v>857</v>
      </c>
      <c r="H452" s="1">
        <v>-66.71083</v>
      </c>
      <c r="I452" s="1">
        <v>18.47159</v>
      </c>
      <c r="J452" s="1" t="s">
        <v>859</v>
      </c>
      <c r="K452" s="1" t="s">
        <v>861</v>
      </c>
      <c r="L452" s="1" t="s">
        <v>859</v>
      </c>
      <c r="M452" s="1">
        <v>2532299</v>
      </c>
      <c r="N452" s="1">
        <v>0</v>
      </c>
      <c r="O452" s="1" t="s">
        <v>871</v>
      </c>
      <c r="P452" s="1" t="s">
        <v>876</v>
      </c>
      <c r="Q452" s="1">
        <v>0.797</v>
      </c>
      <c r="R452" s="1">
        <v>-0.902</v>
      </c>
      <c r="S452" s="2">
        <f>HYPERLINK("https://vdatum.noaa.gov/vdatumweb/api/convert?s_x=-66.71083&amp;s_y=18.47159&amp;s_z=0.0&amp;region=prvi&amp;s_h_frame=NAD83_2011&amp;s_coor=geo&amp;s_v_frame=LMSL&amp;s_v_unit=us_ft&amp;t_h_frame=NAD83_2011&amp;t_coor=geo&amp;t_v_frame=MLLW&amp;t_v_unit=us_ft", "NAVD88 to MLLW")</f>
        <v>0</v>
      </c>
      <c r="T452" s="2">
        <f>HYPERLINK("https://vdatum.noaa.gov/vdatumweb/api/convert?s_x=-66.71083&amp;s_y=18.47159&amp;s_z=0.0&amp;region=prvi&amp;s_h_frame=NAD83_2011&amp;s_coor=geo&amp;s_v_frame=LMSL&amp;s_v_unit=us_ft&amp;t_h_frame=NAD83_2011&amp;t_coor=geo&amp;t_v_frame=MHHW&amp;t_v_unit=us_ft", "NAVD88 to MHHW")</f>
        <v>0</v>
      </c>
    </row>
    <row r="453" spans="1:20">
      <c r="A453" s="1" t="s">
        <v>477</v>
      </c>
      <c r="B453" s="1" t="s">
        <v>634</v>
      </c>
      <c r="D453" s="1" t="s">
        <v>654</v>
      </c>
      <c r="E453" s="1" t="s">
        <v>789</v>
      </c>
      <c r="F453" s="1" t="s">
        <v>653</v>
      </c>
      <c r="G453" s="1" t="s">
        <v>857</v>
      </c>
      <c r="H453" s="1">
        <v>-66.16246</v>
      </c>
      <c r="I453" s="1">
        <v>18.45036</v>
      </c>
      <c r="J453" s="1" t="s">
        <v>859</v>
      </c>
      <c r="K453" s="1" t="s">
        <v>861</v>
      </c>
      <c r="L453" s="1" t="s">
        <v>859</v>
      </c>
      <c r="M453" s="1">
        <v>564065</v>
      </c>
      <c r="N453" s="1">
        <v>0</v>
      </c>
      <c r="O453" s="1" t="s">
        <v>871</v>
      </c>
      <c r="P453" s="1" t="s">
        <v>876</v>
      </c>
      <c r="Q453" s="1">
        <v>-999999</v>
      </c>
      <c r="R453" s="1">
        <v>-999999</v>
      </c>
      <c r="S453" s="2">
        <f>HYPERLINK("https://vdatum.noaa.gov/vdatumweb/api/convert?s_x=-66.16246&amp;s_y=18.45036&amp;s_z=0.0&amp;region=prvi&amp;s_h_frame=NAD83_2011&amp;s_coor=geo&amp;s_v_frame=LMSL&amp;s_v_unit=us_ft&amp;t_h_frame=NAD83_2011&amp;t_coor=geo&amp;t_v_frame=MLLW&amp;t_v_unit=us_ft", "Missing")</f>
        <v>0</v>
      </c>
      <c r="T453" s="2">
        <f>HYPERLINK("https://vdatum.noaa.gov/vdatumweb/api/convert?s_x=-66.16246&amp;s_y=18.45036&amp;s_z=0.0&amp;region=prvi&amp;s_h_frame=NAD83_2011&amp;s_coor=geo&amp;s_v_frame=LMSL&amp;s_v_unit=us_ft&amp;t_h_frame=NAD83_2011&amp;t_coor=geo&amp;t_v_frame=MHHW&amp;t_v_unit=us_ft", "Missing")</f>
        <v>0</v>
      </c>
    </row>
    <row r="454" spans="1:20">
      <c r="A454" s="1" t="s">
        <v>478</v>
      </c>
      <c r="B454" s="1" t="s">
        <v>634</v>
      </c>
      <c r="D454" s="1" t="s">
        <v>654</v>
      </c>
      <c r="E454" s="1" t="s">
        <v>790</v>
      </c>
      <c r="F454" s="1" t="s">
        <v>653</v>
      </c>
      <c r="G454" s="1" t="s">
        <v>857</v>
      </c>
      <c r="H454" s="1">
        <v>-66.25814</v>
      </c>
      <c r="I454" s="1">
        <v>18.45856</v>
      </c>
      <c r="J454" s="1" t="s">
        <v>859</v>
      </c>
      <c r="K454" s="1" t="s">
        <v>861</v>
      </c>
      <c r="L454" s="1" t="s">
        <v>859</v>
      </c>
      <c r="M454" s="1">
        <v>670110</v>
      </c>
      <c r="N454" s="1">
        <v>0</v>
      </c>
      <c r="O454" s="1" t="s">
        <v>871</v>
      </c>
      <c r="P454" s="1" t="s">
        <v>876</v>
      </c>
      <c r="Q454" s="1">
        <v>-999999</v>
      </c>
      <c r="R454" s="1">
        <v>-999999</v>
      </c>
      <c r="S454" s="2">
        <f>HYPERLINK("https://vdatum.noaa.gov/vdatumweb/api/convert?s_x=-66.25814&amp;s_y=18.45856&amp;s_z=0.0&amp;region=prvi&amp;s_h_frame=NAD83_2011&amp;s_coor=geo&amp;s_v_frame=LMSL&amp;s_v_unit=us_ft&amp;t_h_frame=NAD83_2011&amp;t_coor=geo&amp;t_v_frame=MLLW&amp;t_v_unit=us_ft", "Missing")</f>
        <v>0</v>
      </c>
      <c r="T454" s="2">
        <f>HYPERLINK("https://vdatum.noaa.gov/vdatumweb/api/convert?s_x=-66.25814&amp;s_y=18.45856&amp;s_z=0.0&amp;region=prvi&amp;s_h_frame=NAD83_2011&amp;s_coor=geo&amp;s_v_frame=LMSL&amp;s_v_unit=us_ft&amp;t_h_frame=NAD83_2011&amp;t_coor=geo&amp;t_v_frame=MHHW&amp;t_v_unit=us_ft", "Missing")</f>
        <v>0</v>
      </c>
    </row>
    <row r="455" spans="1:20">
      <c r="A455" s="1" t="s">
        <v>479</v>
      </c>
      <c r="B455" s="1" t="s">
        <v>634</v>
      </c>
      <c r="D455" s="1" t="s">
        <v>654</v>
      </c>
      <c r="E455" s="1" t="s">
        <v>791</v>
      </c>
      <c r="F455" s="1" t="s">
        <v>653</v>
      </c>
      <c r="G455" s="1" t="s">
        <v>857</v>
      </c>
      <c r="H455" s="1">
        <v>-65.73981999999999</v>
      </c>
      <c r="I455" s="1">
        <v>18.17517</v>
      </c>
      <c r="J455" s="1" t="s">
        <v>859</v>
      </c>
      <c r="K455" s="1" t="s">
        <v>861</v>
      </c>
      <c r="L455" s="1" t="s">
        <v>859</v>
      </c>
      <c r="M455" s="1">
        <v>1955316</v>
      </c>
      <c r="N455" s="1">
        <v>0</v>
      </c>
      <c r="O455" s="1" t="s">
        <v>871</v>
      </c>
      <c r="P455" s="1" t="s">
        <v>876</v>
      </c>
      <c r="Q455" s="1">
        <v>-999999</v>
      </c>
      <c r="R455" s="1">
        <v>-999999</v>
      </c>
      <c r="S455" s="2">
        <f>HYPERLINK("https://vdatum.noaa.gov/vdatumweb/api/convert?s_x=-65.73982&amp;s_y=18.17517&amp;s_z=0.0&amp;region=prvi&amp;s_h_frame=NAD83_2011&amp;s_coor=geo&amp;s_v_frame=LMSL&amp;s_v_unit=us_ft&amp;t_h_frame=NAD83_2011&amp;t_coor=geo&amp;t_v_frame=MLLW&amp;t_v_unit=us_ft", "Missing")</f>
        <v>0</v>
      </c>
      <c r="T455" s="2">
        <f>HYPERLINK("https://vdatum.noaa.gov/vdatumweb/api/convert?s_x=-65.73982&amp;s_y=18.17517&amp;s_z=0.0&amp;region=prvi&amp;s_h_frame=NAD83_2011&amp;s_coor=geo&amp;s_v_frame=LMSL&amp;s_v_unit=us_ft&amp;t_h_frame=NAD83_2011&amp;t_coor=geo&amp;t_v_frame=MHHW&amp;t_v_unit=us_ft", "Missing")</f>
        <v>0</v>
      </c>
    </row>
    <row r="456" spans="1:20">
      <c r="A456" s="1" t="s">
        <v>480</v>
      </c>
      <c r="B456" s="1" t="s">
        <v>634</v>
      </c>
      <c r="D456" s="1" t="s">
        <v>654</v>
      </c>
      <c r="H456" s="1">
        <v>-65.88271</v>
      </c>
      <c r="I456" s="1">
        <v>18.434</v>
      </c>
      <c r="J456" s="1" t="s">
        <v>859</v>
      </c>
      <c r="K456" s="1" t="s">
        <v>861</v>
      </c>
      <c r="L456" s="1" t="s">
        <v>859</v>
      </c>
      <c r="M456" s="1">
        <v>453680</v>
      </c>
      <c r="N456" s="1">
        <v>0</v>
      </c>
      <c r="O456" s="1" t="s">
        <v>871</v>
      </c>
      <c r="P456" s="1" t="s">
        <v>876</v>
      </c>
      <c r="Q456" s="1">
        <v>-999999</v>
      </c>
      <c r="R456" s="1">
        <v>-999999</v>
      </c>
      <c r="S456" s="2">
        <f>HYPERLINK("https://vdatum.noaa.gov/vdatumweb/api/convert?s_x=-65.88271&amp;s_y=18.434&amp;s_z=0.0&amp;region=prvi&amp;s_h_frame=NAD83_2011&amp;s_coor=geo&amp;s_v_frame=LMSL&amp;s_v_unit=us_ft&amp;t_h_frame=NAD83_2011&amp;t_coor=geo&amp;t_v_frame=MLLW&amp;t_v_unit=us_ft", "Missing")</f>
        <v>0</v>
      </c>
      <c r="T456" s="2">
        <f>HYPERLINK("https://vdatum.noaa.gov/vdatumweb/api/convert?s_x=-65.88271&amp;s_y=18.434&amp;s_z=0.0&amp;region=prvi&amp;s_h_frame=NAD83_2011&amp;s_coor=geo&amp;s_v_frame=LMSL&amp;s_v_unit=us_ft&amp;t_h_frame=NAD83_2011&amp;t_coor=geo&amp;t_v_frame=MHHW&amp;t_v_unit=us_ft", "Missing")</f>
        <v>0</v>
      </c>
    </row>
    <row r="457" spans="1:20">
      <c r="A457" s="1" t="s">
        <v>481</v>
      </c>
      <c r="B457" s="1" t="s">
        <v>634</v>
      </c>
      <c r="D457" s="1" t="s">
        <v>654</v>
      </c>
      <c r="E457" s="1" t="s">
        <v>792</v>
      </c>
      <c r="F457" s="1" t="s">
        <v>653</v>
      </c>
      <c r="G457" s="1" t="s">
        <v>857</v>
      </c>
      <c r="H457" s="1">
        <v>-65.75138</v>
      </c>
      <c r="I457" s="1">
        <v>18.38511</v>
      </c>
      <c r="J457" s="1" t="s">
        <v>859</v>
      </c>
      <c r="K457" s="1" t="s">
        <v>861</v>
      </c>
      <c r="L457" s="1" t="s">
        <v>859</v>
      </c>
      <c r="M457" s="1">
        <v>705497</v>
      </c>
      <c r="N457" s="1">
        <v>0</v>
      </c>
      <c r="O457" s="1" t="s">
        <v>871</v>
      </c>
      <c r="P457" s="1" t="s">
        <v>876</v>
      </c>
      <c r="Q457" s="1">
        <v>-999999</v>
      </c>
      <c r="R457" s="1">
        <v>-999999</v>
      </c>
      <c r="S457" s="2">
        <f>HYPERLINK("https://vdatum.noaa.gov/vdatumweb/api/convert?s_x=-65.75138&amp;s_y=18.38511&amp;s_z=0.0&amp;region=prvi&amp;s_h_frame=NAD83_2011&amp;s_coor=geo&amp;s_v_frame=LMSL&amp;s_v_unit=us_ft&amp;t_h_frame=NAD83_2011&amp;t_coor=geo&amp;t_v_frame=MLLW&amp;t_v_unit=us_ft", "Missing")</f>
        <v>0</v>
      </c>
      <c r="T457" s="2">
        <f>HYPERLINK("https://vdatum.noaa.gov/vdatumweb/api/convert?s_x=-65.75138&amp;s_y=18.38511&amp;s_z=0.0&amp;region=prvi&amp;s_h_frame=NAD83_2011&amp;s_coor=geo&amp;s_v_frame=LMSL&amp;s_v_unit=us_ft&amp;t_h_frame=NAD83_2011&amp;t_coor=geo&amp;t_v_frame=MHHW&amp;t_v_unit=us_ft", "Missing")</f>
        <v>0</v>
      </c>
    </row>
    <row r="458" spans="1:20">
      <c r="A458" s="1" t="s">
        <v>482</v>
      </c>
      <c r="B458" s="1" t="s">
        <v>634</v>
      </c>
      <c r="D458" s="1" t="s">
        <v>654</v>
      </c>
      <c r="H458" s="1">
        <v>-66.53424</v>
      </c>
      <c r="I458" s="1">
        <v>18.47962</v>
      </c>
      <c r="J458" s="1" t="s">
        <v>859</v>
      </c>
      <c r="K458" s="1" t="s">
        <v>861</v>
      </c>
      <c r="L458" s="1" t="s">
        <v>859</v>
      </c>
      <c r="M458" s="1">
        <v>2136794</v>
      </c>
      <c r="N458" s="1">
        <v>0</v>
      </c>
      <c r="O458" s="1" t="s">
        <v>871</v>
      </c>
      <c r="P458" s="1" t="s">
        <v>876</v>
      </c>
      <c r="Q458" s="1">
        <v>0.775</v>
      </c>
      <c r="R458" s="1">
        <v>-0.868</v>
      </c>
      <c r="S458" s="2">
        <f>HYPERLINK("https://vdatum.noaa.gov/vdatumweb/api/convert?s_x=-66.53424&amp;s_y=18.47962&amp;s_z=0.0&amp;region=prvi&amp;s_h_frame=NAD83_2011&amp;s_coor=geo&amp;s_v_frame=LMSL&amp;s_v_unit=us_ft&amp;t_h_frame=NAD83_2011&amp;t_coor=geo&amp;t_v_frame=MLLW&amp;t_v_unit=us_ft", "NAVD88 to MLLW")</f>
        <v>0</v>
      </c>
      <c r="T458" s="2">
        <f>HYPERLINK("https://vdatum.noaa.gov/vdatumweb/api/convert?s_x=-66.53424&amp;s_y=18.47962&amp;s_z=0.0&amp;region=prvi&amp;s_h_frame=NAD83_2011&amp;s_coor=geo&amp;s_v_frame=LMSL&amp;s_v_unit=us_ft&amp;t_h_frame=NAD83_2011&amp;t_coor=geo&amp;t_v_frame=MHHW&amp;t_v_unit=us_ft", "NAVD88 to MHHW")</f>
        <v>0</v>
      </c>
    </row>
    <row r="459" spans="1:20">
      <c r="A459" s="1" t="s">
        <v>483</v>
      </c>
      <c r="B459" s="1" t="s">
        <v>634</v>
      </c>
      <c r="D459" s="1" t="s">
        <v>654</v>
      </c>
      <c r="H459" s="1">
        <v>-65.72517999999999</v>
      </c>
      <c r="I459" s="1">
        <v>18.18848</v>
      </c>
      <c r="J459" s="1" t="s">
        <v>859</v>
      </c>
      <c r="K459" s="1" t="s">
        <v>861</v>
      </c>
      <c r="L459" s="1" t="s">
        <v>859</v>
      </c>
      <c r="M459" s="1">
        <v>1961476</v>
      </c>
      <c r="N459" s="1">
        <v>0</v>
      </c>
      <c r="O459" s="1" t="s">
        <v>871</v>
      </c>
      <c r="P459" s="1" t="s">
        <v>876</v>
      </c>
      <c r="Q459" s="1">
        <v>0.38</v>
      </c>
      <c r="R459" s="1">
        <v>-0.408</v>
      </c>
      <c r="S459" s="2">
        <f>HYPERLINK("https://vdatum.noaa.gov/vdatumweb/api/convert?s_x=-65.72518&amp;s_y=18.18848&amp;s_z=0.0&amp;region=prvi&amp;s_h_frame=NAD83_2011&amp;s_coor=geo&amp;s_v_frame=LMSL&amp;s_v_unit=us_ft&amp;t_h_frame=NAD83_2011&amp;t_coor=geo&amp;t_v_frame=MLLW&amp;t_v_unit=us_ft", "NAVD88 to MLLW")</f>
        <v>0</v>
      </c>
      <c r="T459" s="2">
        <f>HYPERLINK("https://vdatum.noaa.gov/vdatumweb/api/convert?s_x=-65.72518&amp;s_y=18.18848&amp;s_z=0.0&amp;region=prvi&amp;s_h_frame=NAD83_2011&amp;s_coor=geo&amp;s_v_frame=LMSL&amp;s_v_unit=us_ft&amp;t_h_frame=NAD83_2011&amp;t_coor=geo&amp;t_v_frame=MHHW&amp;t_v_unit=us_ft", "NAVD88 to MHHW")</f>
        <v>0</v>
      </c>
    </row>
    <row r="460" spans="1:20">
      <c r="A460" s="1" t="s">
        <v>484</v>
      </c>
      <c r="B460" s="1" t="s">
        <v>634</v>
      </c>
      <c r="D460" s="1" t="s">
        <v>654</v>
      </c>
      <c r="H460" s="1">
        <v>-65.80405</v>
      </c>
      <c r="I460" s="1">
        <v>18.4104</v>
      </c>
      <c r="J460" s="1" t="s">
        <v>859</v>
      </c>
      <c r="K460" s="1" t="s">
        <v>861</v>
      </c>
      <c r="L460" s="1" t="s">
        <v>859</v>
      </c>
      <c r="M460" s="1">
        <v>621409</v>
      </c>
      <c r="N460" s="1">
        <v>0</v>
      </c>
      <c r="O460" s="1" t="s">
        <v>871</v>
      </c>
      <c r="P460" s="1" t="s">
        <v>876</v>
      </c>
      <c r="Q460" s="1">
        <v>0.757</v>
      </c>
      <c r="R460" s="1">
        <v>-0.843</v>
      </c>
      <c r="S460" s="2">
        <f>HYPERLINK("https://vdatum.noaa.gov/vdatumweb/api/convert?s_x=-65.80405&amp;s_y=18.4104&amp;s_z=0.0&amp;region=prvi&amp;s_h_frame=NAD83_2011&amp;s_coor=geo&amp;s_v_frame=LMSL&amp;s_v_unit=us_ft&amp;t_h_frame=NAD83_2011&amp;t_coor=geo&amp;t_v_frame=MLLW&amp;t_v_unit=us_ft", "NAVD88 to MLLW")</f>
        <v>0</v>
      </c>
      <c r="T460" s="2">
        <f>HYPERLINK("https://vdatum.noaa.gov/vdatumweb/api/convert?s_x=-65.80405&amp;s_y=18.4104&amp;s_z=0.0&amp;region=prvi&amp;s_h_frame=NAD83_2011&amp;s_coor=geo&amp;s_v_frame=LMSL&amp;s_v_unit=us_ft&amp;t_h_frame=NAD83_2011&amp;t_coor=geo&amp;t_v_frame=MHHW&amp;t_v_unit=us_ft", "NAVD88 to MHHW")</f>
        <v>0</v>
      </c>
    </row>
    <row r="461" spans="1:20">
      <c r="A461" s="1" t="s">
        <v>485</v>
      </c>
      <c r="B461" s="1" t="s">
        <v>634</v>
      </c>
      <c r="D461" s="1" t="s">
        <v>654</v>
      </c>
      <c r="H461" s="1">
        <v>-66.08135</v>
      </c>
      <c r="I461" s="1">
        <v>18.4387</v>
      </c>
      <c r="J461" s="1" t="s">
        <v>859</v>
      </c>
      <c r="K461" s="1" t="s">
        <v>861</v>
      </c>
      <c r="L461" s="1" t="s">
        <v>859</v>
      </c>
      <c r="M461" s="1">
        <v>225647</v>
      </c>
      <c r="N461" s="1">
        <v>0</v>
      </c>
      <c r="O461" s="1" t="s">
        <v>871</v>
      </c>
      <c r="P461" s="1" t="s">
        <v>876</v>
      </c>
      <c r="Q461" s="1">
        <v>-999999</v>
      </c>
      <c r="R461" s="1">
        <v>-999999</v>
      </c>
      <c r="S461" s="2">
        <f>HYPERLINK("https://vdatum.noaa.gov/vdatumweb/api/convert?s_x=-66.08135&amp;s_y=18.4387&amp;s_z=0.0&amp;region=prvi&amp;s_h_frame=NAD83_2011&amp;s_coor=geo&amp;s_v_frame=LMSL&amp;s_v_unit=us_ft&amp;t_h_frame=NAD83_2011&amp;t_coor=geo&amp;t_v_frame=MLLW&amp;t_v_unit=us_ft", "Missing")</f>
        <v>0</v>
      </c>
      <c r="T461" s="2">
        <f>HYPERLINK("https://vdatum.noaa.gov/vdatumweb/api/convert?s_x=-66.08135&amp;s_y=18.4387&amp;s_z=0.0&amp;region=prvi&amp;s_h_frame=NAD83_2011&amp;s_coor=geo&amp;s_v_frame=LMSL&amp;s_v_unit=us_ft&amp;t_h_frame=NAD83_2011&amp;t_coor=geo&amp;t_v_frame=MHHW&amp;t_v_unit=us_ft", "Missing")</f>
        <v>0</v>
      </c>
    </row>
    <row r="462" spans="1:20">
      <c r="A462" s="1" t="s">
        <v>486</v>
      </c>
      <c r="B462" s="1" t="s">
        <v>635</v>
      </c>
      <c r="C462" s="1" t="s">
        <v>645</v>
      </c>
      <c r="D462" s="1" t="s">
        <v>654</v>
      </c>
      <c r="H462" s="1">
        <v>-84.9806</v>
      </c>
      <c r="I462" s="1">
        <v>29.72444</v>
      </c>
      <c r="J462" s="1">
        <f>HYPERLINK("https://tidesandcurrents.noaa.gov/stationhome.html?id=8728690", "8728690")</f>
        <v>0</v>
      </c>
      <c r="K462" s="1" t="s">
        <v>860</v>
      </c>
      <c r="L462" s="1" t="s">
        <v>866</v>
      </c>
      <c r="M462" s="1">
        <v>7209629</v>
      </c>
      <c r="N462" s="1">
        <v>0</v>
      </c>
      <c r="O462" s="1" t="s">
        <v>869</v>
      </c>
      <c r="P462" s="1" t="s">
        <v>874</v>
      </c>
      <c r="Q462" s="1">
        <v>0.847</v>
      </c>
      <c r="R462" s="1">
        <v>-0.891</v>
      </c>
      <c r="S462" s="2">
        <f>HYPERLINK("https://vdatum.noaa.gov/vdatumweb/api/convert?s_x=-84.9806&amp;s_y=29.72444&amp;s_z=0.0&amp;region=contiguous&amp;s_h_frame=NAD83_2011&amp;s_coor=geo&amp;s_v_frame=NAVD88&amp;s_v_unit=us_ft&amp;t_h_frame=NAD83_2011&amp;t_coor=geo&amp;t_v_frame=MLLW&amp;t_v_unit=us_ft", "NAVD88 to MLLW")</f>
        <v>0</v>
      </c>
      <c r="T462" s="2">
        <f>HYPERLINK("https://vdatum.noaa.gov/vdatumweb/api/convert?s_x=-84.9806&amp;s_y=29.72444&amp;s_z=0.0&amp;region=contiguous&amp;s_h_frame=NAD83_2011&amp;s_coor=geo&amp;s_v_frame=NAVD88&amp;s_v_unit=us_ft&amp;t_h_frame=NAD83_2011&amp;t_coor=geo&amp;t_v_frame=MHHW&amp;t_v_unit=us_ft", "NAVD88 to MHHW")</f>
        <v>0</v>
      </c>
    </row>
    <row r="463" spans="1:20">
      <c r="A463" s="1" t="s">
        <v>487</v>
      </c>
      <c r="B463" s="1" t="s">
        <v>635</v>
      </c>
      <c r="D463" s="1" t="s">
        <v>654</v>
      </c>
      <c r="H463" s="1">
        <v>-85.7</v>
      </c>
      <c r="I463" s="1">
        <v>30.15228</v>
      </c>
      <c r="J463" s="1">
        <f>HYPERLINK("https://tidesandcurrents.noaa.gov/stationhome.html?id=8729108", "8729108")</f>
        <v>0</v>
      </c>
      <c r="K463" s="1" t="s">
        <v>860</v>
      </c>
      <c r="L463" s="1" t="s">
        <v>866</v>
      </c>
      <c r="M463" s="1">
        <v>5730282</v>
      </c>
      <c r="N463" s="1">
        <v>0</v>
      </c>
      <c r="O463" s="1" t="s">
        <v>869</v>
      </c>
      <c r="P463" s="1" t="s">
        <v>874</v>
      </c>
      <c r="Q463" s="1">
        <v>0.537</v>
      </c>
      <c r="R463" s="1">
        <v>-0.806</v>
      </c>
      <c r="S463" s="2">
        <f>HYPERLINK("https://vdatum.noaa.gov/vdatumweb/api/convert?s_x=-85.7&amp;s_y=30.15228&amp;s_z=0.0&amp;region=contiguous&amp;s_h_frame=NAD83_2011&amp;s_coor=geo&amp;s_v_frame=NAVD88&amp;s_v_unit=us_ft&amp;t_h_frame=NAD83_2011&amp;t_coor=geo&amp;t_v_frame=MLLW&amp;t_v_unit=us_ft", "NAVD88 to MLLW")</f>
        <v>0</v>
      </c>
      <c r="T463" s="2">
        <f>HYPERLINK("https://vdatum.noaa.gov/vdatumweb/api/convert?s_x=-85.7&amp;s_y=30.15228&amp;s_z=0.0&amp;region=contiguous&amp;s_h_frame=NAD83_2011&amp;s_coor=geo&amp;s_v_frame=NAVD88&amp;s_v_unit=us_ft&amp;t_h_frame=NAD83_2011&amp;t_coor=geo&amp;t_v_frame=MHHW&amp;t_v_unit=us_ft", "NAVD88 to MHHW")</f>
        <v>0</v>
      </c>
    </row>
    <row r="464" spans="1:20">
      <c r="A464" s="1" t="s">
        <v>488</v>
      </c>
      <c r="B464" s="1" t="s">
        <v>635</v>
      </c>
      <c r="C464" s="1" t="s">
        <v>645</v>
      </c>
      <c r="D464" s="1" t="s">
        <v>654</v>
      </c>
      <c r="E464" s="1" t="s">
        <v>793</v>
      </c>
      <c r="F464" s="1" t="s">
        <v>847</v>
      </c>
      <c r="G464" s="1" t="s">
        <v>854</v>
      </c>
      <c r="H464" s="1">
        <v>-84.5025</v>
      </c>
      <c r="I464" s="1">
        <v>29.988333</v>
      </c>
      <c r="J464" s="1" t="s">
        <v>859</v>
      </c>
      <c r="K464" s="1" t="s">
        <v>861</v>
      </c>
      <c r="L464" s="1" t="s">
        <v>859</v>
      </c>
      <c r="M464" s="1">
        <v>5386590</v>
      </c>
      <c r="N464" s="1">
        <v>0</v>
      </c>
      <c r="O464" s="1" t="s">
        <v>869</v>
      </c>
      <c r="P464" s="1" t="s">
        <v>874</v>
      </c>
      <c r="Q464" s="1">
        <v>-999999</v>
      </c>
      <c r="R464" s="1">
        <v>-999999</v>
      </c>
      <c r="S464" s="2">
        <f>HYPERLINK("https://vdatum.noaa.gov/vdatumweb/api/convert?s_x=-84.5025&amp;s_y=29.988333&amp;s_z=0.0&amp;region=contiguous&amp;s_h_frame=NAD83_2011&amp;s_coor=geo&amp;s_v_frame=NAVD88&amp;s_v_unit=us_ft&amp;t_h_frame=NAD83_2011&amp;t_coor=geo&amp;t_v_frame=MLLW&amp;t_v_unit=us_ft", "Missing")</f>
        <v>0</v>
      </c>
      <c r="T464" s="2">
        <f>HYPERLINK("https://vdatum.noaa.gov/vdatumweb/api/convert?s_x=-84.5025&amp;s_y=29.988333&amp;s_z=0.0&amp;region=contiguous&amp;s_h_frame=NAD83_2011&amp;s_coor=geo&amp;s_v_frame=NAVD88&amp;s_v_unit=us_ft&amp;t_h_frame=NAD83_2011&amp;t_coor=geo&amp;t_v_frame=MHHW&amp;t_v_unit=us_ft", "Missing")</f>
        <v>0</v>
      </c>
    </row>
    <row r="465" spans="1:20">
      <c r="A465" s="1" t="s">
        <v>489</v>
      </c>
      <c r="B465" s="1" t="s">
        <v>635</v>
      </c>
      <c r="C465" s="1" t="s">
        <v>645</v>
      </c>
      <c r="D465" s="1" t="s">
        <v>654</v>
      </c>
      <c r="E465" s="1" t="s">
        <v>793</v>
      </c>
      <c r="F465" s="1" t="s">
        <v>847</v>
      </c>
      <c r="G465" s="1" t="s">
        <v>854</v>
      </c>
      <c r="H465" s="1">
        <v>-84.28333000000001</v>
      </c>
      <c r="I465" s="1">
        <v>30.06667</v>
      </c>
      <c r="J465" s="1" t="s">
        <v>859</v>
      </c>
      <c r="K465" s="1" t="s">
        <v>860</v>
      </c>
      <c r="L465" s="1" t="s">
        <v>859</v>
      </c>
      <c r="M465" s="1">
        <v>3903612</v>
      </c>
      <c r="N465" s="1">
        <v>0</v>
      </c>
      <c r="O465" s="1" t="s">
        <v>869</v>
      </c>
      <c r="P465" s="1" t="s">
        <v>874</v>
      </c>
      <c r="Q465" s="1">
        <v>1.902</v>
      </c>
      <c r="R465" s="1">
        <v>-1.636</v>
      </c>
      <c r="S465" s="2">
        <f>HYPERLINK("https://vdatum.noaa.gov/vdatumweb/api/convert?s_x=-84.28333&amp;s_y=30.06667&amp;s_z=0.0&amp;region=contiguous&amp;s_h_frame=NAD83_2011&amp;s_coor=geo&amp;s_v_frame=NAVD88&amp;s_v_unit=us_ft&amp;t_h_frame=NAD83_2011&amp;t_coor=geo&amp;t_v_frame=MLLW&amp;t_v_unit=us_ft", "NAVD88 to MLLW")</f>
        <v>0</v>
      </c>
      <c r="T465" s="2">
        <f>HYPERLINK("https://vdatum.noaa.gov/vdatumweb/api/convert?s_x=-84.28333&amp;s_y=30.06667&amp;s_z=0.0&amp;region=contiguous&amp;s_h_frame=NAD83_2011&amp;s_coor=geo&amp;s_v_frame=NAVD88&amp;s_v_unit=us_ft&amp;t_h_frame=NAD83_2011&amp;t_coor=geo&amp;t_v_frame=MHHW&amp;t_v_unit=us_ft", "NAVD88 to MHHW")</f>
        <v>0</v>
      </c>
    </row>
    <row r="466" spans="1:20">
      <c r="A466" s="1" t="s">
        <v>490</v>
      </c>
      <c r="B466" s="1" t="s">
        <v>635</v>
      </c>
      <c r="C466" s="1" t="s">
        <v>645</v>
      </c>
      <c r="D466" s="1" t="s">
        <v>654</v>
      </c>
      <c r="E466" s="1" t="s">
        <v>794</v>
      </c>
      <c r="F466" s="1" t="s">
        <v>847</v>
      </c>
      <c r="G466" s="1" t="s">
        <v>854</v>
      </c>
      <c r="H466" s="1">
        <v>-83.08651500000001</v>
      </c>
      <c r="I466" s="1">
        <v>29.33940554</v>
      </c>
      <c r="J466" s="1">
        <f>HYPERLINK("https://waterdata.usgs.gov/nwis/nwismap/?site_no=02323592&amp;agency_cd=USGS", "US02323592")</f>
        <v>0</v>
      </c>
      <c r="K466" s="1" t="s">
        <v>861</v>
      </c>
      <c r="L466" s="1" t="s">
        <v>867</v>
      </c>
      <c r="M466" s="1">
        <v>6442692</v>
      </c>
      <c r="N466" s="1">
        <v>-0.185</v>
      </c>
      <c r="O466" s="1" t="s">
        <v>869</v>
      </c>
      <c r="P466" s="1" t="s">
        <v>874</v>
      </c>
      <c r="Q466" s="1">
        <v>-999999</v>
      </c>
      <c r="R466" s="1">
        <v>-999999</v>
      </c>
      <c r="S466" s="2">
        <f>HYPERLINK("https://vdatum.noaa.gov/vdatumweb/api/convert?s_x=-83.086515&amp;s_y=29.33940554&amp;s_z=0.0&amp;region=contiguous&amp;s_h_frame=NAD83_2011&amp;s_coor=geo&amp;s_v_frame=NAVD88&amp;s_v_unit=us_ft&amp;t_h_frame=NAD83_2011&amp;t_coor=geo&amp;t_v_frame=MLLW&amp;t_v_unit=us_ft", "Missing")</f>
        <v>0</v>
      </c>
      <c r="T466" s="2">
        <f>HYPERLINK("https://vdatum.noaa.gov/vdatumweb/api/convert?s_x=-83.086515&amp;s_y=29.33940554&amp;s_z=0.0&amp;region=contiguous&amp;s_h_frame=NAD83_2011&amp;s_coor=geo&amp;s_v_frame=NAVD88&amp;s_v_unit=us_ft&amp;t_h_frame=NAD83_2011&amp;t_coor=geo&amp;t_v_frame=MHHW&amp;t_v_unit=us_ft", "Missing")</f>
        <v>0</v>
      </c>
    </row>
    <row r="467" spans="1:20">
      <c r="A467" s="1" t="s">
        <v>491</v>
      </c>
      <c r="B467" s="1" t="s">
        <v>635</v>
      </c>
      <c r="C467" s="1" t="s">
        <v>645</v>
      </c>
      <c r="D467" s="1" t="s">
        <v>654</v>
      </c>
      <c r="E467" s="1" t="s">
        <v>795</v>
      </c>
      <c r="F467" s="1" t="s">
        <v>847</v>
      </c>
      <c r="G467" s="1" t="s">
        <v>854</v>
      </c>
      <c r="H467" s="1">
        <v>-83.37735988999999</v>
      </c>
      <c r="I467" s="1">
        <v>29.6682821</v>
      </c>
      <c r="J467" s="1">
        <f>HYPERLINK("https://waterdata.usgs.gov/nwis/nwismap/?site_no=02324170&amp;agency_cd=USGS", "US02324170")</f>
        <v>0</v>
      </c>
      <c r="K467" s="1" t="s">
        <v>861</v>
      </c>
      <c r="L467" s="1" t="s">
        <v>867</v>
      </c>
      <c r="M467" s="1">
        <v>4062727</v>
      </c>
      <c r="N467" s="1">
        <v>0</v>
      </c>
      <c r="O467" s="1" t="s">
        <v>869</v>
      </c>
      <c r="P467" s="1" t="s">
        <v>874</v>
      </c>
      <c r="Q467" s="1">
        <v>2.141</v>
      </c>
      <c r="R467" s="1">
        <v>-1.624</v>
      </c>
      <c r="S467" s="2">
        <f>HYPERLINK("https://vdatum.noaa.gov/vdatumweb/api/convert?s_x=-83.37735989&amp;s_y=29.6682821&amp;s_z=0.0&amp;region=contiguous&amp;s_h_frame=NAD83_2011&amp;s_coor=geo&amp;s_v_frame=NAVD88&amp;s_v_unit=us_ft&amp;t_h_frame=NAD83_2011&amp;t_coor=geo&amp;t_v_frame=MLLW&amp;t_v_unit=us_ft", "NAVD88 to MLLW")</f>
        <v>0</v>
      </c>
      <c r="T467" s="2">
        <f>HYPERLINK("https://vdatum.noaa.gov/vdatumweb/api/convert?s_x=-83.37735989&amp;s_y=29.6682821&amp;s_z=0.0&amp;region=contiguous&amp;s_h_frame=NAD83_2011&amp;s_coor=geo&amp;s_v_frame=NAVD88&amp;s_v_unit=us_ft&amp;t_h_frame=NAD83_2011&amp;t_coor=geo&amp;t_v_frame=MHHW&amp;t_v_unit=us_ft", "NAVD88 to MHHW")</f>
        <v>0</v>
      </c>
    </row>
    <row r="468" spans="1:20">
      <c r="A468" s="1" t="s">
        <v>492</v>
      </c>
      <c r="B468" s="1" t="s">
        <v>635</v>
      </c>
      <c r="C468" s="1" t="s">
        <v>645</v>
      </c>
      <c r="D468" s="1" t="s">
        <v>654</v>
      </c>
      <c r="E468" s="1" t="s">
        <v>795</v>
      </c>
      <c r="F468" s="1" t="s">
        <v>847</v>
      </c>
      <c r="G468" s="1" t="s">
        <v>854</v>
      </c>
      <c r="H468" s="1">
        <v>-83.77765340000001</v>
      </c>
      <c r="I468" s="1">
        <v>30.01132315</v>
      </c>
      <c r="J468" s="1">
        <f>HYPERLINK("https://waterdata.usgs.gov/nwis/nwismap/?site_no=02325543&amp;agency_cd=USGS", "US02325543")</f>
        <v>0</v>
      </c>
      <c r="K468" s="1" t="s">
        <v>860</v>
      </c>
      <c r="L468" s="1" t="s">
        <v>867</v>
      </c>
      <c r="M468" s="1">
        <v>2727319</v>
      </c>
      <c r="N468" s="1">
        <v>0</v>
      </c>
      <c r="O468" s="1" t="s">
        <v>869</v>
      </c>
      <c r="P468" s="1" t="s">
        <v>874</v>
      </c>
      <c r="Q468" s="1">
        <v>1.779</v>
      </c>
      <c r="R468" s="1">
        <v>-1.846</v>
      </c>
      <c r="S468" s="2">
        <f>HYPERLINK("https://vdatum.noaa.gov/vdatumweb/api/convert?s_x=-83.7776534&amp;s_y=30.01132315&amp;s_z=0.0&amp;region=contiguous&amp;s_h_frame=NAD83_2011&amp;s_coor=geo&amp;s_v_frame=NAVD88&amp;s_v_unit=us_ft&amp;t_h_frame=NAD83_2011&amp;t_coor=geo&amp;t_v_frame=MLLW&amp;t_v_unit=us_ft", "NAVD88 to MLLW")</f>
        <v>0</v>
      </c>
      <c r="T468" s="2">
        <f>HYPERLINK("https://vdatum.noaa.gov/vdatumweb/api/convert?s_x=-83.7776534&amp;s_y=30.01132315&amp;s_z=0.0&amp;region=contiguous&amp;s_h_frame=NAD83_2011&amp;s_coor=geo&amp;s_v_frame=NAVD88&amp;s_v_unit=us_ft&amp;t_h_frame=NAD83_2011&amp;t_coor=geo&amp;t_v_frame=MHHW&amp;t_v_unit=us_ft", "NAVD88 to MHHW")</f>
        <v>0</v>
      </c>
    </row>
    <row r="469" spans="1:20">
      <c r="A469" s="1" t="s">
        <v>493</v>
      </c>
      <c r="B469" s="1" t="s">
        <v>635</v>
      </c>
      <c r="C469" s="1" t="s">
        <v>645</v>
      </c>
      <c r="D469" s="1" t="s">
        <v>654</v>
      </c>
      <c r="E469" s="1" t="s">
        <v>795</v>
      </c>
      <c r="F469" s="1" t="s">
        <v>847</v>
      </c>
      <c r="G469" s="1" t="s">
        <v>854</v>
      </c>
      <c r="H469" s="1">
        <v>-83.8987028</v>
      </c>
      <c r="I469" s="1">
        <v>30.06811667</v>
      </c>
      <c r="J469" s="1">
        <f>HYPERLINK("https://waterdata.usgs.gov/nwis/nwismap/?site_no=02326050&amp;agency_cd=USGS", "US02326050")</f>
        <v>0</v>
      </c>
      <c r="K469" s="1" t="s">
        <v>860</v>
      </c>
      <c r="L469" s="1" t="s">
        <v>867</v>
      </c>
      <c r="M469" s="1">
        <v>2300500</v>
      </c>
      <c r="N469" s="1">
        <v>0</v>
      </c>
      <c r="O469" s="1" t="s">
        <v>869</v>
      </c>
      <c r="P469" s="1" t="s">
        <v>874</v>
      </c>
      <c r="Q469" s="1">
        <v>-999999</v>
      </c>
      <c r="R469" s="1">
        <v>-999999</v>
      </c>
      <c r="S469" s="2">
        <f>HYPERLINK("https://vdatum.noaa.gov/vdatumweb/api/convert?s_x=-83.8987028&amp;s_y=30.06811667&amp;s_z=0.0&amp;region=contiguous&amp;s_h_frame=NAD83_2011&amp;s_coor=geo&amp;s_v_frame=NAVD88&amp;s_v_unit=us_ft&amp;t_h_frame=NAD83_2011&amp;t_coor=geo&amp;t_v_frame=MLLW&amp;t_v_unit=us_ft", "Missing")</f>
        <v>0</v>
      </c>
      <c r="T469" s="2">
        <f>HYPERLINK("https://vdatum.noaa.gov/vdatumweb/api/convert?s_x=-83.8987028&amp;s_y=30.06811667&amp;s_z=0.0&amp;region=contiguous&amp;s_h_frame=NAD83_2011&amp;s_coor=geo&amp;s_v_frame=NAVD88&amp;s_v_unit=us_ft&amp;t_h_frame=NAD83_2011&amp;t_coor=geo&amp;t_v_frame=MHHW&amp;t_v_unit=us_ft", "Missing")</f>
        <v>0</v>
      </c>
    </row>
    <row r="470" spans="1:20">
      <c r="A470" s="1" t="s">
        <v>494</v>
      </c>
      <c r="B470" s="1" t="s">
        <v>635</v>
      </c>
      <c r="C470" s="1" t="s">
        <v>645</v>
      </c>
      <c r="D470" s="1" t="s">
        <v>654</v>
      </c>
      <c r="E470" s="1" t="s">
        <v>795</v>
      </c>
      <c r="F470" s="1" t="s">
        <v>847</v>
      </c>
      <c r="G470" s="1" t="s">
        <v>854</v>
      </c>
      <c r="H470" s="1">
        <v>-83.97976887999999</v>
      </c>
      <c r="I470" s="1">
        <v>30.1123413</v>
      </c>
      <c r="J470" s="1">
        <f>HYPERLINK("https://waterdata.usgs.gov/nwis/nwismap/?site_no=02326550&amp;agency_cd=USGS", "US02326550")</f>
        <v>0</v>
      </c>
      <c r="K470" s="1" t="s">
        <v>861</v>
      </c>
      <c r="L470" s="1" t="s">
        <v>867</v>
      </c>
      <c r="M470" s="1">
        <v>3257821</v>
      </c>
      <c r="N470" s="1">
        <v>-1.615</v>
      </c>
      <c r="O470" s="1" t="s">
        <v>869</v>
      </c>
      <c r="P470" s="1" t="s">
        <v>874</v>
      </c>
      <c r="Q470" s="1">
        <v>-999999</v>
      </c>
      <c r="R470" s="1">
        <v>-999999</v>
      </c>
      <c r="S470" s="2">
        <f>HYPERLINK("https://vdatum.noaa.gov/vdatumweb/api/convert?s_x=-83.97976888&amp;s_y=30.1123413&amp;s_z=0.0&amp;region=contiguous&amp;s_h_frame=NAD83_2011&amp;s_coor=geo&amp;s_v_frame=NAVD88&amp;s_v_unit=us_ft&amp;t_h_frame=NAD83_2011&amp;t_coor=geo&amp;t_v_frame=MLLW&amp;t_v_unit=us_ft", "Missing")</f>
        <v>0</v>
      </c>
      <c r="T470" s="2">
        <f>HYPERLINK("https://vdatum.noaa.gov/vdatumweb/api/convert?s_x=-83.97976888&amp;s_y=30.1123413&amp;s_z=0.0&amp;region=contiguous&amp;s_h_frame=NAD83_2011&amp;s_coor=geo&amp;s_v_frame=NAVD88&amp;s_v_unit=us_ft&amp;t_h_frame=NAD83_2011&amp;t_coor=geo&amp;t_v_frame=MHHW&amp;t_v_unit=us_ft", "Missing")</f>
        <v>0</v>
      </c>
    </row>
    <row r="471" spans="1:20">
      <c r="A471" s="1" t="s">
        <v>495</v>
      </c>
      <c r="B471" s="1" t="s">
        <v>635</v>
      </c>
      <c r="C471" s="1" t="s">
        <v>645</v>
      </c>
      <c r="D471" s="1" t="s">
        <v>654</v>
      </c>
      <c r="H471" s="1">
        <v>-84.32739318</v>
      </c>
      <c r="I471" s="1">
        <v>30.07269923</v>
      </c>
      <c r="J471" s="1">
        <f>HYPERLINK("https://waterdata.usgs.gov/nwis/nwismap/?site_no=02327031&amp;agency_cd=USGS", "US02327031")</f>
        <v>0</v>
      </c>
      <c r="K471" s="1" t="s">
        <v>861</v>
      </c>
      <c r="L471" s="1" t="s">
        <v>867</v>
      </c>
      <c r="M471" s="1">
        <v>5145607</v>
      </c>
      <c r="N471" s="1">
        <v>0</v>
      </c>
      <c r="O471" s="1" t="s">
        <v>869</v>
      </c>
      <c r="P471" s="1" t="s">
        <v>874</v>
      </c>
      <c r="Q471" s="1">
        <v>1.938</v>
      </c>
      <c r="R471" s="1">
        <v>-1.64</v>
      </c>
      <c r="S471" s="2">
        <f>HYPERLINK("https://vdatum.noaa.gov/vdatumweb/api/convert?s_x=-84.32739318&amp;s_y=30.07269923&amp;s_z=0.0&amp;region=contiguous&amp;s_h_frame=NAD83_2011&amp;s_coor=geo&amp;s_v_frame=NAVD88&amp;s_v_unit=us_ft&amp;t_h_frame=NAD83_2011&amp;t_coor=geo&amp;t_v_frame=MLLW&amp;t_v_unit=us_ft", "NAVD88 to MLLW")</f>
        <v>0</v>
      </c>
      <c r="T471" s="2">
        <f>HYPERLINK("https://vdatum.noaa.gov/vdatumweb/api/convert?s_x=-84.32739318&amp;s_y=30.07269923&amp;s_z=0.0&amp;region=contiguous&amp;s_h_frame=NAD83_2011&amp;s_coor=geo&amp;s_v_frame=NAVD88&amp;s_v_unit=us_ft&amp;t_h_frame=NAD83_2011&amp;t_coor=geo&amp;t_v_frame=MHHW&amp;t_v_unit=us_ft", "NAVD88 to MHHW")</f>
        <v>0</v>
      </c>
    </row>
    <row r="472" spans="1:20">
      <c r="A472" s="1" t="s">
        <v>496</v>
      </c>
      <c r="B472" s="1" t="s">
        <v>635</v>
      </c>
      <c r="C472" s="1" t="s">
        <v>645</v>
      </c>
      <c r="D472" s="1" t="s">
        <v>654</v>
      </c>
      <c r="E472" s="1" t="s">
        <v>796</v>
      </c>
      <c r="F472" s="1" t="s">
        <v>847</v>
      </c>
      <c r="G472" s="1" t="s">
        <v>854</v>
      </c>
      <c r="H472" s="1">
        <v>-85.0842806</v>
      </c>
      <c r="I472" s="1">
        <v>29.7695111</v>
      </c>
      <c r="J472" s="1">
        <f>HYPERLINK("https://waterdata.usgs.gov/nwis/nwismap/?site_no=02359223&amp;agency_cd=USGS", "US02359223")</f>
        <v>0</v>
      </c>
      <c r="K472" s="1" t="s">
        <v>861</v>
      </c>
      <c r="L472" s="1" t="s">
        <v>867</v>
      </c>
      <c r="M472" s="1">
        <v>7046590</v>
      </c>
      <c r="N472" s="1">
        <v>0</v>
      </c>
      <c r="O472" s="1" t="s">
        <v>869</v>
      </c>
      <c r="P472" s="1" t="s">
        <v>874</v>
      </c>
      <c r="Q472" s="1">
        <v>0.511</v>
      </c>
      <c r="R472" s="1">
        <v>-0.698</v>
      </c>
      <c r="S472" s="2">
        <f>HYPERLINK("https://vdatum.noaa.gov/vdatumweb/api/convert?s_x=-85.0842806&amp;s_y=29.7695111&amp;s_z=0.0&amp;region=contiguous&amp;s_h_frame=NAD83_2011&amp;s_coor=geo&amp;s_v_frame=NAVD88&amp;s_v_unit=us_ft&amp;t_h_frame=NAD83_2011&amp;t_coor=geo&amp;t_v_frame=MLLW&amp;t_v_unit=us_ft", "NAVD88 to MLLW")</f>
        <v>0</v>
      </c>
      <c r="T472" s="2">
        <f>HYPERLINK("https://vdatum.noaa.gov/vdatumweb/api/convert?s_x=-85.0842806&amp;s_y=29.7695111&amp;s_z=0.0&amp;region=contiguous&amp;s_h_frame=NAD83_2011&amp;s_coor=geo&amp;s_v_frame=NAVD88&amp;s_v_unit=us_ft&amp;t_h_frame=NAD83_2011&amp;t_coor=geo&amp;t_v_frame=MHHW&amp;t_v_unit=us_ft", "NAVD88 to MHHW")</f>
        <v>0</v>
      </c>
    </row>
    <row r="473" spans="1:20">
      <c r="A473" s="1" t="s">
        <v>497</v>
      </c>
      <c r="B473" s="1" t="s">
        <v>636</v>
      </c>
      <c r="D473" s="1" t="s">
        <v>654</v>
      </c>
      <c r="E473" s="1" t="s">
        <v>797</v>
      </c>
      <c r="F473" s="1" t="s">
        <v>847</v>
      </c>
      <c r="G473" s="1" t="s">
        <v>854</v>
      </c>
      <c r="H473" s="1">
        <v>-81.871</v>
      </c>
      <c r="I473" s="1">
        <v>26.648</v>
      </c>
      <c r="J473" s="1">
        <f>HYPERLINK("https://tidesandcurrents.noaa.gov/stationhome.html?id=8725520", "8725520")</f>
        <v>0</v>
      </c>
      <c r="K473" s="1" t="s">
        <v>860</v>
      </c>
      <c r="L473" s="1" t="s">
        <v>866</v>
      </c>
      <c r="M473" s="1">
        <v>7294356</v>
      </c>
      <c r="N473" s="1">
        <v>0</v>
      </c>
      <c r="O473" s="1" t="s">
        <v>869</v>
      </c>
      <c r="P473" s="1" t="s">
        <v>874</v>
      </c>
      <c r="Q473" s="1">
        <v>1.044</v>
      </c>
      <c r="R473" s="1">
        <v>-0.272</v>
      </c>
      <c r="S473" s="2">
        <f>HYPERLINK("https://vdatum.noaa.gov/vdatumweb/api/convert?s_x=-81.871&amp;s_y=26.648&amp;s_z=0.0&amp;region=contiguous&amp;s_h_frame=NAD83_2011&amp;s_coor=geo&amp;s_v_frame=NAVD88&amp;s_v_unit=us_ft&amp;t_h_frame=NAD83_2011&amp;t_coor=geo&amp;t_v_frame=MLLW&amp;t_v_unit=us_ft", "NAVD88 to MLLW")</f>
        <v>0</v>
      </c>
      <c r="T473" s="2">
        <f>HYPERLINK("https://vdatum.noaa.gov/vdatumweb/api/convert?s_x=-81.871&amp;s_y=26.648&amp;s_z=0.0&amp;region=contiguous&amp;s_h_frame=NAD83_2011&amp;s_coor=geo&amp;s_v_frame=NAVD88&amp;s_v_unit=us_ft&amp;t_h_frame=NAD83_2011&amp;t_coor=geo&amp;t_v_frame=MHHW&amp;t_v_unit=us_ft", "NAVD88 to MHHW")</f>
        <v>0</v>
      </c>
    </row>
    <row r="474" spans="1:20">
      <c r="A474" s="1" t="s">
        <v>498</v>
      </c>
      <c r="B474" s="1" t="s">
        <v>636</v>
      </c>
      <c r="C474" s="1" t="s">
        <v>645</v>
      </c>
      <c r="D474" s="1" t="s">
        <v>654</v>
      </c>
      <c r="E474" s="1" t="s">
        <v>798</v>
      </c>
      <c r="F474" s="1" t="s">
        <v>847</v>
      </c>
      <c r="G474" s="1" t="s">
        <v>854</v>
      </c>
      <c r="H474" s="1">
        <v>-82.5625</v>
      </c>
      <c r="I474" s="1">
        <v>27.63833</v>
      </c>
      <c r="J474" s="1">
        <f>HYPERLINK("https://tidesandcurrents.noaa.gov/stationhome.html?id=8726384", "8726384")</f>
        <v>0</v>
      </c>
      <c r="K474" s="1" t="s">
        <v>860</v>
      </c>
      <c r="L474" s="1" t="s">
        <v>866</v>
      </c>
      <c r="M474" s="1">
        <v>7445394</v>
      </c>
      <c r="N474" s="1">
        <v>0</v>
      </c>
      <c r="O474" s="1" t="s">
        <v>869</v>
      </c>
      <c r="P474" s="1" t="s">
        <v>874</v>
      </c>
      <c r="Q474" s="1">
        <v>1.551</v>
      </c>
      <c r="R474" s="1">
        <v>-0.64</v>
      </c>
      <c r="S474" s="2">
        <f>HYPERLINK("https://vdatum.noaa.gov/vdatumweb/api/convert?s_x=-82.5625&amp;s_y=27.63833&amp;s_z=0.0&amp;region=contiguous&amp;s_h_frame=NAD83_2011&amp;s_coor=geo&amp;s_v_frame=NAVD88&amp;s_v_unit=us_ft&amp;t_h_frame=NAD83_2011&amp;t_coor=geo&amp;t_v_frame=MLLW&amp;t_v_unit=us_ft", "NAVD88 to MLLW")</f>
        <v>0</v>
      </c>
      <c r="T474" s="2">
        <f>HYPERLINK("https://vdatum.noaa.gov/vdatumweb/api/convert?s_x=-82.5625&amp;s_y=27.63833&amp;s_z=0.0&amp;region=contiguous&amp;s_h_frame=NAD83_2011&amp;s_coor=geo&amp;s_v_frame=NAVD88&amp;s_v_unit=us_ft&amp;t_h_frame=NAD83_2011&amp;t_coor=geo&amp;t_v_frame=MHHW&amp;t_v_unit=us_ft", "NAVD88 to MHHW")</f>
        <v>0</v>
      </c>
    </row>
    <row r="475" spans="1:20">
      <c r="A475" s="1" t="s">
        <v>499</v>
      </c>
      <c r="B475" s="1" t="s">
        <v>636</v>
      </c>
      <c r="C475" s="1" t="s">
        <v>645</v>
      </c>
      <c r="D475" s="1" t="s">
        <v>654</v>
      </c>
      <c r="E475" s="1" t="s">
        <v>799</v>
      </c>
      <c r="F475" s="1" t="s">
        <v>847</v>
      </c>
      <c r="G475" s="1" t="s">
        <v>854</v>
      </c>
      <c r="H475" s="1">
        <v>-82.62690000000001</v>
      </c>
      <c r="I475" s="1">
        <v>27.76061</v>
      </c>
      <c r="J475" s="1">
        <f>HYPERLINK("https://tidesandcurrents.noaa.gov/stationhome.html?id=8726520", "8726520")</f>
        <v>0</v>
      </c>
      <c r="K475" s="1" t="s">
        <v>860</v>
      </c>
      <c r="L475" s="1" t="s">
        <v>866</v>
      </c>
      <c r="M475" s="1">
        <v>8625769</v>
      </c>
      <c r="N475" s="1">
        <v>0</v>
      </c>
      <c r="O475" s="1" t="s">
        <v>869</v>
      </c>
      <c r="P475" s="1" t="s">
        <v>874</v>
      </c>
      <c r="Q475" s="1">
        <v>1.524</v>
      </c>
      <c r="R475" s="1">
        <v>-0.748</v>
      </c>
      <c r="S475" s="2">
        <f>HYPERLINK("https://vdatum.noaa.gov/vdatumweb/api/convert?s_x=-82.6269&amp;s_y=27.76061&amp;s_z=0.0&amp;region=contiguous&amp;s_h_frame=NAD83_2011&amp;s_coor=geo&amp;s_v_frame=NAVD88&amp;s_v_unit=us_ft&amp;t_h_frame=NAD83_2011&amp;t_coor=geo&amp;t_v_frame=MLLW&amp;t_v_unit=us_ft", "NAVD88 to MLLW")</f>
        <v>0</v>
      </c>
      <c r="T475" s="2">
        <f>HYPERLINK("https://vdatum.noaa.gov/vdatumweb/api/convert?s_x=-82.6269&amp;s_y=27.76061&amp;s_z=0.0&amp;region=contiguous&amp;s_h_frame=NAD83_2011&amp;s_coor=geo&amp;s_v_frame=NAVD88&amp;s_v_unit=us_ft&amp;t_h_frame=NAD83_2011&amp;t_coor=geo&amp;t_v_frame=MHHW&amp;t_v_unit=us_ft", "NAVD88 to MHHW")</f>
        <v>0</v>
      </c>
    </row>
    <row r="476" spans="1:20">
      <c r="A476" s="1" t="s">
        <v>500</v>
      </c>
      <c r="B476" s="1" t="s">
        <v>636</v>
      </c>
      <c r="D476" s="1" t="s">
        <v>654</v>
      </c>
      <c r="H476" s="1">
        <v>-82.5528</v>
      </c>
      <c r="I476" s="1">
        <v>27.85778</v>
      </c>
      <c r="J476" s="1">
        <f>HYPERLINK("https://tidesandcurrents.noaa.gov/stationhome.html?id=8726607", "8726607")</f>
        <v>0</v>
      </c>
      <c r="K476" s="1" t="s">
        <v>860</v>
      </c>
      <c r="L476" s="1" t="s">
        <v>866</v>
      </c>
      <c r="M476" s="1">
        <v>8417101</v>
      </c>
      <c r="N476" s="1">
        <v>0</v>
      </c>
      <c r="O476" s="1" t="s">
        <v>869</v>
      </c>
      <c r="P476" s="1" t="s">
        <v>874</v>
      </c>
      <c r="Q476" s="1">
        <v>1.571</v>
      </c>
      <c r="R476" s="1">
        <v>-0.911</v>
      </c>
      <c r="S476" s="2">
        <f>HYPERLINK("https://vdatum.noaa.gov/vdatumweb/api/convert?s_x=-82.5528&amp;s_y=27.85778&amp;s_z=0.0&amp;region=contiguous&amp;s_h_frame=NAD83_2011&amp;s_coor=geo&amp;s_v_frame=NAVD88&amp;s_v_unit=us_ft&amp;t_h_frame=NAD83_2011&amp;t_coor=geo&amp;t_v_frame=MLLW&amp;t_v_unit=us_ft", "NAVD88 to MLLW")</f>
        <v>0</v>
      </c>
      <c r="T476" s="2">
        <f>HYPERLINK("https://vdatum.noaa.gov/vdatumweb/api/convert?s_x=-82.5528&amp;s_y=27.85778&amp;s_z=0.0&amp;region=contiguous&amp;s_h_frame=NAD83_2011&amp;s_coor=geo&amp;s_v_frame=NAVD88&amp;s_v_unit=us_ft&amp;t_h_frame=NAD83_2011&amp;t_coor=geo&amp;t_v_frame=MHHW&amp;t_v_unit=us_ft", "NAVD88 to MHHW")</f>
        <v>0</v>
      </c>
    </row>
    <row r="477" spans="1:20">
      <c r="A477" s="1" t="s">
        <v>501</v>
      </c>
      <c r="B477" s="1" t="s">
        <v>636</v>
      </c>
      <c r="D477" s="1" t="s">
        <v>654</v>
      </c>
      <c r="H477" s="1">
        <v>-82.425</v>
      </c>
      <c r="I477" s="1">
        <v>27.91333</v>
      </c>
      <c r="J477" s="1">
        <f>HYPERLINK("https://tidesandcurrents.noaa.gov/stationhome.html?id=8726667", "8726667")</f>
        <v>0</v>
      </c>
      <c r="K477" s="1" t="s">
        <v>860</v>
      </c>
      <c r="L477" s="1" t="s">
        <v>866</v>
      </c>
      <c r="M477" s="1">
        <v>7938666</v>
      </c>
      <c r="N477" s="1">
        <v>0</v>
      </c>
      <c r="O477" s="1" t="s">
        <v>869</v>
      </c>
      <c r="P477" s="1" t="s">
        <v>874</v>
      </c>
      <c r="Q477" s="1">
        <v>1.543</v>
      </c>
      <c r="R477" s="1">
        <v>-1.15</v>
      </c>
      <c r="S477" s="2">
        <f>HYPERLINK("https://vdatum.noaa.gov/vdatumweb/api/convert?s_x=-82.425&amp;s_y=27.91333&amp;s_z=0.0&amp;region=contiguous&amp;s_h_frame=NAD83_2011&amp;s_coor=geo&amp;s_v_frame=NAVD88&amp;s_v_unit=us_ft&amp;t_h_frame=NAD83_2011&amp;t_coor=geo&amp;t_v_frame=MLLW&amp;t_v_unit=us_ft", "NAVD88 to MLLW")</f>
        <v>0</v>
      </c>
      <c r="T477" s="2">
        <f>HYPERLINK("https://vdatum.noaa.gov/vdatumweb/api/convert?s_x=-82.425&amp;s_y=27.91333&amp;s_z=0.0&amp;region=contiguous&amp;s_h_frame=NAD83_2011&amp;s_coor=geo&amp;s_v_frame=NAVD88&amp;s_v_unit=us_ft&amp;t_h_frame=NAD83_2011&amp;t_coor=geo&amp;t_v_frame=MHHW&amp;t_v_unit=us_ft", "NAVD88 to MHHW")</f>
        <v>0</v>
      </c>
    </row>
    <row r="478" spans="1:20">
      <c r="A478" s="1" t="s">
        <v>502</v>
      </c>
      <c r="B478" s="1" t="s">
        <v>636</v>
      </c>
      <c r="D478" s="1" t="s">
        <v>654</v>
      </c>
      <c r="H478" s="1">
        <v>-82.8317</v>
      </c>
      <c r="I478" s="1">
        <v>27.97831</v>
      </c>
      <c r="J478" s="1">
        <f>HYPERLINK("https://tidesandcurrents.noaa.gov/stationhome.html?id=8726724", "8726724")</f>
        <v>0</v>
      </c>
      <c r="K478" s="1" t="s">
        <v>860</v>
      </c>
      <c r="L478" s="1" t="s">
        <v>866</v>
      </c>
      <c r="M478" s="1">
        <v>1808739</v>
      </c>
      <c r="N478" s="1">
        <v>0</v>
      </c>
      <c r="O478" s="1" t="s">
        <v>869</v>
      </c>
      <c r="P478" s="1" t="s">
        <v>874</v>
      </c>
      <c r="Q478" s="1">
        <v>1.788</v>
      </c>
      <c r="R478" s="1">
        <v>-0.948</v>
      </c>
      <c r="S478" s="2">
        <f>HYPERLINK("https://vdatum.noaa.gov/vdatumweb/api/convert?s_x=-82.8317&amp;s_y=27.97831&amp;s_z=0.0&amp;region=contiguous&amp;s_h_frame=NAD83_2011&amp;s_coor=geo&amp;s_v_frame=NAVD88&amp;s_v_unit=us_ft&amp;t_h_frame=NAD83_2011&amp;t_coor=geo&amp;t_v_frame=MLLW&amp;t_v_unit=us_ft", "NAVD88 to MLLW")</f>
        <v>0</v>
      </c>
      <c r="T478" s="2">
        <f>HYPERLINK("https://vdatum.noaa.gov/vdatumweb/api/convert?s_x=-82.8317&amp;s_y=27.97831&amp;s_z=0.0&amp;region=contiguous&amp;s_h_frame=NAD83_2011&amp;s_coor=geo&amp;s_v_frame=NAVD88&amp;s_v_unit=us_ft&amp;t_h_frame=NAD83_2011&amp;t_coor=geo&amp;t_v_frame=MHHW&amp;t_v_unit=us_ft", "NAVD88 to MHHW")</f>
        <v>0</v>
      </c>
    </row>
    <row r="479" spans="1:20">
      <c r="A479" s="1" t="s">
        <v>503</v>
      </c>
      <c r="B479" s="1" t="s">
        <v>636</v>
      </c>
      <c r="D479" s="1" t="s">
        <v>654</v>
      </c>
      <c r="H479" s="1">
        <v>-83.0317</v>
      </c>
      <c r="I479" s="1">
        <v>29.135</v>
      </c>
      <c r="J479" s="1">
        <f>HYPERLINK("https://tidesandcurrents.noaa.gov/stationhome.html?id=8727520", "8727520")</f>
        <v>0</v>
      </c>
      <c r="K479" s="1" t="s">
        <v>860</v>
      </c>
      <c r="L479" s="1" t="s">
        <v>866</v>
      </c>
      <c r="M479" s="1">
        <v>3909180</v>
      </c>
      <c r="N479" s="1">
        <v>0</v>
      </c>
      <c r="O479" s="1" t="s">
        <v>869</v>
      </c>
      <c r="P479" s="1" t="s">
        <v>874</v>
      </c>
      <c r="Q479" s="1">
        <v>2.251</v>
      </c>
      <c r="R479" s="1">
        <v>-1.548</v>
      </c>
      <c r="S479" s="2">
        <f>HYPERLINK("https://vdatum.noaa.gov/vdatumweb/api/convert?s_x=-83.0317&amp;s_y=29.135&amp;s_z=0.0&amp;region=contiguous&amp;s_h_frame=NAD83_2011&amp;s_coor=geo&amp;s_v_frame=NAVD88&amp;s_v_unit=us_ft&amp;t_h_frame=NAD83_2011&amp;t_coor=geo&amp;t_v_frame=MLLW&amp;t_v_unit=us_ft", "NAVD88 to MLLW")</f>
        <v>0</v>
      </c>
      <c r="T479" s="2">
        <f>HYPERLINK("https://vdatum.noaa.gov/vdatumweb/api/convert?s_x=-83.0317&amp;s_y=29.135&amp;s_z=0.0&amp;region=contiguous&amp;s_h_frame=NAD83_2011&amp;s_coor=geo&amp;s_v_frame=NAVD88&amp;s_v_unit=us_ft&amp;t_h_frame=NAD83_2011&amp;t_coor=geo&amp;t_v_frame=MHHW&amp;t_v_unit=us_ft", "NAVD88 to MHHW")</f>
        <v>0</v>
      </c>
    </row>
    <row r="480" spans="1:20">
      <c r="A480" s="1" t="s">
        <v>504</v>
      </c>
      <c r="B480" s="1" t="s">
        <v>636</v>
      </c>
      <c r="D480" s="1" t="s">
        <v>654</v>
      </c>
      <c r="H480" s="1">
        <v>-82.42140000000001</v>
      </c>
      <c r="I480" s="1">
        <v>27.9231</v>
      </c>
      <c r="J480" s="1" t="s">
        <v>859</v>
      </c>
      <c r="K480" s="1" t="s">
        <v>860</v>
      </c>
      <c r="L480" s="1" t="s">
        <v>859</v>
      </c>
      <c r="M480" s="1">
        <v>8002832</v>
      </c>
      <c r="N480" s="1">
        <v>0</v>
      </c>
      <c r="O480" s="1" t="s">
        <v>869</v>
      </c>
      <c r="P480" s="1" t="s">
        <v>874</v>
      </c>
      <c r="Q480" s="1">
        <v>1.515</v>
      </c>
      <c r="R480" s="1">
        <v>-1.182</v>
      </c>
      <c r="S480" s="2">
        <f>HYPERLINK("https://vdatum.noaa.gov/vdatumweb/api/convert?s_x=-82.4214&amp;s_y=27.9231&amp;s_z=0.0&amp;region=contiguous&amp;s_h_frame=NAD83_2011&amp;s_coor=geo&amp;s_v_frame=NAVD88&amp;s_v_unit=us_ft&amp;t_h_frame=NAD83_2011&amp;t_coor=geo&amp;t_v_frame=MLLW&amp;t_v_unit=us_ft", "NAVD88 to MLLW")</f>
        <v>0</v>
      </c>
      <c r="T480" s="2">
        <f>HYPERLINK("https://vdatum.noaa.gov/vdatumweb/api/convert?s_x=-82.4214&amp;s_y=27.9231&amp;s_z=0.0&amp;region=contiguous&amp;s_h_frame=NAD83_2011&amp;s_coor=geo&amp;s_v_frame=NAVD88&amp;s_v_unit=us_ft&amp;t_h_frame=NAD83_2011&amp;t_coor=geo&amp;t_v_frame=MHHW&amp;t_v_unit=us_ft", "NAVD88 to MHHW")</f>
        <v>0</v>
      </c>
    </row>
    <row r="481" spans="1:20">
      <c r="A481" s="1" t="s">
        <v>505</v>
      </c>
      <c r="B481" s="1" t="s">
        <v>636</v>
      </c>
      <c r="C481" s="1" t="s">
        <v>645</v>
      </c>
      <c r="D481" s="1" t="s">
        <v>654</v>
      </c>
      <c r="E481" s="1" t="s">
        <v>800</v>
      </c>
      <c r="F481" s="1" t="s">
        <v>847</v>
      </c>
      <c r="G481" s="1" t="s">
        <v>854</v>
      </c>
      <c r="H481" s="1">
        <v>-82.45889</v>
      </c>
      <c r="I481" s="1">
        <v>27.991667</v>
      </c>
      <c r="J481" s="1" t="s">
        <v>859</v>
      </c>
      <c r="K481" s="1" t="s">
        <v>861</v>
      </c>
      <c r="L481" s="1" t="s">
        <v>859</v>
      </c>
      <c r="M481" s="1">
        <v>7667341</v>
      </c>
      <c r="N481" s="1">
        <v>0</v>
      </c>
      <c r="O481" s="1" t="s">
        <v>869</v>
      </c>
      <c r="P481" s="1" t="s">
        <v>874</v>
      </c>
      <c r="Q481" s="1">
        <v>-999999</v>
      </c>
      <c r="R481" s="1">
        <v>-999999</v>
      </c>
      <c r="S481" s="2">
        <f>HYPERLINK("https://vdatum.noaa.gov/vdatumweb/api/convert?s_x=-82.45889&amp;s_y=27.991667&amp;s_z=0.0&amp;region=contiguous&amp;s_h_frame=NAD83_2011&amp;s_coor=geo&amp;s_v_frame=NAVD88&amp;s_v_unit=us_ft&amp;t_h_frame=NAD83_2011&amp;t_coor=geo&amp;t_v_frame=MLLW&amp;t_v_unit=us_ft", "Missing")</f>
        <v>0</v>
      </c>
      <c r="T481" s="2">
        <f>HYPERLINK("https://vdatum.noaa.gov/vdatumweb/api/convert?s_x=-82.45889&amp;s_y=27.991667&amp;s_z=0.0&amp;region=contiguous&amp;s_h_frame=NAD83_2011&amp;s_coor=geo&amp;s_v_frame=NAVD88&amp;s_v_unit=us_ft&amp;t_h_frame=NAD83_2011&amp;t_coor=geo&amp;t_v_frame=MHHW&amp;t_v_unit=us_ft", "Missing")</f>
        <v>0</v>
      </c>
    </row>
    <row r="482" spans="1:20">
      <c r="A482" s="1" t="s">
        <v>506</v>
      </c>
      <c r="B482" s="1" t="s">
        <v>636</v>
      </c>
      <c r="C482" s="1" t="s">
        <v>645</v>
      </c>
      <c r="D482" s="1" t="s">
        <v>654</v>
      </c>
      <c r="E482" s="1" t="s">
        <v>801</v>
      </c>
      <c r="F482" s="1" t="s">
        <v>847</v>
      </c>
      <c r="G482" s="1" t="s">
        <v>854</v>
      </c>
      <c r="H482" s="1">
        <v>-82.29306217</v>
      </c>
      <c r="I482" s="1">
        <v>27.04519129</v>
      </c>
      <c r="J482" s="1">
        <f>HYPERLINK("https://waterdata.usgs.gov/nwis/nwismap/?site_no=02299230&amp;agency_cd=USGS", "US02299230")</f>
        <v>0</v>
      </c>
      <c r="K482" s="1" t="s">
        <v>861</v>
      </c>
      <c r="L482" s="1" t="s">
        <v>867</v>
      </c>
      <c r="M482" s="1">
        <v>8418201</v>
      </c>
      <c r="N482" s="1">
        <v>-0.03</v>
      </c>
      <c r="O482" s="1" t="s">
        <v>869</v>
      </c>
      <c r="P482" s="1" t="s">
        <v>874</v>
      </c>
      <c r="Q482" s="1">
        <v>-999999</v>
      </c>
      <c r="R482" s="1">
        <v>-999999</v>
      </c>
      <c r="S482" s="2">
        <f>HYPERLINK("https://vdatum.noaa.gov/vdatumweb/api/convert?s_x=-82.29306217&amp;s_y=27.04519129&amp;s_z=0.0&amp;region=contiguous&amp;s_h_frame=NAD83_2011&amp;s_coor=geo&amp;s_v_frame=NAVD88&amp;s_v_unit=us_ft&amp;t_h_frame=NAD83_2011&amp;t_coor=geo&amp;t_v_frame=MLLW&amp;t_v_unit=us_ft", "Missing")</f>
        <v>0</v>
      </c>
      <c r="T482" s="2">
        <f>HYPERLINK("https://vdatum.noaa.gov/vdatumweb/api/convert?s_x=-82.29306217&amp;s_y=27.04519129&amp;s_z=0.0&amp;region=contiguous&amp;s_h_frame=NAD83_2011&amp;s_coor=geo&amp;s_v_frame=NAVD88&amp;s_v_unit=us_ft&amp;t_h_frame=NAD83_2011&amp;t_coor=geo&amp;t_v_frame=MHHW&amp;t_v_unit=us_ft", "Missing")</f>
        <v>0</v>
      </c>
    </row>
    <row r="483" spans="1:20">
      <c r="A483" s="1" t="s">
        <v>507</v>
      </c>
      <c r="B483" s="1" t="s">
        <v>636</v>
      </c>
      <c r="C483" s="1" t="s">
        <v>645</v>
      </c>
      <c r="D483" s="1" t="s">
        <v>654</v>
      </c>
      <c r="E483" s="1" t="s">
        <v>801</v>
      </c>
      <c r="F483" s="1" t="s">
        <v>847</v>
      </c>
      <c r="G483" s="1" t="s">
        <v>854</v>
      </c>
      <c r="H483" s="1">
        <v>-82.43009243</v>
      </c>
      <c r="I483" s="1">
        <v>27.14393748</v>
      </c>
      <c r="J483" s="1">
        <f>HYPERLINK("https://waterdata.usgs.gov/nwis/nwismap/?site_no=02299727&amp;agency_cd=USGS", "US02299727")</f>
        <v>0</v>
      </c>
      <c r="K483" s="1" t="s">
        <v>861</v>
      </c>
      <c r="L483" s="1" t="s">
        <v>867</v>
      </c>
      <c r="M483" s="1">
        <v>2916499</v>
      </c>
      <c r="N483" s="1">
        <v>-0.339</v>
      </c>
      <c r="O483" s="1" t="s">
        <v>869</v>
      </c>
      <c r="P483" s="1" t="s">
        <v>874</v>
      </c>
      <c r="Q483" s="1">
        <v>-999999</v>
      </c>
      <c r="R483" s="1">
        <v>-999999</v>
      </c>
      <c r="S483" s="2">
        <f>HYPERLINK("https://vdatum.noaa.gov/vdatumweb/api/convert?s_x=-82.43009243&amp;s_y=27.14393748&amp;s_z=0.0&amp;region=contiguous&amp;s_h_frame=NAD83_2011&amp;s_coor=geo&amp;s_v_frame=NAVD88&amp;s_v_unit=us_ft&amp;t_h_frame=NAD83_2011&amp;t_coor=geo&amp;t_v_frame=MLLW&amp;t_v_unit=us_ft", "Missing")</f>
        <v>0</v>
      </c>
      <c r="T483" s="2">
        <f>HYPERLINK("https://vdatum.noaa.gov/vdatumweb/api/convert?s_x=-82.43009243&amp;s_y=27.14393748&amp;s_z=0.0&amp;region=contiguous&amp;s_h_frame=NAD83_2011&amp;s_coor=geo&amp;s_v_frame=NAVD88&amp;s_v_unit=us_ft&amp;t_h_frame=NAD83_2011&amp;t_coor=geo&amp;t_v_frame=MHHW&amp;t_v_unit=us_ft", "Missing")</f>
        <v>0</v>
      </c>
    </row>
    <row r="484" spans="1:20">
      <c r="A484" s="1" t="s">
        <v>508</v>
      </c>
      <c r="B484" s="1" t="s">
        <v>636</v>
      </c>
      <c r="D484" s="1" t="s">
        <v>654</v>
      </c>
      <c r="E484" s="1" t="s">
        <v>801</v>
      </c>
      <c r="F484" s="1" t="s">
        <v>847</v>
      </c>
      <c r="G484" s="1" t="s">
        <v>854</v>
      </c>
      <c r="H484" s="1">
        <v>-82.46555222000001</v>
      </c>
      <c r="I484" s="1">
        <v>27.11221723</v>
      </c>
      <c r="J484" s="1">
        <f>HYPERLINK("https://waterdata.usgs.gov/nwis/nwismap/?site_no=02299735&amp;agency_cd=USGS", "US02299735")</f>
        <v>0</v>
      </c>
      <c r="K484" s="1" t="s">
        <v>861</v>
      </c>
      <c r="L484" s="1" t="s">
        <v>867</v>
      </c>
      <c r="M484" s="1">
        <v>3075990</v>
      </c>
      <c r="N484" s="1">
        <v>0</v>
      </c>
      <c r="O484" s="1" t="s">
        <v>869</v>
      </c>
      <c r="P484" s="1" t="s">
        <v>874</v>
      </c>
      <c r="Q484" s="1">
        <v>1.413</v>
      </c>
      <c r="R484" s="1">
        <v>-0.487</v>
      </c>
      <c r="S484" s="2">
        <f>HYPERLINK("https://vdatum.noaa.gov/vdatumweb/api/convert?s_x=-82.46555222&amp;s_y=27.11221723&amp;s_z=0.0&amp;region=contiguous&amp;s_h_frame=NAD83_2011&amp;s_coor=geo&amp;s_v_frame=NAVD88&amp;s_v_unit=us_ft&amp;t_h_frame=NAD83_2011&amp;t_coor=geo&amp;t_v_frame=MLLW&amp;t_v_unit=us_ft", "NAVD88 to MLLW")</f>
        <v>0</v>
      </c>
      <c r="T484" s="2">
        <f>HYPERLINK("https://vdatum.noaa.gov/vdatumweb/api/convert?s_x=-82.46555222&amp;s_y=27.11221723&amp;s_z=0.0&amp;region=contiguous&amp;s_h_frame=NAD83_2011&amp;s_coor=geo&amp;s_v_frame=NAVD88&amp;s_v_unit=us_ft&amp;t_h_frame=NAD83_2011&amp;t_coor=geo&amp;t_v_frame=MHHW&amp;t_v_unit=us_ft", "NAVD88 to MHHW")</f>
        <v>0</v>
      </c>
    </row>
    <row r="485" spans="1:20">
      <c r="A485" s="1" t="s">
        <v>509</v>
      </c>
      <c r="B485" s="1" t="s">
        <v>636</v>
      </c>
      <c r="C485" s="1" t="s">
        <v>645</v>
      </c>
      <c r="D485" s="1" t="s">
        <v>654</v>
      </c>
      <c r="E485" s="1" t="s">
        <v>800</v>
      </c>
      <c r="F485" s="1" t="s">
        <v>847</v>
      </c>
      <c r="G485" s="1" t="s">
        <v>854</v>
      </c>
      <c r="H485" s="1">
        <v>-82.38425642</v>
      </c>
      <c r="I485" s="1">
        <v>27.85974224</v>
      </c>
      <c r="J485" s="1">
        <f>HYPERLINK("https://waterdata.usgs.gov/nwis/nwismap/?site_no=02301721&amp;agency_cd=USGS", "US02301721")</f>
        <v>0</v>
      </c>
      <c r="K485" s="1" t="s">
        <v>861</v>
      </c>
      <c r="L485" s="1" t="s">
        <v>867</v>
      </c>
      <c r="M485" s="1">
        <v>6162388</v>
      </c>
      <c r="N485" s="1">
        <v>-0.27</v>
      </c>
      <c r="O485" s="1" t="s">
        <v>869</v>
      </c>
      <c r="P485" s="1" t="s">
        <v>874</v>
      </c>
      <c r="Q485" s="1">
        <v>1.444</v>
      </c>
      <c r="R485" s="1">
        <v>-0.993</v>
      </c>
      <c r="S485" s="2">
        <f>HYPERLINK("https://vdatum.noaa.gov/vdatumweb/api/convert?s_x=-82.38425642&amp;s_y=27.85974224&amp;s_z=0.0&amp;region=contiguous&amp;s_h_frame=NAD83_2011&amp;s_coor=geo&amp;s_v_frame=NAVD88&amp;s_v_unit=us_ft&amp;t_h_frame=NAD83_2011&amp;t_coor=geo&amp;t_v_frame=MLLW&amp;t_v_unit=us_ft", "NAVD88 to MLLW")</f>
        <v>0</v>
      </c>
      <c r="T485" s="2">
        <f>HYPERLINK("https://vdatum.noaa.gov/vdatumweb/api/convert?s_x=-82.38425642&amp;s_y=27.85974224&amp;s_z=0.0&amp;region=contiguous&amp;s_h_frame=NAD83_2011&amp;s_coor=geo&amp;s_v_frame=NAVD88&amp;s_v_unit=us_ft&amp;t_h_frame=NAD83_2011&amp;t_coor=geo&amp;t_v_frame=MHHW&amp;t_v_unit=us_ft", "NAVD88 to MHHW")</f>
        <v>0</v>
      </c>
    </row>
    <row r="486" spans="1:20">
      <c r="A486" s="1" t="s">
        <v>510</v>
      </c>
      <c r="B486" s="1" t="s">
        <v>636</v>
      </c>
      <c r="C486" s="1" t="s">
        <v>645</v>
      </c>
      <c r="D486" s="1" t="s">
        <v>654</v>
      </c>
      <c r="E486" s="1" t="s">
        <v>802</v>
      </c>
      <c r="F486" s="1" t="s">
        <v>847</v>
      </c>
      <c r="G486" s="1" t="s">
        <v>854</v>
      </c>
      <c r="H486" s="1">
        <v>-82.72259711</v>
      </c>
      <c r="I486" s="1">
        <v>28.25028246</v>
      </c>
      <c r="J486" s="1">
        <f>HYPERLINK("https://waterdata.usgs.gov/nwis/nwismap/?site_no=02310308&amp;agency_cd=USGS", "US02310308")</f>
        <v>0</v>
      </c>
      <c r="K486" s="1" t="s">
        <v>861</v>
      </c>
      <c r="L486" s="1" t="s">
        <v>867</v>
      </c>
      <c r="M486" s="1">
        <v>3439151</v>
      </c>
      <c r="N486" s="1">
        <v>0</v>
      </c>
      <c r="O486" s="1" t="s">
        <v>869</v>
      </c>
      <c r="P486" s="1" t="s">
        <v>874</v>
      </c>
      <c r="Q486" s="1">
        <v>-999999</v>
      </c>
      <c r="R486" s="1">
        <v>-999999</v>
      </c>
      <c r="S486" s="2">
        <f>HYPERLINK("https://vdatum.noaa.gov/vdatumweb/api/convert?s_x=-82.72259711&amp;s_y=28.25028246&amp;s_z=0.0&amp;region=contiguous&amp;s_h_frame=NAD83_2011&amp;s_coor=geo&amp;s_v_frame=NAVD88&amp;s_v_unit=us_ft&amp;t_h_frame=NAD83_2011&amp;t_coor=geo&amp;t_v_frame=MLLW&amp;t_v_unit=us_ft", "Missing")</f>
        <v>0</v>
      </c>
      <c r="T486" s="2">
        <f>HYPERLINK("https://vdatum.noaa.gov/vdatumweb/api/convert?s_x=-82.72259711&amp;s_y=28.25028246&amp;s_z=0.0&amp;region=contiguous&amp;s_h_frame=NAD83_2011&amp;s_coor=geo&amp;s_v_frame=NAVD88&amp;s_v_unit=us_ft&amp;t_h_frame=NAD83_2011&amp;t_coor=geo&amp;t_v_frame=MHHW&amp;t_v_unit=us_ft", "Missing")</f>
        <v>0</v>
      </c>
    </row>
    <row r="487" spans="1:20">
      <c r="A487" s="1" t="s">
        <v>511</v>
      </c>
      <c r="B487" s="1" t="s">
        <v>636</v>
      </c>
      <c r="C487" s="1" t="s">
        <v>645</v>
      </c>
      <c r="D487" s="1" t="s">
        <v>654</v>
      </c>
      <c r="E487" s="1" t="s">
        <v>803</v>
      </c>
      <c r="F487" s="1" t="s">
        <v>847</v>
      </c>
      <c r="G487" s="1" t="s">
        <v>854</v>
      </c>
      <c r="H487" s="1">
        <v>-82.5767656</v>
      </c>
      <c r="I487" s="1">
        <v>28.71526419</v>
      </c>
      <c r="J487" s="1">
        <f>HYPERLINK("https://waterdata.usgs.gov/nwis/nwismap/?site_no=02310650&amp;agency_cd=USGS", "US02310650")</f>
        <v>0</v>
      </c>
      <c r="K487" s="1" t="s">
        <v>861</v>
      </c>
      <c r="L487" s="1" t="s">
        <v>867</v>
      </c>
      <c r="M487" s="1">
        <v>5153444</v>
      </c>
      <c r="N487" s="1">
        <v>-0.343</v>
      </c>
      <c r="O487" s="1" t="s">
        <v>869</v>
      </c>
      <c r="P487" s="1" t="s">
        <v>874</v>
      </c>
      <c r="Q487" s="1">
        <v>-999999</v>
      </c>
      <c r="R487" s="1">
        <v>-999999</v>
      </c>
      <c r="S487" s="2">
        <f>HYPERLINK("https://vdatum.noaa.gov/vdatumweb/api/convert?s_x=-82.5767656&amp;s_y=28.71526419&amp;s_z=0.0&amp;region=contiguous&amp;s_h_frame=NAD83_2011&amp;s_coor=geo&amp;s_v_frame=NAVD88&amp;s_v_unit=us_ft&amp;t_h_frame=NAD83_2011&amp;t_coor=geo&amp;t_v_frame=MLLW&amp;t_v_unit=us_ft", "Missing")</f>
        <v>0</v>
      </c>
      <c r="T487" s="2">
        <f>HYPERLINK("https://vdatum.noaa.gov/vdatumweb/api/convert?s_x=-82.5767656&amp;s_y=28.71526419&amp;s_z=0.0&amp;region=contiguous&amp;s_h_frame=NAD83_2011&amp;s_coor=geo&amp;s_v_frame=NAVD88&amp;s_v_unit=us_ft&amp;t_h_frame=NAD83_2011&amp;t_coor=geo&amp;t_v_frame=MHHW&amp;t_v_unit=us_ft", "Missing")</f>
        <v>0</v>
      </c>
    </row>
    <row r="488" spans="1:20">
      <c r="A488" s="1" t="s">
        <v>512</v>
      </c>
      <c r="B488" s="1" t="s">
        <v>636</v>
      </c>
      <c r="C488" s="1" t="s">
        <v>645</v>
      </c>
      <c r="D488" s="1" t="s">
        <v>654</v>
      </c>
      <c r="E488" s="1" t="s">
        <v>803</v>
      </c>
      <c r="F488" s="1" t="s">
        <v>847</v>
      </c>
      <c r="G488" s="1" t="s">
        <v>854</v>
      </c>
      <c r="H488" s="1">
        <v>-82.60620723</v>
      </c>
      <c r="I488" s="1">
        <v>28.71525869</v>
      </c>
      <c r="J488" s="1">
        <f>HYPERLINK("https://waterdata.usgs.gov/nwis/nwismap/?site_no=02310663&amp;agency_cd=USGS", "US02310663")</f>
        <v>0</v>
      </c>
      <c r="K488" s="1" t="s">
        <v>861</v>
      </c>
      <c r="L488" s="1" t="s">
        <v>867</v>
      </c>
      <c r="M488" s="1">
        <v>4900574</v>
      </c>
      <c r="N488" s="1">
        <v>-0.22</v>
      </c>
      <c r="O488" s="1" t="s">
        <v>869</v>
      </c>
      <c r="P488" s="1" t="s">
        <v>874</v>
      </c>
      <c r="Q488" s="1">
        <v>0.534</v>
      </c>
      <c r="R488" s="1">
        <v>-1.397</v>
      </c>
      <c r="S488" s="2">
        <f>HYPERLINK("https://vdatum.noaa.gov/vdatumweb/api/convert?s_x=-82.60620723&amp;s_y=28.71525869&amp;s_z=0.0&amp;region=contiguous&amp;s_h_frame=NAD83_2011&amp;s_coor=geo&amp;s_v_frame=NAVD88&amp;s_v_unit=us_ft&amp;t_h_frame=NAD83_2011&amp;t_coor=geo&amp;t_v_frame=MLLW&amp;t_v_unit=us_ft", "NAVD88 to MLLW")</f>
        <v>0</v>
      </c>
      <c r="T488" s="2">
        <f>HYPERLINK("https://vdatum.noaa.gov/vdatumweb/api/convert?s_x=-82.60620723&amp;s_y=28.71525869&amp;s_z=0.0&amp;region=contiguous&amp;s_h_frame=NAD83_2011&amp;s_coor=geo&amp;s_v_frame=NAVD88&amp;s_v_unit=us_ft&amp;t_h_frame=NAD83_2011&amp;t_coor=geo&amp;t_v_frame=MHHW&amp;t_v_unit=us_ft", "NAVD88 to MHHW")</f>
        <v>0</v>
      </c>
    </row>
    <row r="489" spans="1:20">
      <c r="A489" s="1" t="s">
        <v>513</v>
      </c>
      <c r="B489" s="1" t="s">
        <v>636</v>
      </c>
      <c r="D489" s="1" t="s">
        <v>654</v>
      </c>
      <c r="H489" s="1">
        <v>-82.63898562</v>
      </c>
      <c r="I489" s="1">
        <v>28.694704</v>
      </c>
      <c r="J489" s="1">
        <f>HYPERLINK("https://waterdata.usgs.gov/nwis/nwismap/?site_no=02310674&amp;agency_cd=USGS", "US02310674")</f>
        <v>0</v>
      </c>
      <c r="K489" s="1" t="s">
        <v>861</v>
      </c>
      <c r="L489" s="1" t="s">
        <v>867</v>
      </c>
      <c r="M489" s="1">
        <v>4210442</v>
      </c>
      <c r="N489" s="1">
        <v>0</v>
      </c>
      <c r="O489" s="1" t="s">
        <v>869</v>
      </c>
      <c r="P489" s="1" t="s">
        <v>874</v>
      </c>
      <c r="Q489" s="1">
        <v>0.877</v>
      </c>
      <c r="R489" s="1">
        <v>-1.324</v>
      </c>
      <c r="S489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LLW&amp;t_v_unit=us_ft", "NAVD88 to MLLW")</f>
        <v>0</v>
      </c>
      <c r="T489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HHW&amp;t_v_unit=us_ft", "NAVD88 to MHHW")</f>
        <v>0</v>
      </c>
    </row>
    <row r="490" spans="1:20">
      <c r="A490" s="1" t="s">
        <v>514</v>
      </c>
      <c r="B490" s="1" t="s">
        <v>636</v>
      </c>
      <c r="D490" s="1" t="s">
        <v>654</v>
      </c>
      <c r="H490" s="1">
        <v>-82.63898562</v>
      </c>
      <c r="I490" s="1">
        <v>28.694704</v>
      </c>
      <c r="J490" s="1">
        <f>HYPERLINK("https://waterdata.usgs.gov/nwis/nwismap/?site_no=02310674&amp;agency_cd=USGS", "US02310674")</f>
        <v>0</v>
      </c>
      <c r="K490" s="1" t="s">
        <v>861</v>
      </c>
      <c r="L490" s="1" t="s">
        <v>867</v>
      </c>
      <c r="M490" s="1">
        <v>4210442</v>
      </c>
      <c r="N490" s="1">
        <v>0</v>
      </c>
      <c r="O490" s="1" t="s">
        <v>869</v>
      </c>
      <c r="P490" s="1" t="s">
        <v>874</v>
      </c>
      <c r="Q490" s="1">
        <v>0.877</v>
      </c>
      <c r="R490" s="1">
        <v>-1.324</v>
      </c>
      <c r="S490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LLW&amp;t_v_unit=us_ft", "NAVD88 to MLLW")</f>
        <v>0</v>
      </c>
      <c r="T490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HHW&amp;t_v_unit=us_ft", "NAVD88 to MHHW")</f>
        <v>0</v>
      </c>
    </row>
    <row r="491" spans="1:20">
      <c r="A491" s="1" t="s">
        <v>515</v>
      </c>
      <c r="B491" s="1" t="s">
        <v>636</v>
      </c>
      <c r="C491" s="1" t="s">
        <v>645</v>
      </c>
      <c r="D491" s="1" t="s">
        <v>654</v>
      </c>
      <c r="E491" s="1" t="s">
        <v>803</v>
      </c>
      <c r="F491" s="1" t="s">
        <v>847</v>
      </c>
      <c r="G491" s="1" t="s">
        <v>854</v>
      </c>
      <c r="H491" s="1">
        <v>-82.59565313</v>
      </c>
      <c r="I491" s="1">
        <v>28.89052961</v>
      </c>
      <c r="J491" s="1">
        <f>HYPERLINK("https://waterdata.usgs.gov/nwis/nwismap/?site_no=02310740&amp;agency_cd=USGS", "US02310740")</f>
        <v>0</v>
      </c>
      <c r="K491" s="1" t="s">
        <v>861</v>
      </c>
      <c r="L491" s="1" t="s">
        <v>867</v>
      </c>
      <c r="M491" s="1">
        <v>3754576</v>
      </c>
      <c r="N491" s="1">
        <v>0</v>
      </c>
      <c r="O491" s="1" t="s">
        <v>869</v>
      </c>
      <c r="P491" s="1" t="s">
        <v>874</v>
      </c>
      <c r="Q491" s="1">
        <v>1.184</v>
      </c>
      <c r="R491" s="1">
        <v>-1.155</v>
      </c>
      <c r="S491" s="2">
        <f>HYPERLINK("https://vdatum.noaa.gov/vdatumweb/api/convert?s_x=-82.59565313&amp;s_y=28.89052961&amp;s_z=0.0&amp;region=contiguous&amp;s_h_frame=NAD83_2011&amp;s_coor=geo&amp;s_v_frame=NAVD88&amp;s_v_unit=us_ft&amp;t_h_frame=NAD83_2011&amp;t_coor=geo&amp;t_v_frame=MLLW&amp;t_v_unit=us_ft", "NAVD88 to MLLW")</f>
        <v>0</v>
      </c>
      <c r="T491" s="2">
        <f>HYPERLINK("https://vdatum.noaa.gov/vdatumweb/api/convert?s_x=-82.59565313&amp;s_y=28.89052961&amp;s_z=0.0&amp;region=contiguous&amp;s_h_frame=NAD83_2011&amp;s_coor=geo&amp;s_v_frame=NAVD88&amp;s_v_unit=us_ft&amp;t_h_frame=NAD83_2011&amp;t_coor=geo&amp;t_v_frame=MHHW&amp;t_v_unit=us_ft", "NAVD88 to MHHW")</f>
        <v>0</v>
      </c>
    </row>
    <row r="492" spans="1:20">
      <c r="A492" s="1" t="s">
        <v>516</v>
      </c>
      <c r="B492" s="1" t="s">
        <v>636</v>
      </c>
      <c r="C492" s="1" t="s">
        <v>645</v>
      </c>
      <c r="D492" s="1" t="s">
        <v>654</v>
      </c>
      <c r="E492" s="1" t="s">
        <v>803</v>
      </c>
      <c r="F492" s="1" t="s">
        <v>847</v>
      </c>
      <c r="G492" s="1" t="s">
        <v>854</v>
      </c>
      <c r="H492" s="1">
        <v>-82.60555212</v>
      </c>
      <c r="I492" s="1">
        <v>28.89335571</v>
      </c>
      <c r="J492" s="1">
        <f>HYPERLINK("https://waterdata.usgs.gov/nwis/nwismap/?site_no=02310742&amp;agency_cd=USGS", "US02310742")</f>
        <v>0</v>
      </c>
      <c r="K492" s="1" t="s">
        <v>861</v>
      </c>
      <c r="L492" s="1" t="s">
        <v>867</v>
      </c>
      <c r="M492" s="1">
        <v>4900359</v>
      </c>
      <c r="N492" s="1">
        <v>0</v>
      </c>
      <c r="O492" s="1" t="s">
        <v>869</v>
      </c>
      <c r="P492" s="1" t="s">
        <v>874</v>
      </c>
      <c r="Q492" s="1">
        <v>1.191</v>
      </c>
      <c r="R492" s="1">
        <v>-1.151</v>
      </c>
      <c r="S492" s="2">
        <f>HYPERLINK("https://vdatum.noaa.gov/vdatumweb/api/convert?s_x=-82.60555212&amp;s_y=28.89335571&amp;s_z=0.0&amp;region=contiguous&amp;s_h_frame=NAD83_2011&amp;s_coor=geo&amp;s_v_frame=NAVD88&amp;s_v_unit=us_ft&amp;t_h_frame=NAD83_2011&amp;t_coor=geo&amp;t_v_frame=MLLW&amp;t_v_unit=us_ft", "NAVD88 to MLLW")</f>
        <v>0</v>
      </c>
      <c r="T492" s="2">
        <f>HYPERLINK("https://vdatum.noaa.gov/vdatumweb/api/convert?s_x=-82.60555212&amp;s_y=28.89335571&amp;s_z=0.0&amp;region=contiguous&amp;s_h_frame=NAD83_2011&amp;s_coor=geo&amp;s_v_frame=NAVD88&amp;s_v_unit=us_ft&amp;t_h_frame=NAD83_2011&amp;t_coor=geo&amp;t_v_frame=MHHW&amp;t_v_unit=us_ft", "NAVD88 to MHHW")</f>
        <v>0</v>
      </c>
    </row>
    <row r="493" spans="1:20">
      <c r="A493" s="1" t="s">
        <v>517</v>
      </c>
      <c r="B493" s="1" t="s">
        <v>636</v>
      </c>
      <c r="D493" s="1" t="s">
        <v>654</v>
      </c>
      <c r="E493" s="1" t="s">
        <v>803</v>
      </c>
      <c r="F493" s="1" t="s">
        <v>847</v>
      </c>
      <c r="G493" s="1" t="s">
        <v>854</v>
      </c>
      <c r="H493" s="1">
        <v>-82.64580211000001</v>
      </c>
      <c r="I493" s="1">
        <v>28.90155016</v>
      </c>
      <c r="J493" s="1">
        <f>HYPERLINK("https://waterdata.usgs.gov/nwis/nwismap/?site_no=02310747&amp;agency_cd=USGS", "US02310747")</f>
        <v>0</v>
      </c>
      <c r="K493" s="1" t="s">
        <v>861</v>
      </c>
      <c r="L493" s="1" t="s">
        <v>867</v>
      </c>
      <c r="M493" s="1">
        <v>4497949</v>
      </c>
      <c r="N493" s="1">
        <v>-3.71</v>
      </c>
      <c r="O493" s="1" t="s">
        <v>869</v>
      </c>
      <c r="P493" s="1" t="s">
        <v>874</v>
      </c>
      <c r="Q493" s="1">
        <v>1.197</v>
      </c>
      <c r="R493" s="1">
        <v>-1.107</v>
      </c>
      <c r="S493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LLW&amp;t_v_unit=us_ft", "NAVD88 to MLLW")</f>
        <v>0</v>
      </c>
      <c r="T493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HHW&amp;t_v_unit=us_ft", "NAVD88 to MHHW")</f>
        <v>0</v>
      </c>
    </row>
    <row r="494" spans="1:20">
      <c r="A494" s="1" t="s">
        <v>518</v>
      </c>
      <c r="B494" s="1" t="s">
        <v>636</v>
      </c>
      <c r="D494" s="1" t="s">
        <v>654</v>
      </c>
      <c r="E494" s="1" t="s">
        <v>803</v>
      </c>
      <c r="F494" s="1" t="s">
        <v>847</v>
      </c>
      <c r="G494" s="1" t="s">
        <v>854</v>
      </c>
      <c r="H494" s="1">
        <v>-82.64580211000001</v>
      </c>
      <c r="I494" s="1">
        <v>28.90155016</v>
      </c>
      <c r="J494" s="1">
        <f>HYPERLINK("https://waterdata.usgs.gov/nwis/nwismap/?site_no=02310752&amp;agency_cd=USGS", "US02310752")</f>
        <v>0</v>
      </c>
      <c r="K494" s="1" t="s">
        <v>861</v>
      </c>
      <c r="L494" s="1" t="s">
        <v>867</v>
      </c>
      <c r="M494" s="1">
        <v>6535202</v>
      </c>
      <c r="N494" s="1">
        <v>0</v>
      </c>
      <c r="O494" s="1" t="s">
        <v>869</v>
      </c>
      <c r="P494" s="1" t="s">
        <v>874</v>
      </c>
      <c r="Q494" s="1">
        <v>1.197</v>
      </c>
      <c r="R494" s="1">
        <v>-1.107</v>
      </c>
      <c r="S494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LLW&amp;t_v_unit=us_ft", "NAVD88 to MLLW")</f>
        <v>0</v>
      </c>
      <c r="T494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HHW&amp;t_v_unit=us_ft", "NAVD88 to MHHW")</f>
        <v>0</v>
      </c>
    </row>
    <row r="495" spans="1:20">
      <c r="A495" s="1" t="s">
        <v>519</v>
      </c>
      <c r="B495" s="1" t="s">
        <v>636</v>
      </c>
      <c r="C495" s="1" t="s">
        <v>645</v>
      </c>
      <c r="D495" s="1" t="s">
        <v>654</v>
      </c>
      <c r="E495" s="1" t="s">
        <v>804</v>
      </c>
      <c r="F495" s="1" t="s">
        <v>847</v>
      </c>
      <c r="G495" s="1" t="s">
        <v>854</v>
      </c>
      <c r="H495" s="1">
        <v>-82.76578407</v>
      </c>
      <c r="I495" s="1">
        <v>29.00110393</v>
      </c>
      <c r="J495" s="1">
        <f>HYPERLINK("https://waterdata.usgs.gov/nwis/nwismap/?site_no=02313272&amp;agency_cd=USGS", "US02313272")</f>
        <v>0</v>
      </c>
      <c r="K495" s="1" t="s">
        <v>861</v>
      </c>
      <c r="L495" s="1" t="s">
        <v>867</v>
      </c>
      <c r="M495" s="1">
        <v>3255941</v>
      </c>
      <c r="N495" s="1">
        <v>0</v>
      </c>
      <c r="O495" s="1" t="s">
        <v>869</v>
      </c>
      <c r="P495" s="1" t="s">
        <v>874</v>
      </c>
      <c r="Q495" s="1">
        <v>2.477</v>
      </c>
      <c r="R495" s="1">
        <v>-1.477</v>
      </c>
      <c r="S495" s="2">
        <f>HYPERLINK("https://vdatum.noaa.gov/vdatumweb/api/convert?s_x=-82.76578407&amp;s_y=29.00110393&amp;s_z=0.0&amp;region=contiguous&amp;s_h_frame=NAD83_2011&amp;s_coor=geo&amp;s_v_frame=NAVD88&amp;s_v_unit=us_ft&amp;t_h_frame=NAD83_2011&amp;t_coor=geo&amp;t_v_frame=MLLW&amp;t_v_unit=us_ft", "NAVD88 to MLLW")</f>
        <v>0</v>
      </c>
      <c r="T495" s="2">
        <f>HYPERLINK("https://vdatum.noaa.gov/vdatumweb/api/convert?s_x=-82.76578407&amp;s_y=29.00110393&amp;s_z=0.0&amp;region=contiguous&amp;s_h_frame=NAD83_2011&amp;s_coor=geo&amp;s_v_frame=NAVD88&amp;s_v_unit=us_ft&amp;t_h_frame=NAD83_2011&amp;t_coor=geo&amp;t_v_frame=MHHW&amp;t_v_unit=us_ft", "NAVD88 to MHHW")</f>
        <v>0</v>
      </c>
    </row>
    <row r="496" spans="1:20">
      <c r="A496" s="1" t="s">
        <v>520</v>
      </c>
      <c r="B496" s="1" t="s">
        <v>636</v>
      </c>
      <c r="C496" s="1" t="s">
        <v>645</v>
      </c>
      <c r="D496" s="1" t="s">
        <v>654</v>
      </c>
      <c r="E496" s="1" t="s">
        <v>804</v>
      </c>
      <c r="F496" s="1" t="s">
        <v>847</v>
      </c>
      <c r="G496" s="1" t="s">
        <v>854</v>
      </c>
      <c r="H496" s="1">
        <v>-82.76899747</v>
      </c>
      <c r="I496" s="1">
        <v>29.20412832</v>
      </c>
      <c r="J496" s="1">
        <f>HYPERLINK("https://waterdata.usgs.gov/nwis/nwismap/?site_no=02313700&amp;agency_cd=USGS", "US02313700")</f>
        <v>0</v>
      </c>
      <c r="K496" s="1" t="s">
        <v>861</v>
      </c>
      <c r="L496" s="1" t="s">
        <v>867</v>
      </c>
      <c r="M496" s="1">
        <v>4496082</v>
      </c>
      <c r="N496" s="1">
        <v>-3.44</v>
      </c>
      <c r="O496" s="1" t="s">
        <v>869</v>
      </c>
      <c r="P496" s="1" t="s">
        <v>874</v>
      </c>
      <c r="Q496" s="1">
        <v>-999999</v>
      </c>
      <c r="R496" s="1">
        <v>-999999</v>
      </c>
      <c r="S496" s="2">
        <f>HYPERLINK("https://vdatum.noaa.gov/vdatumweb/api/convert?s_x=-82.76899747&amp;s_y=29.20412832&amp;s_z=0.0&amp;region=contiguous&amp;s_h_frame=NAD83_2011&amp;s_coor=geo&amp;s_v_frame=NAVD88&amp;s_v_unit=us_ft&amp;t_h_frame=NAD83_2011&amp;t_coor=geo&amp;t_v_frame=MLLW&amp;t_v_unit=us_ft", "Missing")</f>
        <v>0</v>
      </c>
      <c r="T496" s="2">
        <f>HYPERLINK("https://vdatum.noaa.gov/vdatumweb/api/convert?s_x=-82.76899747&amp;s_y=29.20412832&amp;s_z=0.0&amp;region=contiguous&amp;s_h_frame=NAD83_2011&amp;s_coor=geo&amp;s_v_frame=NAVD88&amp;s_v_unit=us_ft&amp;t_h_frame=NAD83_2011&amp;t_coor=geo&amp;t_v_frame=MHHW&amp;t_v_unit=us_ft", "Missing")</f>
        <v>0</v>
      </c>
    </row>
    <row r="497" spans="1:20">
      <c r="A497" s="1" t="s">
        <v>521</v>
      </c>
      <c r="B497" s="1" t="s">
        <v>636</v>
      </c>
      <c r="D497" s="1" t="s">
        <v>654</v>
      </c>
      <c r="H497" s="1">
        <v>-82.69063539</v>
      </c>
      <c r="I497" s="1">
        <v>28.92527238</v>
      </c>
      <c r="J497" s="1">
        <f>HYPERLINK("https://waterdata.usgs.gov/nwis/nwismap/?site_no=285531082412600&amp;agency_cd=USGS", "US285531082412600")</f>
        <v>0</v>
      </c>
      <c r="K497" s="1" t="s">
        <v>861</v>
      </c>
      <c r="L497" s="1" t="s">
        <v>867</v>
      </c>
      <c r="M497" s="1">
        <v>4632956</v>
      </c>
      <c r="N497" s="1">
        <v>0</v>
      </c>
      <c r="O497" s="1" t="s">
        <v>869</v>
      </c>
      <c r="P497" s="1" t="s">
        <v>874</v>
      </c>
      <c r="Q497" s="1">
        <v>1.678</v>
      </c>
      <c r="R497" s="1">
        <v>-1.35</v>
      </c>
      <c r="S497" s="2">
        <f>HYPERLINK("https://vdatum.noaa.gov/vdatumweb/api/convert?s_x=-82.69063539&amp;s_y=28.92527238&amp;s_z=0.0&amp;region=contiguous&amp;s_h_frame=NAD83_2011&amp;s_coor=geo&amp;s_v_frame=NAVD88&amp;s_v_unit=us_ft&amp;t_h_frame=NAD83_2011&amp;t_coor=geo&amp;t_v_frame=MLLW&amp;t_v_unit=us_ft", "NAVD88 to MLLW")</f>
        <v>0</v>
      </c>
      <c r="T497" s="2">
        <f>HYPERLINK("https://vdatum.noaa.gov/vdatumweb/api/convert?s_x=-82.69063539&amp;s_y=28.92527238&amp;s_z=0.0&amp;region=contiguous&amp;s_h_frame=NAD83_2011&amp;s_coor=geo&amp;s_v_frame=NAVD88&amp;s_v_unit=us_ft&amp;t_h_frame=NAD83_2011&amp;t_coor=geo&amp;t_v_frame=MHHW&amp;t_v_unit=us_ft", "NAVD88 to MHHW")</f>
        <v>0</v>
      </c>
    </row>
    <row r="498" spans="1:20">
      <c r="A498" s="1" t="s">
        <v>522</v>
      </c>
      <c r="B498" s="1" t="s">
        <v>637</v>
      </c>
      <c r="C498" s="1" t="s">
        <v>650</v>
      </c>
      <c r="D498" s="1" t="s">
        <v>655</v>
      </c>
      <c r="E498" s="1" t="s">
        <v>805</v>
      </c>
      <c r="F498" s="1" t="s">
        <v>851</v>
      </c>
      <c r="G498" s="1" t="s">
        <v>858</v>
      </c>
      <c r="H498" s="1">
        <v>-123.805</v>
      </c>
      <c r="I498" s="1">
        <v>39.4258</v>
      </c>
      <c r="J498" s="1">
        <f>HYPERLINK("https://tidesandcurrents.noaa.gov/stationhome.html?id=9417426", "9417426")</f>
        <v>0</v>
      </c>
      <c r="K498" s="1" t="s">
        <v>861</v>
      </c>
      <c r="L498" s="1" t="s">
        <v>866</v>
      </c>
      <c r="M498" s="1">
        <v>372292</v>
      </c>
      <c r="N498" s="1">
        <v>0</v>
      </c>
      <c r="O498" s="1" t="s">
        <v>872</v>
      </c>
      <c r="P498" s="1" t="s">
        <v>877</v>
      </c>
      <c r="Q498" s="1">
        <v>-999999</v>
      </c>
      <c r="R498" s="1">
        <v>-999999</v>
      </c>
      <c r="S498" s="2">
        <f>HYPERLINK("https://vdatum.noaa.gov/vdatumweb/api/convert?s_x=-123.805&amp;s_y=39.4258&amp;s_z=0.0&amp;region=westcoast&amp;s_h_frame=NAD83_2011&amp;s_coor=geo&amp;s_v_frame=NAVD88&amp;s_v_unit=us_ft&amp;t_h_frame=IGS14&amp;t_coor=geo&amp;t_v_frame=MLLW&amp;t_v_unit=us_ft", "Missing")</f>
        <v>0</v>
      </c>
      <c r="T498" s="2">
        <f>HYPERLINK("https://vdatum.noaa.gov/vdatumweb/api/convert?s_x=-123.805&amp;s_y=39.4258&amp;s_z=0.0&amp;region=westcoast&amp;s_h_frame=NAD83_2011&amp;s_coor=geo&amp;s_v_frame=NAVD88&amp;s_v_unit=us_ft&amp;t_h_frame=IGS14&amp;t_coor=geo&amp;t_v_frame=MHHW&amp;t_v_unit=us_ft", "Missing")</f>
        <v>0</v>
      </c>
    </row>
    <row r="499" spans="1:20">
      <c r="A499" s="1" t="s">
        <v>523</v>
      </c>
      <c r="B499" s="1" t="s">
        <v>637</v>
      </c>
      <c r="D499" s="1" t="s">
        <v>655</v>
      </c>
      <c r="E499" s="1" t="s">
        <v>806</v>
      </c>
      <c r="F499" s="1" t="s">
        <v>851</v>
      </c>
      <c r="G499" s="1" t="s">
        <v>858</v>
      </c>
      <c r="H499" s="1">
        <v>-124.058</v>
      </c>
      <c r="I499" s="1">
        <v>40.025</v>
      </c>
      <c r="J499" s="1">
        <f>HYPERLINK("https://tidesandcurrents.noaa.gov/stationhome.html?id=9418024", "9418024")</f>
        <v>0</v>
      </c>
      <c r="K499" s="1" t="s">
        <v>861</v>
      </c>
      <c r="L499" s="1" t="s">
        <v>866</v>
      </c>
      <c r="M499" s="1">
        <v>370410</v>
      </c>
      <c r="N499" s="1">
        <v>0</v>
      </c>
      <c r="O499" s="1" t="s">
        <v>872</v>
      </c>
      <c r="P499" s="1" t="s">
        <v>877</v>
      </c>
      <c r="Q499" s="1">
        <v>-0.187</v>
      </c>
      <c r="R499" s="1">
        <v>-6.302</v>
      </c>
      <c r="S499" s="2">
        <f>HYPERLINK("https://vdatum.noaa.gov/vdatumweb/api/convert?s_x=-124.058&amp;s_y=40.025&amp;s_z=0.0&amp;region=westcoast&amp;s_h_frame=NAD83_2011&amp;s_coor=geo&amp;s_v_frame=NAVD88&amp;s_v_unit=us_ft&amp;t_h_frame=IGS14&amp;t_coor=geo&amp;t_v_frame=MLLW&amp;t_v_unit=us_ft", "NAVD88 to MLLW")</f>
        <v>0</v>
      </c>
      <c r="T499" s="2">
        <f>HYPERLINK("https://vdatum.noaa.gov/vdatumweb/api/convert?s_x=-124.058&amp;s_y=40.025&amp;s_z=0.0&amp;region=westcoast&amp;s_h_frame=NAD83_2011&amp;s_coor=geo&amp;s_v_frame=NAVD88&amp;s_v_unit=us_ft&amp;t_h_frame=IGS14&amp;t_coor=geo&amp;t_v_frame=MHHW&amp;t_v_unit=us_ft", "NAVD88 to MHHW")</f>
        <v>0</v>
      </c>
    </row>
    <row r="500" spans="1:20">
      <c r="A500" s="1" t="s">
        <v>524</v>
      </c>
      <c r="B500" s="1" t="s">
        <v>637</v>
      </c>
      <c r="C500" s="1" t="s">
        <v>650</v>
      </c>
      <c r="D500" s="1" t="s">
        <v>655</v>
      </c>
      <c r="E500" s="1" t="s">
        <v>806</v>
      </c>
      <c r="F500" s="1" t="s">
        <v>851</v>
      </c>
      <c r="G500" s="1" t="s">
        <v>858</v>
      </c>
      <c r="H500" s="1">
        <v>-124.19333</v>
      </c>
      <c r="I500" s="1">
        <v>40.75666</v>
      </c>
      <c r="J500" s="1">
        <f>HYPERLINK("https://tidesandcurrents.noaa.gov/stationhome.html?id=9418757", "9418757")</f>
        <v>0</v>
      </c>
      <c r="K500" s="1" t="s">
        <v>860</v>
      </c>
      <c r="L500" s="1" t="s">
        <v>866</v>
      </c>
      <c r="M500" s="1">
        <v>1861237</v>
      </c>
      <c r="N500" s="1">
        <v>0</v>
      </c>
      <c r="O500" s="1" t="s">
        <v>872</v>
      </c>
      <c r="P500" s="1" t="s">
        <v>877</v>
      </c>
      <c r="Q500" s="1">
        <v>0.5639999999999999</v>
      </c>
      <c r="R500" s="1">
        <v>-6.368</v>
      </c>
      <c r="S500" s="2">
        <f>HYPERLINK("https://vdatum.noaa.gov/vdatumweb/api/convert?s_x=-124.19333&amp;s_y=40.75666&amp;s_z=0.0&amp;region=westcoast&amp;s_h_frame=NAD83_2011&amp;s_coor=geo&amp;s_v_frame=NAVD88&amp;s_v_unit=us_ft&amp;t_h_frame=IGS14&amp;t_coor=geo&amp;t_v_frame=MLLW&amp;t_v_unit=us_ft", "NAVD88 to MLLW")</f>
        <v>0</v>
      </c>
      <c r="T500" s="2">
        <f>HYPERLINK("https://vdatum.noaa.gov/vdatumweb/api/convert?s_x=-124.19333&amp;s_y=40.75666&amp;s_z=0.0&amp;region=westcoast&amp;s_h_frame=NAD83_2011&amp;s_coor=geo&amp;s_v_frame=NAVD88&amp;s_v_unit=us_ft&amp;t_h_frame=IGS14&amp;t_coor=geo&amp;t_v_frame=MHHW&amp;t_v_unit=us_ft", "NAVD88 to MHHW")</f>
        <v>0</v>
      </c>
    </row>
    <row r="501" spans="1:20">
      <c r="A501" s="1" t="s">
        <v>525</v>
      </c>
      <c r="B501" s="1" t="s">
        <v>637</v>
      </c>
      <c r="D501" s="1" t="s">
        <v>655</v>
      </c>
      <c r="H501" s="1">
        <v>-124.217</v>
      </c>
      <c r="I501" s="1">
        <v>40.7663</v>
      </c>
      <c r="J501" s="1">
        <f>HYPERLINK("https://tidesandcurrents.noaa.gov/stationhome.html?id=9418767", "9418767")</f>
        <v>0</v>
      </c>
      <c r="K501" s="1" t="s">
        <v>860</v>
      </c>
      <c r="L501" s="1" t="s">
        <v>866</v>
      </c>
      <c r="M501" s="1">
        <v>2385743</v>
      </c>
      <c r="N501" s="1">
        <v>0</v>
      </c>
      <c r="O501" s="1" t="s">
        <v>872</v>
      </c>
      <c r="P501" s="1" t="s">
        <v>877</v>
      </c>
      <c r="Q501" s="1">
        <v>0.456</v>
      </c>
      <c r="R501" s="1">
        <v>-6.401</v>
      </c>
      <c r="S501" s="2">
        <f>HYPERLINK("https://vdatum.noaa.gov/vdatumweb/api/convert?s_x=-124.217&amp;s_y=40.7663&amp;s_z=0.0&amp;region=westcoast&amp;s_h_frame=NAD83_2011&amp;s_coor=geo&amp;s_v_frame=NAVD88&amp;s_v_unit=us_ft&amp;t_h_frame=IGS14&amp;t_coor=geo&amp;t_v_frame=MLLW&amp;t_v_unit=us_ft", "NAVD88 to MLLW")</f>
        <v>0</v>
      </c>
      <c r="T501" s="2">
        <f>HYPERLINK("https://vdatum.noaa.gov/vdatumweb/api/convert?s_x=-124.217&amp;s_y=40.7663&amp;s_z=0.0&amp;region=westcoast&amp;s_h_frame=NAD83_2011&amp;s_coor=geo&amp;s_v_frame=NAVD88&amp;s_v_unit=us_ft&amp;t_h_frame=IGS14&amp;t_coor=geo&amp;t_v_frame=MHHW&amp;t_v_unit=us_ft", "NAVD88 to MHHW")</f>
        <v>0</v>
      </c>
    </row>
    <row r="502" spans="1:20">
      <c r="A502" s="1" t="s">
        <v>526</v>
      </c>
      <c r="B502" s="1" t="s">
        <v>637</v>
      </c>
      <c r="D502" s="1" t="s">
        <v>655</v>
      </c>
      <c r="H502" s="1">
        <v>-124.11666</v>
      </c>
      <c r="I502" s="1">
        <v>40.85</v>
      </c>
      <c r="J502" s="1">
        <f>HYPERLINK("https://tidesandcurrents.noaa.gov/stationhome.html?id=9418851", "9418851")</f>
        <v>0</v>
      </c>
      <c r="K502" s="1" t="s">
        <v>861</v>
      </c>
      <c r="L502" s="1" t="s">
        <v>866</v>
      </c>
      <c r="M502" s="1">
        <v>2302774</v>
      </c>
      <c r="N502" s="1">
        <v>0</v>
      </c>
      <c r="O502" s="1" t="s">
        <v>872</v>
      </c>
      <c r="P502" s="1" t="s">
        <v>877</v>
      </c>
      <c r="Q502" s="1">
        <v>1.06</v>
      </c>
      <c r="R502" s="1">
        <v>-6.463</v>
      </c>
      <c r="S502" s="2">
        <f>HYPERLINK("https://vdatum.noaa.gov/vdatumweb/api/convert?s_x=-124.11666&amp;s_y=40.85&amp;s_z=0.0&amp;region=westcoast&amp;s_h_frame=NAD83_2011&amp;s_coor=geo&amp;s_v_frame=NAVD88&amp;s_v_unit=us_ft&amp;t_h_frame=IGS14&amp;t_coor=geo&amp;t_v_frame=MLLW&amp;t_v_unit=us_ft", "NAVD88 to MLLW")</f>
        <v>0</v>
      </c>
      <c r="T502" s="2">
        <f>HYPERLINK("https://vdatum.noaa.gov/vdatumweb/api/convert?s_x=-124.11666&amp;s_y=40.85&amp;s_z=0.0&amp;region=westcoast&amp;s_h_frame=NAD83_2011&amp;s_coor=geo&amp;s_v_frame=NAVD88&amp;s_v_unit=us_ft&amp;t_h_frame=IGS14&amp;t_coor=geo&amp;t_v_frame=MHHW&amp;t_v_unit=us_ft", "NAVD88 to MHHW")</f>
        <v>0</v>
      </c>
    </row>
    <row r="503" spans="1:20">
      <c r="A503" s="1" t="s">
        <v>527</v>
      </c>
      <c r="B503" s="1" t="s">
        <v>637</v>
      </c>
      <c r="C503" s="1" t="s">
        <v>650</v>
      </c>
      <c r="D503" s="1" t="s">
        <v>655</v>
      </c>
      <c r="E503" s="1" t="s">
        <v>806</v>
      </c>
      <c r="F503" s="1" t="s">
        <v>851</v>
      </c>
      <c r="G503" s="1" t="s">
        <v>858</v>
      </c>
      <c r="H503" s="1">
        <v>-124.147</v>
      </c>
      <c r="I503" s="1">
        <v>41.0567</v>
      </c>
      <c r="J503" s="1">
        <f>HYPERLINK("https://tidesandcurrents.noaa.gov/stationhome.html?id=9419059", "9419059")</f>
        <v>0</v>
      </c>
      <c r="K503" s="1" t="s">
        <v>861</v>
      </c>
      <c r="L503" s="1" t="s">
        <v>866</v>
      </c>
      <c r="M503" s="1">
        <v>735562</v>
      </c>
      <c r="N503" s="1">
        <v>0</v>
      </c>
      <c r="O503" s="1" t="s">
        <v>872</v>
      </c>
      <c r="P503" s="1" t="s">
        <v>877</v>
      </c>
      <c r="Q503" s="1">
        <v>0.243</v>
      </c>
      <c r="R503" s="1">
        <v>-6.388</v>
      </c>
      <c r="S503" s="2">
        <f>HYPERLINK("https://vdatum.noaa.gov/vdatumweb/api/convert?s_x=-124.147&amp;s_y=41.0567&amp;s_z=0.0&amp;region=westcoast&amp;s_h_frame=NAD83_2011&amp;s_coor=geo&amp;s_v_frame=NAVD88&amp;s_v_unit=us_ft&amp;t_h_frame=IGS14&amp;t_coor=geo&amp;t_v_frame=MLLW&amp;t_v_unit=us_ft", "NAVD88 to MLLW")</f>
        <v>0</v>
      </c>
      <c r="T503" s="2">
        <f>HYPERLINK("https://vdatum.noaa.gov/vdatumweb/api/convert?s_x=-124.147&amp;s_y=41.0567&amp;s_z=0.0&amp;region=westcoast&amp;s_h_frame=NAD83_2011&amp;s_coor=geo&amp;s_v_frame=NAVD88&amp;s_v_unit=us_ft&amp;t_h_frame=IGS14&amp;t_coor=geo&amp;t_v_frame=MHHW&amp;t_v_unit=us_ft", "NAVD88 to MHHW")</f>
        <v>0</v>
      </c>
    </row>
    <row r="504" spans="1:20">
      <c r="A504" s="1" t="s">
        <v>528</v>
      </c>
      <c r="B504" s="1" t="s">
        <v>637</v>
      </c>
      <c r="C504" s="1" t="s">
        <v>650</v>
      </c>
      <c r="D504" s="1" t="s">
        <v>655</v>
      </c>
      <c r="H504" s="1">
        <v>-124.184</v>
      </c>
      <c r="I504" s="1">
        <v>41.74561</v>
      </c>
      <c r="J504" s="1">
        <f>HYPERLINK("https://tidesandcurrents.noaa.gov/stationhome.html?id=9419750", "9419750")</f>
        <v>0</v>
      </c>
      <c r="K504" s="1" t="s">
        <v>860</v>
      </c>
      <c r="L504" s="1" t="s">
        <v>866</v>
      </c>
      <c r="M504" s="1">
        <v>2068485</v>
      </c>
      <c r="N504" s="1">
        <v>0</v>
      </c>
      <c r="O504" s="1" t="s">
        <v>872</v>
      </c>
      <c r="P504" s="1" t="s">
        <v>877</v>
      </c>
      <c r="Q504" s="1">
        <v>0.269</v>
      </c>
      <c r="R504" s="1">
        <v>-6.601</v>
      </c>
      <c r="S504" s="2">
        <f>HYPERLINK("https://vdatum.noaa.gov/vdatumweb/api/convert?s_x=-124.184&amp;s_y=41.74561&amp;s_z=0.0&amp;region=westcoast&amp;s_h_frame=NAD83_2011&amp;s_coor=geo&amp;s_v_frame=NAVD88&amp;s_v_unit=us_ft&amp;t_h_frame=IGS14&amp;t_coor=geo&amp;t_v_frame=MLLW&amp;t_v_unit=us_ft", "NAVD88 to MLLW")</f>
        <v>0</v>
      </c>
      <c r="T504" s="2">
        <f>HYPERLINK("https://vdatum.noaa.gov/vdatumweb/api/convert?s_x=-124.184&amp;s_y=41.74561&amp;s_z=0.0&amp;region=westcoast&amp;s_h_frame=NAD83_2011&amp;s_coor=geo&amp;s_v_frame=NAVD88&amp;s_v_unit=us_ft&amp;t_h_frame=IGS14&amp;t_coor=geo&amp;t_v_frame=MHHW&amp;t_v_unit=us_ft", "NAVD88 to MHHW")</f>
        <v>0</v>
      </c>
    </row>
    <row r="505" spans="1:20">
      <c r="A505" s="1" t="s">
        <v>529</v>
      </c>
      <c r="B505" s="1" t="s">
        <v>637</v>
      </c>
      <c r="C505" s="1" t="s">
        <v>650</v>
      </c>
      <c r="D505" s="1" t="s">
        <v>655</v>
      </c>
      <c r="E505" s="1" t="s">
        <v>807</v>
      </c>
      <c r="F505" s="1" t="s">
        <v>851</v>
      </c>
      <c r="G505" s="1" t="s">
        <v>858</v>
      </c>
      <c r="H505" s="1">
        <v>-124.201</v>
      </c>
      <c r="I505" s="1">
        <v>41.94525</v>
      </c>
      <c r="J505" s="1">
        <f>HYPERLINK("https://tidesandcurrents.noaa.gov/stationhome.html?id=9419945", "9419945")</f>
        <v>0</v>
      </c>
      <c r="K505" s="1" t="s">
        <v>861</v>
      </c>
      <c r="L505" s="1" t="s">
        <v>866</v>
      </c>
      <c r="M505" s="1">
        <v>732883</v>
      </c>
      <c r="N505" s="1">
        <v>0</v>
      </c>
      <c r="O505" s="1" t="s">
        <v>872</v>
      </c>
      <c r="P505" s="1" t="s">
        <v>877</v>
      </c>
      <c r="Q505" s="1">
        <v>-0.013</v>
      </c>
      <c r="R505" s="1">
        <v>-6.483</v>
      </c>
      <c r="S505" s="2">
        <f>HYPERLINK("https://vdatum.noaa.gov/vdatumweb/api/convert?s_x=-124.201&amp;s_y=41.94525&amp;s_z=0.0&amp;region=westcoast&amp;s_h_frame=NAD83_2011&amp;s_coor=geo&amp;s_v_frame=NAVD88&amp;s_v_unit=us_ft&amp;t_h_frame=IGS14&amp;t_coor=geo&amp;t_v_frame=MLLW&amp;t_v_unit=us_ft", "NAVD88 to MLLW")</f>
        <v>0</v>
      </c>
      <c r="T505" s="2">
        <f>HYPERLINK("https://vdatum.noaa.gov/vdatumweb/api/convert?s_x=-124.201&amp;s_y=41.94525&amp;s_z=0.0&amp;region=westcoast&amp;s_h_frame=NAD83_2011&amp;s_coor=geo&amp;s_v_frame=NAVD88&amp;s_v_unit=us_ft&amp;t_h_frame=IGS14&amp;t_coor=geo&amp;t_v_frame=MHHW&amp;t_v_unit=us_ft", "NAVD88 to MHHW")</f>
        <v>0</v>
      </c>
    </row>
    <row r="506" spans="1:20">
      <c r="A506" s="1" t="s">
        <v>530</v>
      </c>
      <c r="B506" s="1" t="s">
        <v>637</v>
      </c>
      <c r="C506" s="1" t="s">
        <v>650</v>
      </c>
      <c r="D506" s="1" t="s">
        <v>655</v>
      </c>
      <c r="E506" s="1" t="s">
        <v>805</v>
      </c>
      <c r="F506" s="1" t="s">
        <v>851</v>
      </c>
      <c r="G506" s="1" t="s">
        <v>858</v>
      </c>
      <c r="H506" s="1">
        <v>-123.7333</v>
      </c>
      <c r="I506" s="1">
        <v>38.9541</v>
      </c>
      <c r="J506" s="1">
        <f>HYPERLINK("https://tidesandcurrents.noaa.gov/stationhome.html?id=TWC0771", "TWC0771")</f>
        <v>0</v>
      </c>
      <c r="K506" s="1" t="s">
        <v>860</v>
      </c>
      <c r="L506" s="1" t="s">
        <v>866</v>
      </c>
      <c r="M506" s="1">
        <v>927288</v>
      </c>
      <c r="N506" s="1">
        <v>0</v>
      </c>
      <c r="O506" s="1" t="s">
        <v>872</v>
      </c>
      <c r="P506" s="1" t="s">
        <v>877</v>
      </c>
      <c r="Q506" s="1">
        <v>0.03</v>
      </c>
      <c r="R506" s="1">
        <v>-5.892</v>
      </c>
      <c r="S506" s="2">
        <f>HYPERLINK("https://vdatum.noaa.gov/vdatumweb/api/convert?s_x=-123.7333&amp;s_y=38.9541&amp;s_z=0.0&amp;region=westcoast&amp;s_h_frame=NAD83_2011&amp;s_coor=geo&amp;s_v_frame=NAVD88&amp;s_v_unit=us_ft&amp;t_h_frame=IGS14&amp;t_coor=geo&amp;t_v_frame=MLLW&amp;t_v_unit=us_ft", "NAVD88 to MLLW")</f>
        <v>0</v>
      </c>
      <c r="T506" s="2">
        <f>HYPERLINK("https://vdatum.noaa.gov/vdatumweb/api/convert?s_x=-123.7333&amp;s_y=38.9541&amp;s_z=0.0&amp;region=westcoast&amp;s_h_frame=NAD83_2011&amp;s_coor=geo&amp;s_v_frame=NAVD88&amp;s_v_unit=us_ft&amp;t_h_frame=IGS14&amp;t_coor=geo&amp;t_v_frame=MHHW&amp;t_v_unit=us_ft", "NAVD88 to MHHW")</f>
        <v>0</v>
      </c>
    </row>
    <row r="507" spans="1:20">
      <c r="A507" s="1" t="s">
        <v>531</v>
      </c>
      <c r="B507" s="1" t="s">
        <v>638</v>
      </c>
      <c r="D507" s="1" t="s">
        <v>655</v>
      </c>
      <c r="E507" s="1" t="s">
        <v>808</v>
      </c>
      <c r="F507" s="1" t="s">
        <v>851</v>
      </c>
      <c r="G507" s="1" t="s">
        <v>858</v>
      </c>
      <c r="H507" s="1">
        <v>-118.2461111</v>
      </c>
      <c r="I507" s="1">
        <v>33.715833</v>
      </c>
      <c r="J507" s="1">
        <f>HYPERLINK("https://tidesandcurrents.noaa.gov/stationhome.html?id=9410647", "9410647")</f>
        <v>0</v>
      </c>
      <c r="K507" s="1" t="s">
        <v>861</v>
      </c>
      <c r="L507" s="1" t="s">
        <v>866</v>
      </c>
      <c r="M507" s="1">
        <v>1973884</v>
      </c>
      <c r="N507" s="1">
        <v>0</v>
      </c>
      <c r="O507" s="1" t="s">
        <v>872</v>
      </c>
      <c r="P507" s="1" t="s">
        <v>877</v>
      </c>
      <c r="Q507" s="1">
        <v>-0.023</v>
      </c>
      <c r="R507" s="1">
        <v>-5.515</v>
      </c>
      <c r="S507" s="2">
        <f>HYPERLINK("https://vdatum.noaa.gov/vdatumweb/api/convert?s_x=-118.2461111&amp;s_y=33.715833&amp;s_z=0.0&amp;region=westcoast&amp;s_h_frame=NAD83_2011&amp;s_coor=geo&amp;s_v_frame=NAVD88&amp;s_v_unit=us_ft&amp;t_h_frame=IGS14&amp;t_coor=geo&amp;t_v_frame=MLLW&amp;t_v_unit=us_ft", "NAVD88 to MLLW")</f>
        <v>0</v>
      </c>
      <c r="T507" s="2">
        <f>HYPERLINK("https://vdatum.noaa.gov/vdatumweb/api/convert?s_x=-118.2461111&amp;s_y=33.715833&amp;s_z=0.0&amp;region=westcoast&amp;s_h_frame=NAD83_2011&amp;s_coor=geo&amp;s_v_frame=NAVD88&amp;s_v_unit=us_ft&amp;t_h_frame=IGS14&amp;t_coor=geo&amp;t_v_frame=MHHW&amp;t_v_unit=us_ft", "NAVD88 to MHHW")</f>
        <v>0</v>
      </c>
    </row>
    <row r="508" spans="1:20">
      <c r="A508" s="1" t="s">
        <v>532</v>
      </c>
      <c r="B508" s="1" t="s">
        <v>638</v>
      </c>
      <c r="D508" s="1" t="s">
        <v>655</v>
      </c>
      <c r="E508" s="1" t="s">
        <v>808</v>
      </c>
      <c r="F508" s="1" t="s">
        <v>851</v>
      </c>
      <c r="G508" s="1" t="s">
        <v>858</v>
      </c>
      <c r="H508" s="1">
        <v>-118.273</v>
      </c>
      <c r="I508" s="1">
        <v>33.71994</v>
      </c>
      <c r="J508" s="1">
        <f>HYPERLINK("https://tidesandcurrents.noaa.gov/stationhome.html?id=9410660", "9410660")</f>
        <v>0</v>
      </c>
      <c r="K508" s="1" t="s">
        <v>861</v>
      </c>
      <c r="L508" s="1" t="s">
        <v>866</v>
      </c>
      <c r="M508" s="1">
        <v>1485137</v>
      </c>
      <c r="N508" s="1">
        <v>0</v>
      </c>
      <c r="O508" s="1" t="s">
        <v>872</v>
      </c>
      <c r="P508" s="1" t="s">
        <v>877</v>
      </c>
      <c r="Q508" s="1">
        <v>0.007</v>
      </c>
      <c r="R508" s="1">
        <v>-5.482</v>
      </c>
      <c r="S508" s="2">
        <f>HYPERLINK("https://vdatum.noaa.gov/vdatumweb/api/convert?s_x=-118.273&amp;s_y=33.71994&amp;s_z=0.0&amp;region=westcoast&amp;s_h_frame=NAD83_2011&amp;s_coor=geo&amp;s_v_frame=NAVD88&amp;s_v_unit=us_ft&amp;t_h_frame=IGS14&amp;t_coor=geo&amp;t_v_frame=MLLW&amp;t_v_unit=us_ft", "NAVD88 to MLLW")</f>
        <v>0</v>
      </c>
      <c r="T508" s="2">
        <f>HYPERLINK("https://vdatum.noaa.gov/vdatumweb/api/convert?s_x=-118.273&amp;s_y=33.71994&amp;s_z=0.0&amp;region=westcoast&amp;s_h_frame=NAD83_2011&amp;s_coor=geo&amp;s_v_frame=NAVD88&amp;s_v_unit=us_ft&amp;t_h_frame=IGS14&amp;t_coor=geo&amp;t_v_frame=MHHW&amp;t_v_unit=us_ft", "NAVD88 to MHHW")</f>
        <v>0</v>
      </c>
    </row>
    <row r="509" spans="1:20">
      <c r="A509" s="1" t="s">
        <v>533</v>
      </c>
      <c r="B509" s="1" t="s">
        <v>638</v>
      </c>
      <c r="D509" s="1" t="s">
        <v>655</v>
      </c>
      <c r="H509" s="1">
        <v>-118.18555</v>
      </c>
      <c r="I509" s="1">
        <v>33.73305</v>
      </c>
      <c r="J509" s="1">
        <f>HYPERLINK("https://tidesandcurrents.noaa.gov/stationhome.html?id=9410665", "9410665")</f>
        <v>0</v>
      </c>
      <c r="K509" s="1" t="s">
        <v>861</v>
      </c>
      <c r="L509" s="1" t="s">
        <v>866</v>
      </c>
      <c r="M509" s="1">
        <v>2089181</v>
      </c>
      <c r="N509" s="1">
        <v>0</v>
      </c>
      <c r="O509" s="1" t="s">
        <v>872</v>
      </c>
      <c r="P509" s="1" t="s">
        <v>877</v>
      </c>
      <c r="Q509" s="1">
        <v>0.036</v>
      </c>
      <c r="R509" s="1">
        <v>-5.463</v>
      </c>
      <c r="S509" s="2">
        <f>HYPERLINK("https://vdatum.noaa.gov/vdatumweb/api/convert?s_x=-118.18555&amp;s_y=33.73305&amp;s_z=0.0&amp;region=westcoast&amp;s_h_frame=NAD83_2011&amp;s_coor=geo&amp;s_v_frame=NAVD88&amp;s_v_unit=us_ft&amp;t_h_frame=IGS14&amp;t_coor=geo&amp;t_v_frame=MLLW&amp;t_v_unit=us_ft", "NAVD88 to MLLW")</f>
        <v>0</v>
      </c>
      <c r="T509" s="2">
        <f>HYPERLINK("https://vdatum.noaa.gov/vdatumweb/api/convert?s_x=-118.18555&amp;s_y=33.73305&amp;s_z=0.0&amp;region=westcoast&amp;s_h_frame=NAD83_2011&amp;s_coor=geo&amp;s_v_frame=NAVD88&amp;s_v_unit=us_ft&amp;t_h_frame=IGS14&amp;t_coor=geo&amp;t_v_frame=MHHW&amp;t_v_unit=us_ft", "NAVD88 to MHHW")</f>
        <v>0</v>
      </c>
    </row>
    <row r="510" spans="1:20">
      <c r="A510" s="1" t="s">
        <v>534</v>
      </c>
      <c r="B510" s="1" t="s">
        <v>638</v>
      </c>
      <c r="D510" s="1" t="s">
        <v>655</v>
      </c>
      <c r="E510" s="1" t="s">
        <v>808</v>
      </c>
      <c r="F510" s="1" t="s">
        <v>851</v>
      </c>
      <c r="G510" s="1" t="s">
        <v>858</v>
      </c>
      <c r="H510" s="1">
        <v>-118.241666</v>
      </c>
      <c r="I510" s="1">
        <v>33.735</v>
      </c>
      <c r="J510" s="1">
        <f>HYPERLINK("https://tidesandcurrents.noaa.gov/stationhome.html?id=9410666", "9410666")</f>
        <v>0</v>
      </c>
      <c r="K510" s="1" t="s">
        <v>861</v>
      </c>
      <c r="L510" s="1" t="s">
        <v>866</v>
      </c>
      <c r="M510" s="1">
        <v>2567992</v>
      </c>
      <c r="N510" s="1">
        <v>0</v>
      </c>
      <c r="O510" s="1" t="s">
        <v>872</v>
      </c>
      <c r="P510" s="1" t="s">
        <v>877</v>
      </c>
      <c r="Q510" s="1">
        <v>-0.007</v>
      </c>
      <c r="R510" s="1">
        <v>-5.512</v>
      </c>
      <c r="S510" s="2">
        <f>HYPERLINK("https://vdatum.noaa.gov/vdatumweb/api/convert?s_x=-118.241666&amp;s_y=33.735&amp;s_z=0.0&amp;region=westcoast&amp;s_h_frame=NAD83_2011&amp;s_coor=geo&amp;s_v_frame=NAVD88&amp;s_v_unit=us_ft&amp;t_h_frame=IGS14&amp;t_coor=geo&amp;t_v_frame=MLLW&amp;t_v_unit=us_ft", "NAVD88 to MLLW")</f>
        <v>0</v>
      </c>
      <c r="T510" s="2">
        <f>HYPERLINK("https://vdatum.noaa.gov/vdatumweb/api/convert?s_x=-118.241666&amp;s_y=33.735&amp;s_z=0.0&amp;region=westcoast&amp;s_h_frame=NAD83_2011&amp;s_coor=geo&amp;s_v_frame=NAVD88&amp;s_v_unit=us_ft&amp;t_h_frame=IGS14&amp;t_coor=geo&amp;t_v_frame=MHHW&amp;t_v_unit=us_ft", "NAVD88 to MHHW")</f>
        <v>0</v>
      </c>
    </row>
    <row r="511" spans="1:20">
      <c r="A511" s="1" t="s">
        <v>535</v>
      </c>
      <c r="B511" s="1" t="s">
        <v>638</v>
      </c>
      <c r="D511" s="1" t="s">
        <v>655</v>
      </c>
      <c r="H511" s="1">
        <v>-118.5</v>
      </c>
      <c r="I511" s="1">
        <v>34.0083</v>
      </c>
      <c r="J511" s="1">
        <f>HYPERLINK("https://tidesandcurrents.noaa.gov/stationhome.html?id=9410840", "9410840")</f>
        <v>0</v>
      </c>
      <c r="K511" s="1" t="s">
        <v>861</v>
      </c>
      <c r="L511" s="1" t="s">
        <v>866</v>
      </c>
      <c r="M511" s="1">
        <v>419338</v>
      </c>
      <c r="N511" s="1">
        <v>0</v>
      </c>
      <c r="O511" s="1" t="s">
        <v>872</v>
      </c>
      <c r="P511" s="1" t="s">
        <v>877</v>
      </c>
      <c r="Q511" s="1">
        <v>0.095</v>
      </c>
      <c r="R511" s="1">
        <v>-5.328</v>
      </c>
      <c r="S511" s="2">
        <f>HYPERLINK("https://vdatum.noaa.gov/vdatumweb/api/convert?s_x=-118.5&amp;s_y=34.0083&amp;s_z=0.0&amp;region=westcoast&amp;s_h_frame=NAD83_2011&amp;s_coor=geo&amp;s_v_frame=NAVD88&amp;s_v_unit=us_ft&amp;t_h_frame=IGS14&amp;t_coor=geo&amp;t_v_frame=MLLW&amp;t_v_unit=us_ft", "NAVD88 to MLLW")</f>
        <v>0</v>
      </c>
      <c r="T511" s="2">
        <f>HYPERLINK("https://vdatum.noaa.gov/vdatumweb/api/convert?s_x=-118.5&amp;s_y=34.0083&amp;s_z=0.0&amp;region=westcoast&amp;s_h_frame=NAD83_2011&amp;s_coor=geo&amp;s_v_frame=NAVD88&amp;s_v_unit=us_ft&amp;t_h_frame=IGS14&amp;t_coor=geo&amp;t_v_frame=MHHW&amp;t_v_unit=us_ft", "NAVD88 to MHHW")</f>
        <v>0</v>
      </c>
    </row>
    <row r="512" spans="1:20">
      <c r="A512" s="1" t="s">
        <v>536</v>
      </c>
      <c r="B512" s="1" t="s">
        <v>638</v>
      </c>
      <c r="D512" s="1" t="s">
        <v>655</v>
      </c>
      <c r="H512" s="1">
        <v>-119.27</v>
      </c>
      <c r="I512" s="1">
        <v>34.25</v>
      </c>
      <c r="J512" s="1">
        <f>HYPERLINK("https://tidesandcurrents.noaa.gov/stationhome.html?id=9411166", "9411166")</f>
        <v>0</v>
      </c>
      <c r="K512" s="1" t="s">
        <v>860</v>
      </c>
      <c r="L512" s="1" t="s">
        <v>866</v>
      </c>
      <c r="M512" s="1">
        <v>1933461</v>
      </c>
      <c r="N512" s="1">
        <v>0</v>
      </c>
      <c r="O512" s="1" t="s">
        <v>872</v>
      </c>
      <c r="P512" s="1" t="s">
        <v>877</v>
      </c>
      <c r="Q512" s="1">
        <v>0.112</v>
      </c>
      <c r="R512" s="1">
        <v>-5.387</v>
      </c>
      <c r="S512" s="2">
        <f>HYPERLINK("https://vdatum.noaa.gov/vdatumweb/api/convert?s_x=-119.27&amp;s_y=34.25&amp;s_z=0.0&amp;region=westcoast&amp;s_h_frame=NAD83_2011&amp;s_coor=geo&amp;s_v_frame=NAVD88&amp;s_v_unit=us_ft&amp;t_h_frame=IGS14&amp;t_coor=geo&amp;t_v_frame=MLLW&amp;t_v_unit=us_ft", "NAVD88 to MLLW")</f>
        <v>0</v>
      </c>
      <c r="T512" s="2">
        <f>HYPERLINK("https://vdatum.noaa.gov/vdatumweb/api/convert?s_x=-119.27&amp;s_y=34.25&amp;s_z=0.0&amp;region=westcoast&amp;s_h_frame=NAD83_2011&amp;s_coor=geo&amp;s_v_frame=NAVD88&amp;s_v_unit=us_ft&amp;t_h_frame=IGS14&amp;t_coor=geo&amp;t_v_frame=MHHW&amp;t_v_unit=us_ft", "NAVD88 to MHHW")</f>
        <v>0</v>
      </c>
    </row>
    <row r="513" spans="1:20">
      <c r="A513" s="1" t="s">
        <v>537</v>
      </c>
      <c r="B513" s="1" t="s">
        <v>638</v>
      </c>
      <c r="C513" s="1" t="s">
        <v>650</v>
      </c>
      <c r="D513" s="1" t="s">
        <v>655</v>
      </c>
      <c r="E513" s="1" t="s">
        <v>809</v>
      </c>
      <c r="F513" s="1" t="s">
        <v>851</v>
      </c>
      <c r="G513" s="1" t="s">
        <v>858</v>
      </c>
      <c r="H513" s="1">
        <v>-119.693</v>
      </c>
      <c r="I513" s="1">
        <v>34.40311</v>
      </c>
      <c r="J513" s="1">
        <f>HYPERLINK("https://tidesandcurrents.noaa.gov/stationhome.html?id=9411340", "9411340")</f>
        <v>0</v>
      </c>
      <c r="K513" s="1" t="s">
        <v>860</v>
      </c>
      <c r="L513" s="1" t="s">
        <v>866</v>
      </c>
      <c r="M513" s="1">
        <v>1218376</v>
      </c>
      <c r="N513" s="1">
        <v>0</v>
      </c>
      <c r="O513" s="1" t="s">
        <v>872</v>
      </c>
      <c r="P513" s="1" t="s">
        <v>877</v>
      </c>
      <c r="Q513" s="1">
        <v>0.098</v>
      </c>
      <c r="R513" s="1">
        <v>-5.299</v>
      </c>
      <c r="S513" s="2">
        <f>HYPERLINK("https://vdatum.noaa.gov/vdatumweb/api/convert?s_x=-119.693&amp;s_y=34.40311&amp;s_z=0.0&amp;region=westcoast&amp;s_h_frame=NAD83_2011&amp;s_coor=geo&amp;s_v_frame=NAVD88&amp;s_v_unit=us_ft&amp;t_h_frame=IGS14&amp;t_coor=geo&amp;t_v_frame=MLLW&amp;t_v_unit=us_ft", "NAVD88 to MLLW")</f>
        <v>0</v>
      </c>
      <c r="T513" s="2">
        <f>HYPERLINK("https://vdatum.noaa.gov/vdatumweb/api/convert?s_x=-119.693&amp;s_y=34.40311&amp;s_z=0.0&amp;region=westcoast&amp;s_h_frame=NAD83_2011&amp;s_coor=geo&amp;s_v_frame=NAVD88&amp;s_v_unit=us_ft&amp;t_h_frame=IGS14&amp;t_coor=geo&amp;t_v_frame=MHHW&amp;t_v_unit=us_ft", "NAVD88 to MHHW")</f>
        <v>0</v>
      </c>
    </row>
    <row r="514" spans="1:20">
      <c r="A514" s="1" t="s">
        <v>538</v>
      </c>
      <c r="B514" s="1" t="s">
        <v>638</v>
      </c>
      <c r="D514" s="1" t="s">
        <v>655</v>
      </c>
      <c r="H514" s="1">
        <v>-120.228</v>
      </c>
      <c r="I514" s="1">
        <v>34.46939</v>
      </c>
      <c r="J514" s="1">
        <f>HYPERLINK("https://tidesandcurrents.noaa.gov/stationhome.html?id=9411399", "9411399")</f>
        <v>0</v>
      </c>
      <c r="K514" s="1" t="s">
        <v>861</v>
      </c>
      <c r="L514" s="1" t="s">
        <v>866</v>
      </c>
      <c r="M514" s="1">
        <v>866425</v>
      </c>
      <c r="N514" s="1">
        <v>0</v>
      </c>
      <c r="O514" s="1" t="s">
        <v>872</v>
      </c>
      <c r="P514" s="1" t="s">
        <v>877</v>
      </c>
      <c r="Q514" s="1">
        <v>0.489</v>
      </c>
      <c r="R514" s="1">
        <v>-4.806</v>
      </c>
      <c r="S514" s="2">
        <f>HYPERLINK("https://vdatum.noaa.gov/vdatumweb/api/convert?s_x=-120.228&amp;s_y=34.46939&amp;s_z=0.0&amp;region=westcoast&amp;s_h_frame=NAD83_2011&amp;s_coor=geo&amp;s_v_frame=NAVD88&amp;s_v_unit=us_ft&amp;t_h_frame=IGS14&amp;t_coor=geo&amp;t_v_frame=MLLW&amp;t_v_unit=us_ft", "NAVD88 to MLLW")</f>
        <v>0</v>
      </c>
      <c r="T514" s="2">
        <f>HYPERLINK("https://vdatum.noaa.gov/vdatumweb/api/convert?s_x=-120.228&amp;s_y=34.46939&amp;s_z=0.0&amp;region=westcoast&amp;s_h_frame=NAD83_2011&amp;s_coor=geo&amp;s_v_frame=NAVD88&amp;s_v_unit=us_ft&amp;t_h_frame=IGS14&amp;t_coor=geo&amp;t_v_frame=MHHW&amp;t_v_unit=us_ft", "NAVD88 to MHHW")</f>
        <v>0</v>
      </c>
    </row>
    <row r="515" spans="1:20">
      <c r="A515" s="1" t="s">
        <v>539</v>
      </c>
      <c r="B515" s="1" t="s">
        <v>638</v>
      </c>
      <c r="C515" s="1" t="s">
        <v>650</v>
      </c>
      <c r="D515" s="1" t="s">
        <v>655</v>
      </c>
      <c r="H515" s="1">
        <v>-120.754</v>
      </c>
      <c r="I515" s="1">
        <v>35.16881</v>
      </c>
      <c r="J515" s="1">
        <f>HYPERLINK("https://tidesandcurrents.noaa.gov/stationhome.html?id=9412110", "9412110")</f>
        <v>0</v>
      </c>
      <c r="K515" s="1" t="s">
        <v>861</v>
      </c>
      <c r="L515" s="1" t="s">
        <v>866</v>
      </c>
      <c r="M515" s="1">
        <v>767965</v>
      </c>
      <c r="N515" s="1">
        <v>0</v>
      </c>
      <c r="O515" s="1" t="s">
        <v>872</v>
      </c>
      <c r="P515" s="1" t="s">
        <v>877</v>
      </c>
      <c r="Q515" s="1">
        <v>0.089</v>
      </c>
      <c r="R515" s="1">
        <v>-5.236</v>
      </c>
      <c r="S515" s="2">
        <f>HYPERLINK("https://vdatum.noaa.gov/vdatumweb/api/convert?s_x=-120.754&amp;s_y=35.16881&amp;s_z=0.0&amp;region=westcoast&amp;s_h_frame=NAD83_2011&amp;s_coor=geo&amp;s_v_frame=NAVD88&amp;s_v_unit=us_ft&amp;t_h_frame=IGS14&amp;t_coor=geo&amp;t_v_frame=MLLW&amp;t_v_unit=us_ft", "NAVD88 to MLLW")</f>
        <v>0</v>
      </c>
      <c r="T515" s="2">
        <f>HYPERLINK("https://vdatum.noaa.gov/vdatumweb/api/convert?s_x=-120.754&amp;s_y=35.16881&amp;s_z=0.0&amp;region=westcoast&amp;s_h_frame=NAD83_2011&amp;s_coor=geo&amp;s_v_frame=NAVD88&amp;s_v_unit=us_ft&amp;t_h_frame=IGS14&amp;t_coor=geo&amp;t_v_frame=MHHW&amp;t_v_unit=us_ft", "NAVD88 to MHHW")</f>
        <v>0</v>
      </c>
    </row>
    <row r="516" spans="1:20">
      <c r="A516" s="1" t="s">
        <v>540</v>
      </c>
      <c r="B516" s="1" t="s">
        <v>639</v>
      </c>
      <c r="C516" s="1" t="s">
        <v>651</v>
      </c>
      <c r="D516" s="1" t="s">
        <v>655</v>
      </c>
      <c r="H516" s="1">
        <v>-124.498</v>
      </c>
      <c r="I516" s="1">
        <v>42.73897</v>
      </c>
      <c r="J516" s="1">
        <f>HYPERLINK("https://tidesandcurrents.noaa.gov/stationhome.html?id=9431647", "9431647")</f>
        <v>0</v>
      </c>
      <c r="K516" s="1" t="s">
        <v>861</v>
      </c>
      <c r="L516" s="1" t="s">
        <v>866</v>
      </c>
      <c r="M516" s="1">
        <v>1049405</v>
      </c>
      <c r="N516" s="1">
        <v>0</v>
      </c>
      <c r="O516" s="1" t="s">
        <v>872</v>
      </c>
      <c r="P516" s="1" t="s">
        <v>877</v>
      </c>
      <c r="Q516" s="1">
        <v>0.292</v>
      </c>
      <c r="R516" s="1">
        <v>-6.991</v>
      </c>
      <c r="S516" s="2">
        <f>HYPERLINK("https://vdatum.noaa.gov/vdatumweb/api/convert?s_x=-124.498&amp;s_y=42.73897&amp;s_z=0.0&amp;region=westcoast&amp;s_h_frame=NAD83_2011&amp;s_coor=geo&amp;s_v_frame=NAVD88&amp;s_v_unit=us_ft&amp;t_h_frame=IGS14&amp;t_coor=geo&amp;t_v_frame=MLLW&amp;t_v_unit=us_ft", "NAVD88 to MLLW")</f>
        <v>0</v>
      </c>
      <c r="T516" s="2">
        <f>HYPERLINK("https://vdatum.noaa.gov/vdatumweb/api/convert?s_x=-124.498&amp;s_y=42.73897&amp;s_z=0.0&amp;region=westcoast&amp;s_h_frame=NAD83_2011&amp;s_coor=geo&amp;s_v_frame=NAVD88&amp;s_v_unit=us_ft&amp;t_h_frame=IGS14&amp;t_coor=geo&amp;t_v_frame=MHHW&amp;t_v_unit=us_ft", "NAVD88 to MHHW")</f>
        <v>0</v>
      </c>
    </row>
    <row r="517" spans="1:20">
      <c r="A517" s="1" t="s">
        <v>541</v>
      </c>
      <c r="B517" s="1" t="s">
        <v>639</v>
      </c>
      <c r="D517" s="1" t="s">
        <v>655</v>
      </c>
      <c r="E517" s="1" t="s">
        <v>810</v>
      </c>
      <c r="F517" s="1" t="s">
        <v>852</v>
      </c>
      <c r="G517" s="1" t="s">
        <v>858</v>
      </c>
      <c r="H517" s="1">
        <v>-124.322</v>
      </c>
      <c r="I517" s="1">
        <v>43.345</v>
      </c>
      <c r="J517" s="1">
        <f>HYPERLINK("https://tidesandcurrents.noaa.gov/stationhome.html?id=9432780", "9432780")</f>
        <v>0</v>
      </c>
      <c r="K517" s="1" t="s">
        <v>860</v>
      </c>
      <c r="L517" s="1" t="s">
        <v>866</v>
      </c>
      <c r="M517" s="1">
        <v>1376640</v>
      </c>
      <c r="N517" s="1">
        <v>0</v>
      </c>
      <c r="O517" s="1" t="s">
        <v>872</v>
      </c>
      <c r="P517" s="1" t="s">
        <v>877</v>
      </c>
      <c r="Q517" s="1">
        <v>0.417</v>
      </c>
      <c r="R517" s="1">
        <v>-7.201</v>
      </c>
      <c r="S517" s="2">
        <f>HYPERLINK("https://vdatum.noaa.gov/vdatumweb/api/convert?s_x=-124.322&amp;s_y=43.345&amp;s_z=0.0&amp;region=westcoast&amp;s_h_frame=NAD83_2011&amp;s_coor=geo&amp;s_v_frame=NAVD88&amp;s_v_unit=us_ft&amp;t_h_frame=IGS14&amp;t_coor=geo&amp;t_v_frame=MLLW&amp;t_v_unit=us_ft", "NAVD88 to MLLW")</f>
        <v>0</v>
      </c>
      <c r="T517" s="2">
        <f>HYPERLINK("https://vdatum.noaa.gov/vdatumweb/api/convert?s_x=-124.322&amp;s_y=43.345&amp;s_z=0.0&amp;region=westcoast&amp;s_h_frame=NAD83_2011&amp;s_coor=geo&amp;s_v_frame=NAVD88&amp;s_v_unit=us_ft&amp;t_h_frame=IGS14&amp;t_coor=geo&amp;t_v_frame=MHHW&amp;t_v_unit=us_ft", "NAVD88 to MHHW")</f>
        <v>0</v>
      </c>
    </row>
    <row r="518" spans="1:20">
      <c r="A518" s="1" t="s">
        <v>542</v>
      </c>
      <c r="B518" s="1" t="s">
        <v>640</v>
      </c>
      <c r="D518" s="1" t="s">
        <v>655</v>
      </c>
      <c r="E518" s="1" t="s">
        <v>811</v>
      </c>
      <c r="F518" s="1" t="s">
        <v>851</v>
      </c>
      <c r="G518" s="1" t="s">
        <v>858</v>
      </c>
      <c r="H518" s="1">
        <v>-121.482</v>
      </c>
      <c r="I518" s="1">
        <v>35.94953</v>
      </c>
      <c r="J518" s="1">
        <f>HYPERLINK("https://tidesandcurrents.noaa.gov/stationhome.html?id=9412802", "9412802")</f>
        <v>0</v>
      </c>
      <c r="K518" s="1" t="s">
        <v>861</v>
      </c>
      <c r="L518" s="1" t="s">
        <v>866</v>
      </c>
      <c r="M518" s="1">
        <v>600766</v>
      </c>
      <c r="N518" s="1">
        <v>0</v>
      </c>
      <c r="O518" s="1" t="s">
        <v>872</v>
      </c>
      <c r="P518" s="1" t="s">
        <v>877</v>
      </c>
      <c r="Q518" s="1">
        <v>-0.013</v>
      </c>
      <c r="R518" s="1">
        <v>-5.249</v>
      </c>
      <c r="S518" s="2">
        <f>HYPERLINK("https://vdatum.noaa.gov/vdatumweb/api/convert?s_x=-121.482&amp;s_y=35.94953&amp;s_z=0.0&amp;region=westcoast&amp;s_h_frame=NAD83_2011&amp;s_coor=geo&amp;s_v_frame=NAVD88&amp;s_v_unit=us_ft&amp;t_h_frame=IGS14&amp;t_coor=geo&amp;t_v_frame=MLLW&amp;t_v_unit=us_ft", "NAVD88 to MLLW")</f>
        <v>0</v>
      </c>
      <c r="T518" s="2">
        <f>HYPERLINK("https://vdatum.noaa.gov/vdatumweb/api/convert?s_x=-121.482&amp;s_y=35.94953&amp;s_z=0.0&amp;region=westcoast&amp;s_h_frame=NAD83_2011&amp;s_coor=geo&amp;s_v_frame=NAVD88&amp;s_v_unit=us_ft&amp;t_h_frame=IGS14&amp;t_coor=geo&amp;t_v_frame=MHHW&amp;t_v_unit=us_ft", "NAVD88 to MHHW")</f>
        <v>0</v>
      </c>
    </row>
    <row r="519" spans="1:20">
      <c r="A519" s="1" t="s">
        <v>543</v>
      </c>
      <c r="B519" s="1" t="s">
        <v>640</v>
      </c>
      <c r="D519" s="1" t="s">
        <v>655</v>
      </c>
      <c r="H519" s="1">
        <v>-121.888</v>
      </c>
      <c r="I519" s="1">
        <v>36.605</v>
      </c>
      <c r="J519" s="1">
        <f>HYPERLINK("https://tidesandcurrents.noaa.gov/stationhome.html?id=9413450", "9413450")</f>
        <v>0</v>
      </c>
      <c r="K519" s="1" t="s">
        <v>861</v>
      </c>
      <c r="L519" s="1" t="s">
        <v>866</v>
      </c>
      <c r="M519" s="1">
        <v>1129932</v>
      </c>
      <c r="N519" s="1">
        <v>0</v>
      </c>
      <c r="O519" s="1" t="s">
        <v>872</v>
      </c>
      <c r="P519" s="1" t="s">
        <v>877</v>
      </c>
      <c r="Q519" s="1">
        <v>-0.161</v>
      </c>
      <c r="R519" s="1">
        <v>-5.495</v>
      </c>
      <c r="S519" s="2">
        <f>HYPERLINK("https://vdatum.noaa.gov/vdatumweb/api/convert?s_x=-121.888&amp;s_y=36.605&amp;s_z=0.0&amp;region=westcoast&amp;s_h_frame=NAD83_2011&amp;s_coor=geo&amp;s_v_frame=NAVD88&amp;s_v_unit=us_ft&amp;t_h_frame=IGS14&amp;t_coor=geo&amp;t_v_frame=MLLW&amp;t_v_unit=us_ft", "NAVD88 to MLLW")</f>
        <v>0</v>
      </c>
      <c r="T519" s="2">
        <f>HYPERLINK("https://vdatum.noaa.gov/vdatumweb/api/convert?s_x=-121.888&amp;s_y=36.605&amp;s_z=0.0&amp;region=westcoast&amp;s_h_frame=NAD83_2011&amp;s_coor=geo&amp;s_v_frame=NAVD88&amp;s_v_unit=us_ft&amp;t_h_frame=IGS14&amp;t_coor=geo&amp;t_v_frame=MHHW&amp;t_v_unit=us_ft", "NAVD88 to MHHW")</f>
        <v>0</v>
      </c>
    </row>
    <row r="520" spans="1:20">
      <c r="A520" s="1" t="s">
        <v>544</v>
      </c>
      <c r="B520" s="1" t="s">
        <v>640</v>
      </c>
      <c r="C520" s="1" t="s">
        <v>650</v>
      </c>
      <c r="D520" s="1" t="s">
        <v>655</v>
      </c>
      <c r="H520" s="1">
        <v>-122.01666</v>
      </c>
      <c r="I520" s="1">
        <v>36.958333</v>
      </c>
      <c r="J520" s="1">
        <f>HYPERLINK("https://tidesandcurrents.noaa.gov/stationhome.html?id=9413745", "9413745")</f>
        <v>0</v>
      </c>
      <c r="K520" s="1" t="s">
        <v>861</v>
      </c>
      <c r="L520" s="1" t="s">
        <v>866</v>
      </c>
      <c r="M520" s="1">
        <v>1503105</v>
      </c>
      <c r="N520" s="1">
        <v>0</v>
      </c>
      <c r="O520" s="1" t="s">
        <v>872</v>
      </c>
      <c r="P520" s="1" t="s">
        <v>877</v>
      </c>
      <c r="Q520" s="1">
        <v>-0.249</v>
      </c>
      <c r="R520" s="1">
        <v>-5.522</v>
      </c>
      <c r="S520" s="2">
        <f>HYPERLINK("https://vdatum.noaa.gov/vdatumweb/api/convert?s_x=-122.01666&amp;s_y=36.958333&amp;s_z=0.0&amp;region=westcoast&amp;s_h_frame=NAD83_2011&amp;s_coor=geo&amp;s_v_frame=NAVD88&amp;s_v_unit=us_ft&amp;t_h_frame=IGS14&amp;t_coor=geo&amp;t_v_frame=MLLW&amp;t_v_unit=us_ft", "NAVD88 to MLLW")</f>
        <v>0</v>
      </c>
      <c r="T520" s="2">
        <f>HYPERLINK("https://vdatum.noaa.gov/vdatumweb/api/convert?s_x=-122.01666&amp;s_y=36.958333&amp;s_z=0.0&amp;region=westcoast&amp;s_h_frame=NAD83_2011&amp;s_coor=geo&amp;s_v_frame=NAVD88&amp;s_v_unit=us_ft&amp;t_h_frame=IGS14&amp;t_coor=geo&amp;t_v_frame=MHHW&amp;t_v_unit=us_ft", "NAVD88 to MHHW")</f>
        <v>0</v>
      </c>
    </row>
    <row r="521" spans="1:20">
      <c r="A521" s="1" t="s">
        <v>545</v>
      </c>
      <c r="B521" s="1" t="s">
        <v>640</v>
      </c>
      <c r="D521" s="1" t="s">
        <v>655</v>
      </c>
      <c r="H521" s="1">
        <v>-122.482</v>
      </c>
      <c r="I521" s="1">
        <v>37.5025</v>
      </c>
      <c r="J521" s="1">
        <f>HYPERLINK("https://tidesandcurrents.noaa.gov/stationhome.html?id=9414131", "9414131")</f>
        <v>0</v>
      </c>
      <c r="K521" s="1" t="s">
        <v>861</v>
      </c>
      <c r="L521" s="1" t="s">
        <v>866</v>
      </c>
      <c r="M521" s="1">
        <v>1236851</v>
      </c>
      <c r="N521" s="1">
        <v>0</v>
      </c>
      <c r="O521" s="1" t="s">
        <v>872</v>
      </c>
      <c r="P521" s="1" t="s">
        <v>877</v>
      </c>
      <c r="Q521" s="1">
        <v>-0.19</v>
      </c>
      <c r="R521" s="1">
        <v>-5.771</v>
      </c>
      <c r="S521" s="2">
        <f>HYPERLINK("https://vdatum.noaa.gov/vdatumweb/api/convert?s_x=-122.482&amp;s_y=37.5025&amp;s_z=0.0&amp;region=westcoast&amp;s_h_frame=NAD83_2011&amp;s_coor=geo&amp;s_v_frame=NAVD88&amp;s_v_unit=us_ft&amp;t_h_frame=IGS14&amp;t_coor=geo&amp;t_v_frame=MLLW&amp;t_v_unit=us_ft", "NAVD88 to MLLW")</f>
        <v>0</v>
      </c>
      <c r="T521" s="2">
        <f>HYPERLINK("https://vdatum.noaa.gov/vdatumweb/api/convert?s_x=-122.482&amp;s_y=37.5025&amp;s_z=0.0&amp;region=westcoast&amp;s_h_frame=NAD83_2011&amp;s_coor=geo&amp;s_v_frame=NAVD88&amp;s_v_unit=us_ft&amp;t_h_frame=IGS14&amp;t_coor=geo&amp;t_v_frame=MHHW&amp;t_v_unit=us_ft", "NAVD88 to MHHW")</f>
        <v>0</v>
      </c>
    </row>
    <row r="522" spans="1:20">
      <c r="A522" s="1" t="s">
        <v>546</v>
      </c>
      <c r="B522" s="1" t="s">
        <v>640</v>
      </c>
      <c r="D522" s="1" t="s">
        <v>655</v>
      </c>
      <c r="H522" s="1">
        <v>-122.466</v>
      </c>
      <c r="I522" s="1">
        <v>37.80631</v>
      </c>
      <c r="J522" s="1">
        <f>HYPERLINK("https://tidesandcurrents.noaa.gov/stationhome.html?id=9414290", "9414290")</f>
        <v>0</v>
      </c>
      <c r="K522" s="1" t="s">
        <v>860</v>
      </c>
      <c r="L522" s="1" t="s">
        <v>866</v>
      </c>
      <c r="M522" s="1">
        <v>593878</v>
      </c>
      <c r="N522" s="1">
        <v>0</v>
      </c>
      <c r="O522" s="1" t="s">
        <v>872</v>
      </c>
      <c r="P522" s="1" t="s">
        <v>877</v>
      </c>
      <c r="Q522" s="1">
        <v>-0.056</v>
      </c>
      <c r="R522" s="1">
        <v>-5.899</v>
      </c>
      <c r="S522" s="2">
        <f>HYPERLINK("https://vdatum.noaa.gov/vdatumweb/api/convert?s_x=-122.466&amp;s_y=37.80631&amp;s_z=0.0&amp;region=westcoast&amp;s_h_frame=NAD83_2011&amp;s_coor=geo&amp;s_v_frame=NAVD88&amp;s_v_unit=us_ft&amp;t_h_frame=IGS14&amp;t_coor=geo&amp;t_v_frame=MLLW&amp;t_v_unit=us_ft", "NAVD88 to MLLW")</f>
        <v>0</v>
      </c>
      <c r="T522" s="2">
        <f>HYPERLINK("https://vdatum.noaa.gov/vdatumweb/api/convert?s_x=-122.466&amp;s_y=37.80631&amp;s_z=0.0&amp;region=westcoast&amp;s_h_frame=NAD83_2011&amp;s_coor=geo&amp;s_v_frame=NAVD88&amp;s_v_unit=us_ft&amp;t_h_frame=IGS14&amp;t_coor=geo&amp;t_v_frame=MHHW&amp;t_v_unit=us_ft", "NAVD88 to MHHW")</f>
        <v>0</v>
      </c>
    </row>
    <row r="523" spans="1:20">
      <c r="A523" s="1" t="s">
        <v>547</v>
      </c>
      <c r="B523" s="1" t="s">
        <v>640</v>
      </c>
      <c r="D523" s="1" t="s">
        <v>655</v>
      </c>
      <c r="H523" s="1">
        <v>-122.39277</v>
      </c>
      <c r="I523" s="1">
        <v>37.79777</v>
      </c>
      <c r="J523" s="1">
        <f>HYPERLINK("https://tidesandcurrents.noaa.gov/stationhome.html?id=9414311", "9414311")</f>
        <v>0</v>
      </c>
      <c r="K523" s="1" t="s">
        <v>861</v>
      </c>
      <c r="L523" s="1" t="s">
        <v>866</v>
      </c>
      <c r="M523" s="1">
        <v>857816</v>
      </c>
      <c r="N523" s="1">
        <v>0</v>
      </c>
      <c r="O523" s="1" t="s">
        <v>872</v>
      </c>
      <c r="P523" s="1" t="s">
        <v>877</v>
      </c>
      <c r="Q523" s="1">
        <v>-0.02</v>
      </c>
      <c r="R523" s="1">
        <v>-6.257</v>
      </c>
      <c r="S523" s="2">
        <f>HYPERLINK("https://vdatum.noaa.gov/vdatumweb/api/convert?s_x=-122.39277&amp;s_y=37.79777&amp;s_z=0.0&amp;region=westcoast&amp;s_h_frame=NAD83_2011&amp;s_coor=geo&amp;s_v_frame=NAVD88&amp;s_v_unit=us_ft&amp;t_h_frame=IGS14&amp;t_coor=geo&amp;t_v_frame=MLLW&amp;t_v_unit=us_ft", "NAVD88 to MLLW")</f>
        <v>0</v>
      </c>
      <c r="T523" s="2">
        <f>HYPERLINK("https://vdatum.noaa.gov/vdatumweb/api/convert?s_x=-122.39277&amp;s_y=37.79777&amp;s_z=0.0&amp;region=westcoast&amp;s_h_frame=NAD83_2011&amp;s_coor=geo&amp;s_v_frame=NAVD88&amp;s_v_unit=us_ft&amp;t_h_frame=IGS14&amp;t_coor=geo&amp;t_v_frame=MHHW&amp;t_v_unit=us_ft", "NAVD88 to MHHW")</f>
        <v>0</v>
      </c>
    </row>
    <row r="524" spans="1:20">
      <c r="A524" s="1" t="s">
        <v>548</v>
      </c>
      <c r="B524" s="1" t="s">
        <v>640</v>
      </c>
      <c r="D524" s="1" t="s">
        <v>655</v>
      </c>
      <c r="H524" s="1">
        <v>-122.115</v>
      </c>
      <c r="I524" s="1">
        <v>37.5067</v>
      </c>
      <c r="J524" s="1">
        <f>HYPERLINK("https://tidesandcurrents.noaa.gov/stationhome.html?id=9414509", "9414509")</f>
        <v>0</v>
      </c>
      <c r="K524" s="1" t="s">
        <v>861</v>
      </c>
      <c r="L524" s="1" t="s">
        <v>866</v>
      </c>
      <c r="M524" s="1">
        <v>2788356</v>
      </c>
      <c r="N524" s="1">
        <v>0</v>
      </c>
      <c r="O524" s="1" t="s">
        <v>872</v>
      </c>
      <c r="P524" s="1" t="s">
        <v>877</v>
      </c>
      <c r="Q524" s="1">
        <v>1.322</v>
      </c>
      <c r="R524" s="1">
        <v>-7.247</v>
      </c>
      <c r="S524" s="2">
        <f>HYPERLINK("https://vdatum.noaa.gov/vdatumweb/api/convert?s_x=-122.115&amp;s_y=37.5067&amp;s_z=0.0&amp;region=westcoast&amp;s_h_frame=NAD83_2011&amp;s_coor=geo&amp;s_v_frame=NAVD88&amp;s_v_unit=us_ft&amp;t_h_frame=IGS14&amp;t_coor=geo&amp;t_v_frame=MLLW&amp;t_v_unit=us_ft", "NAVD88 to MLLW")</f>
        <v>0</v>
      </c>
      <c r="T524" s="2">
        <f>HYPERLINK("https://vdatum.noaa.gov/vdatumweb/api/convert?s_x=-122.115&amp;s_y=37.5067&amp;s_z=0.0&amp;region=westcoast&amp;s_h_frame=NAD83_2011&amp;s_coor=geo&amp;s_v_frame=NAVD88&amp;s_v_unit=us_ft&amp;t_h_frame=IGS14&amp;t_coor=geo&amp;t_v_frame=MHHW&amp;t_v_unit=us_ft", "NAVD88 to MHHW")</f>
        <v>0</v>
      </c>
    </row>
    <row r="525" spans="1:20">
      <c r="A525" s="1" t="s">
        <v>549</v>
      </c>
      <c r="B525" s="1" t="s">
        <v>640</v>
      </c>
      <c r="C525" s="1" t="s">
        <v>650</v>
      </c>
      <c r="D525" s="1" t="s">
        <v>655</v>
      </c>
      <c r="E525" s="1" t="s">
        <v>812</v>
      </c>
      <c r="F525" s="1" t="s">
        <v>851</v>
      </c>
      <c r="G525" s="1" t="s">
        <v>858</v>
      </c>
      <c r="H525" s="1">
        <v>-122.21</v>
      </c>
      <c r="I525" s="1">
        <v>37.5067</v>
      </c>
      <c r="J525" s="1">
        <f>HYPERLINK("https://tidesandcurrents.noaa.gov/stationhome.html?id=9414523", "9414523")</f>
        <v>0</v>
      </c>
      <c r="K525" s="1" t="s">
        <v>860</v>
      </c>
      <c r="L525" s="1" t="s">
        <v>866</v>
      </c>
      <c r="M525" s="1">
        <v>2408462</v>
      </c>
      <c r="N525" s="1">
        <v>0</v>
      </c>
      <c r="O525" s="1" t="s">
        <v>872</v>
      </c>
      <c r="P525" s="1" t="s">
        <v>877</v>
      </c>
      <c r="Q525" s="1">
        <v>1.102</v>
      </c>
      <c r="R525" s="1">
        <v>-7.103</v>
      </c>
      <c r="S525" s="2">
        <f>HYPERLINK("https://vdatum.noaa.gov/vdatumweb/api/convert?s_x=-122.21&amp;s_y=37.5067&amp;s_z=0.0&amp;region=westcoast&amp;s_h_frame=NAD83_2011&amp;s_coor=geo&amp;s_v_frame=NAVD88&amp;s_v_unit=us_ft&amp;t_h_frame=IGS14&amp;t_coor=geo&amp;t_v_frame=MLLW&amp;t_v_unit=us_ft", "NAVD88 to MLLW")</f>
        <v>0</v>
      </c>
      <c r="T525" s="2">
        <f>HYPERLINK("https://vdatum.noaa.gov/vdatumweb/api/convert?s_x=-122.21&amp;s_y=37.5067&amp;s_z=0.0&amp;region=westcoast&amp;s_h_frame=NAD83_2011&amp;s_coor=geo&amp;s_v_frame=NAVD88&amp;s_v_unit=us_ft&amp;t_h_frame=IGS14&amp;t_coor=geo&amp;t_v_frame=MHHW&amp;t_v_unit=us_ft", "NAVD88 to MHHW")</f>
        <v>0</v>
      </c>
    </row>
    <row r="526" spans="1:20">
      <c r="A526" s="1" t="s">
        <v>550</v>
      </c>
      <c r="B526" s="1" t="s">
        <v>640</v>
      </c>
      <c r="C526" s="1" t="s">
        <v>650</v>
      </c>
      <c r="D526" s="1" t="s">
        <v>655</v>
      </c>
      <c r="E526" s="1" t="s">
        <v>813</v>
      </c>
      <c r="F526" s="1" t="s">
        <v>851</v>
      </c>
      <c r="G526" s="1" t="s">
        <v>858</v>
      </c>
      <c r="H526" s="1">
        <v>-122.023</v>
      </c>
      <c r="I526" s="1">
        <v>37.465</v>
      </c>
      <c r="J526" s="1">
        <f>HYPERLINK("https://tidesandcurrents.noaa.gov/stationhome.html?id=9414575", "9414575")</f>
        <v>0</v>
      </c>
      <c r="K526" s="1" t="s">
        <v>861</v>
      </c>
      <c r="L526" s="1" t="s">
        <v>866</v>
      </c>
      <c r="M526" s="1">
        <v>2915210</v>
      </c>
      <c r="N526" s="1">
        <v>0</v>
      </c>
      <c r="O526" s="1" t="s">
        <v>872</v>
      </c>
      <c r="P526" s="1" t="s">
        <v>877</v>
      </c>
      <c r="Q526" s="1">
        <v>1.736</v>
      </c>
      <c r="R526" s="1">
        <v>-7.238</v>
      </c>
      <c r="S526" s="2">
        <f>HYPERLINK("https://vdatum.noaa.gov/vdatumweb/api/convert?s_x=-122.023&amp;s_y=37.465&amp;s_z=0.0&amp;region=westcoast&amp;s_h_frame=NAD83_2011&amp;s_coor=geo&amp;s_v_frame=NAVD88&amp;s_v_unit=us_ft&amp;t_h_frame=IGS14&amp;t_coor=geo&amp;t_v_frame=MLLW&amp;t_v_unit=us_ft", "NAVD88 to MLLW")</f>
        <v>0</v>
      </c>
      <c r="T526" s="2">
        <f>HYPERLINK("https://vdatum.noaa.gov/vdatumweb/api/convert?s_x=-122.023&amp;s_y=37.465&amp;s_z=0.0&amp;region=westcoast&amp;s_h_frame=NAD83_2011&amp;s_coor=geo&amp;s_v_frame=NAVD88&amp;s_v_unit=us_ft&amp;t_h_frame=IGS14&amp;t_coor=geo&amp;t_v_frame=MHHW&amp;t_v_unit=us_ft", "NAVD88 to MHHW")</f>
        <v>0</v>
      </c>
    </row>
    <row r="527" spans="1:20">
      <c r="A527" s="1" t="s">
        <v>551</v>
      </c>
      <c r="B527" s="1" t="s">
        <v>640</v>
      </c>
      <c r="D527" s="1" t="s">
        <v>655</v>
      </c>
      <c r="E527" s="1" t="s">
        <v>814</v>
      </c>
      <c r="F527" s="1" t="s">
        <v>851</v>
      </c>
      <c r="G527" s="1" t="s">
        <v>858</v>
      </c>
      <c r="H527" s="1">
        <v>-122.3</v>
      </c>
      <c r="I527" s="1">
        <v>37.7717</v>
      </c>
      <c r="J527" s="1">
        <f>HYPERLINK("https://tidesandcurrents.noaa.gov/stationhome.html?id=9414750", "9414750")</f>
        <v>0</v>
      </c>
      <c r="K527" s="1" t="s">
        <v>860</v>
      </c>
      <c r="L527" s="1" t="s">
        <v>866</v>
      </c>
      <c r="M527" s="1">
        <v>2609496</v>
      </c>
      <c r="N527" s="1">
        <v>0</v>
      </c>
      <c r="O527" s="1" t="s">
        <v>872</v>
      </c>
      <c r="P527" s="1" t="s">
        <v>877</v>
      </c>
      <c r="Q527" s="1">
        <v>0.118</v>
      </c>
      <c r="R527" s="1">
        <v>-6.476</v>
      </c>
      <c r="S527" s="2">
        <f>HYPERLINK("https://vdatum.noaa.gov/vdatumweb/api/convert?s_x=-122.3&amp;s_y=37.7717&amp;s_z=0.0&amp;region=westcoast&amp;s_h_frame=NAD83_2011&amp;s_coor=geo&amp;s_v_frame=NAVD88&amp;s_v_unit=us_ft&amp;t_h_frame=IGS14&amp;t_coor=geo&amp;t_v_frame=MLLW&amp;t_v_unit=us_ft", "NAVD88 to MLLW")</f>
        <v>0</v>
      </c>
      <c r="T527" s="2">
        <f>HYPERLINK("https://vdatum.noaa.gov/vdatumweb/api/convert?s_x=-122.3&amp;s_y=37.7717&amp;s_z=0.0&amp;region=westcoast&amp;s_h_frame=NAD83_2011&amp;s_coor=geo&amp;s_v_frame=NAVD88&amp;s_v_unit=us_ft&amp;t_h_frame=IGS14&amp;t_coor=geo&amp;t_v_frame=MHHW&amp;t_v_unit=us_ft", "NAVD88 to MHHW")</f>
        <v>0</v>
      </c>
    </row>
    <row r="528" spans="1:20">
      <c r="A528" s="1" t="s">
        <v>552</v>
      </c>
      <c r="B528" s="1" t="s">
        <v>640</v>
      </c>
      <c r="D528" s="1" t="s">
        <v>655</v>
      </c>
      <c r="H528" s="1">
        <v>-122.282</v>
      </c>
      <c r="I528" s="1">
        <v>37.795</v>
      </c>
      <c r="J528" s="1">
        <f>HYPERLINK("https://tidesandcurrents.noaa.gov/stationhome.html?id=9414764", "9414764")</f>
        <v>0</v>
      </c>
      <c r="K528" s="1" t="s">
        <v>861</v>
      </c>
      <c r="L528" s="1" t="s">
        <v>866</v>
      </c>
      <c r="M528" s="1">
        <v>1854663</v>
      </c>
      <c r="N528" s="1">
        <v>0</v>
      </c>
      <c r="O528" s="1" t="s">
        <v>872</v>
      </c>
      <c r="P528" s="1" t="s">
        <v>877</v>
      </c>
      <c r="Q528" s="1">
        <v>-0.033</v>
      </c>
      <c r="R528" s="1">
        <v>-6.421</v>
      </c>
      <c r="S528" s="2">
        <f>HYPERLINK("https://vdatum.noaa.gov/vdatumweb/api/convert?s_x=-122.282&amp;s_y=37.795&amp;s_z=0.0&amp;region=westcoast&amp;s_h_frame=NAD83_2011&amp;s_coor=geo&amp;s_v_frame=NAVD88&amp;s_v_unit=us_ft&amp;t_h_frame=IGS14&amp;t_coor=geo&amp;t_v_frame=MLLW&amp;t_v_unit=us_ft", "NAVD88 to MLLW")</f>
        <v>0</v>
      </c>
      <c r="T528" s="2">
        <f>HYPERLINK("https://vdatum.noaa.gov/vdatumweb/api/convert?s_x=-122.282&amp;s_y=37.795&amp;s_z=0.0&amp;region=westcoast&amp;s_h_frame=NAD83_2011&amp;s_coor=geo&amp;s_v_frame=NAVD88&amp;s_v_unit=us_ft&amp;t_h_frame=IGS14&amp;t_coor=geo&amp;t_v_frame=MHHW&amp;t_v_unit=us_ft", "NAVD88 to MHHW")</f>
        <v>0</v>
      </c>
    </row>
    <row r="529" spans="1:20">
      <c r="A529" s="1" t="s">
        <v>553</v>
      </c>
      <c r="B529" s="1" t="s">
        <v>640</v>
      </c>
      <c r="C529" s="1" t="s">
        <v>650</v>
      </c>
      <c r="D529" s="1" t="s">
        <v>655</v>
      </c>
      <c r="E529" s="1" t="s">
        <v>814</v>
      </c>
      <c r="F529" s="1" t="s">
        <v>851</v>
      </c>
      <c r="G529" s="1" t="s">
        <v>858</v>
      </c>
      <c r="H529" s="1">
        <v>-122.329722</v>
      </c>
      <c r="I529" s="1">
        <v>37.80055</v>
      </c>
      <c r="J529" s="1">
        <f>HYPERLINK("https://tidesandcurrents.noaa.gov/stationhome.html?id=9414769", "9414769")</f>
        <v>0</v>
      </c>
      <c r="K529" s="1" t="s">
        <v>861</v>
      </c>
      <c r="L529" s="1" t="s">
        <v>866</v>
      </c>
      <c r="M529" s="1">
        <v>2383387</v>
      </c>
      <c r="N529" s="1">
        <v>0</v>
      </c>
      <c r="O529" s="1" t="s">
        <v>872</v>
      </c>
      <c r="P529" s="1" t="s">
        <v>877</v>
      </c>
      <c r="Q529" s="1">
        <v>-0.007</v>
      </c>
      <c r="R529" s="1">
        <v>-6.302</v>
      </c>
      <c r="S529" s="2">
        <f>HYPERLINK("https://vdatum.noaa.gov/vdatumweb/api/convert?s_x=-122.329722&amp;s_y=37.80055&amp;s_z=0.0&amp;region=westcoast&amp;s_h_frame=NAD83_2011&amp;s_coor=geo&amp;s_v_frame=NAVD88&amp;s_v_unit=us_ft&amp;t_h_frame=IGS14&amp;t_coor=geo&amp;t_v_frame=MLLW&amp;t_v_unit=us_ft", "NAVD88 to MLLW")</f>
        <v>0</v>
      </c>
      <c r="T529" s="2">
        <f>HYPERLINK("https://vdatum.noaa.gov/vdatumweb/api/convert?s_x=-122.329722&amp;s_y=37.80055&amp;s_z=0.0&amp;region=westcoast&amp;s_h_frame=NAD83_2011&amp;s_coor=geo&amp;s_v_frame=NAVD88&amp;s_v_unit=us_ft&amp;t_h_frame=IGS14&amp;t_coor=geo&amp;t_v_frame=MHHW&amp;t_v_unit=us_ft", "NAVD88 to MHHW")</f>
        <v>0</v>
      </c>
    </row>
    <row r="530" spans="1:20">
      <c r="A530" s="1" t="s">
        <v>554</v>
      </c>
      <c r="B530" s="1" t="s">
        <v>640</v>
      </c>
      <c r="C530" s="1" t="s">
        <v>650</v>
      </c>
      <c r="D530" s="1" t="s">
        <v>655</v>
      </c>
      <c r="E530" s="1" t="s">
        <v>814</v>
      </c>
      <c r="F530" s="1" t="s">
        <v>851</v>
      </c>
      <c r="G530" s="1" t="s">
        <v>858</v>
      </c>
      <c r="H530" s="1">
        <v>-122.3333</v>
      </c>
      <c r="I530" s="1">
        <v>37.81</v>
      </c>
      <c r="J530" s="1">
        <f>HYPERLINK("https://tidesandcurrents.noaa.gov/stationhome.html?id=9414776", "9414776")</f>
        <v>0</v>
      </c>
      <c r="K530" s="1" t="s">
        <v>861</v>
      </c>
      <c r="L530" s="1" t="s">
        <v>866</v>
      </c>
      <c r="M530" s="1">
        <v>2457625</v>
      </c>
      <c r="N530" s="1">
        <v>0</v>
      </c>
      <c r="O530" s="1" t="s">
        <v>872</v>
      </c>
      <c r="P530" s="1" t="s">
        <v>877</v>
      </c>
      <c r="Q530" s="1">
        <v>-0.033</v>
      </c>
      <c r="R530" s="1">
        <v>-6.227</v>
      </c>
      <c r="S530" s="2">
        <f>HYPERLINK("https://vdatum.noaa.gov/vdatumweb/api/convert?s_x=-122.3333&amp;s_y=37.81&amp;s_z=0.0&amp;region=westcoast&amp;s_h_frame=NAD83_2011&amp;s_coor=geo&amp;s_v_frame=NAVD88&amp;s_v_unit=us_ft&amp;t_h_frame=IGS14&amp;t_coor=geo&amp;t_v_frame=MLLW&amp;t_v_unit=us_ft", "NAVD88 to MLLW")</f>
        <v>0</v>
      </c>
      <c r="T530" s="2">
        <f>HYPERLINK("https://vdatum.noaa.gov/vdatumweb/api/convert?s_x=-122.3333&amp;s_y=37.81&amp;s_z=0.0&amp;region=westcoast&amp;s_h_frame=NAD83_2011&amp;s_coor=geo&amp;s_v_frame=NAVD88&amp;s_v_unit=us_ft&amp;t_h_frame=IGS14&amp;t_coor=geo&amp;t_v_frame=MHHW&amp;t_v_unit=us_ft", "NAVD88 to MHHW")</f>
        <v>0</v>
      </c>
    </row>
    <row r="531" spans="1:20">
      <c r="A531" s="1" t="s">
        <v>555</v>
      </c>
      <c r="B531" s="1" t="s">
        <v>640</v>
      </c>
      <c r="C531" s="1" t="s">
        <v>650</v>
      </c>
      <c r="D531" s="1" t="s">
        <v>655</v>
      </c>
      <c r="H531" s="1">
        <v>-122.365</v>
      </c>
      <c r="I531" s="1">
        <v>37.905</v>
      </c>
      <c r="J531" s="1">
        <f>HYPERLINK("https://tidesandcurrents.noaa.gov/stationhome.html?id=9414847", "9414847")</f>
        <v>0</v>
      </c>
      <c r="K531" s="1" t="s">
        <v>861</v>
      </c>
      <c r="L531" s="1" t="s">
        <v>866</v>
      </c>
      <c r="M531" s="1">
        <v>2384045</v>
      </c>
      <c r="N531" s="1">
        <v>0</v>
      </c>
      <c r="O531" s="1" t="s">
        <v>872</v>
      </c>
      <c r="P531" s="1" t="s">
        <v>877</v>
      </c>
      <c r="Q531" s="1">
        <v>-0.06900000000000001</v>
      </c>
      <c r="R531" s="1">
        <v>-6.102</v>
      </c>
      <c r="S531" s="2">
        <f>HYPERLINK("https://vdatum.noaa.gov/vdatumweb/api/convert?s_x=-122.365&amp;s_y=37.905&amp;s_z=0.0&amp;region=westcoast&amp;s_h_frame=NAD83_2011&amp;s_coor=geo&amp;s_v_frame=NAVD88&amp;s_v_unit=us_ft&amp;t_h_frame=IGS14&amp;t_coor=geo&amp;t_v_frame=MLLW&amp;t_v_unit=us_ft", "NAVD88 to MLLW")</f>
        <v>0</v>
      </c>
      <c r="T531" s="2">
        <f>HYPERLINK("https://vdatum.noaa.gov/vdatumweb/api/convert?s_x=-122.365&amp;s_y=37.905&amp;s_z=0.0&amp;region=westcoast&amp;s_h_frame=NAD83_2011&amp;s_coor=geo&amp;s_v_frame=NAVD88&amp;s_v_unit=us_ft&amp;t_h_frame=IGS14&amp;t_coor=geo&amp;t_v_frame=MHHW&amp;t_v_unit=us_ft", "NAVD88 to MHHW")</f>
        <v>0</v>
      </c>
    </row>
    <row r="532" spans="1:20">
      <c r="A532" s="1" t="s">
        <v>556</v>
      </c>
      <c r="B532" s="1" t="s">
        <v>640</v>
      </c>
      <c r="C532" s="1" t="s">
        <v>650</v>
      </c>
      <c r="D532" s="1" t="s">
        <v>655</v>
      </c>
      <c r="E532" s="1" t="s">
        <v>815</v>
      </c>
      <c r="F532" s="1" t="s">
        <v>851</v>
      </c>
      <c r="G532" s="1" t="s">
        <v>858</v>
      </c>
      <c r="H532" s="1">
        <v>-122.4</v>
      </c>
      <c r="I532" s="1">
        <v>37.93</v>
      </c>
      <c r="J532" s="1">
        <f>HYPERLINK("https://tidesandcurrents.noaa.gov/stationhome.html?id=9414863", "9414863")</f>
        <v>0</v>
      </c>
      <c r="K532" s="1" t="s">
        <v>860</v>
      </c>
      <c r="L532" s="1" t="s">
        <v>866</v>
      </c>
      <c r="M532" s="1">
        <v>2357068</v>
      </c>
      <c r="N532" s="1">
        <v>0</v>
      </c>
      <c r="O532" s="1" t="s">
        <v>872</v>
      </c>
      <c r="P532" s="1" t="s">
        <v>877</v>
      </c>
      <c r="Q532" s="1">
        <v>-0.059</v>
      </c>
      <c r="R532" s="1">
        <v>-6.129</v>
      </c>
      <c r="S532" s="2">
        <f>HYPERLINK("https://vdatum.noaa.gov/vdatumweb/api/convert?s_x=-122.4&amp;s_y=37.93&amp;s_z=0.0&amp;region=westcoast&amp;s_h_frame=NAD83_2011&amp;s_coor=geo&amp;s_v_frame=NAVD88&amp;s_v_unit=us_ft&amp;t_h_frame=IGS14&amp;t_coor=geo&amp;t_v_frame=MLLW&amp;t_v_unit=us_ft", "NAVD88 to MLLW")</f>
        <v>0</v>
      </c>
      <c r="T532" s="2">
        <f>HYPERLINK("https://vdatum.noaa.gov/vdatumweb/api/convert?s_x=-122.4&amp;s_y=37.93&amp;s_z=0.0&amp;region=westcoast&amp;s_h_frame=NAD83_2011&amp;s_coor=geo&amp;s_v_frame=NAVD88&amp;s_v_unit=us_ft&amp;t_h_frame=IGS14&amp;t_coor=geo&amp;t_v_frame=MHHW&amp;t_v_unit=us_ft", "NAVD88 to MHHW")</f>
        <v>0</v>
      </c>
    </row>
    <row r="533" spans="1:20">
      <c r="A533" s="1" t="s">
        <v>557</v>
      </c>
      <c r="B533" s="1" t="s">
        <v>640</v>
      </c>
      <c r="D533" s="1" t="s">
        <v>655</v>
      </c>
      <c r="H533" s="1">
        <v>-122.41</v>
      </c>
      <c r="I533" s="1">
        <v>37.923</v>
      </c>
      <c r="J533" s="1">
        <f>HYPERLINK("https://tidesandcurrents.noaa.gov/stationhome.html?id=9414958", "9414958")</f>
        <v>0</v>
      </c>
      <c r="K533" s="1" t="s">
        <v>861</v>
      </c>
      <c r="L533" s="1" t="s">
        <v>866</v>
      </c>
      <c r="M533" s="1">
        <v>2502216</v>
      </c>
      <c r="N533" s="1">
        <v>0</v>
      </c>
      <c r="O533" s="1" t="s">
        <v>872</v>
      </c>
      <c r="P533" s="1" t="s">
        <v>877</v>
      </c>
      <c r="Q533" s="1">
        <v>-0.075</v>
      </c>
      <c r="R533" s="1">
        <v>-6.132</v>
      </c>
      <c r="S533" s="2">
        <f>HYPERLINK("https://vdatum.noaa.gov/vdatumweb/api/convert?s_x=-122.41&amp;s_y=37.923&amp;s_z=0.0&amp;region=westcoast&amp;s_h_frame=NAD83_2011&amp;s_coor=geo&amp;s_v_frame=NAVD88&amp;s_v_unit=us_ft&amp;t_h_frame=IGS14&amp;t_coor=geo&amp;t_v_frame=MLLW&amp;t_v_unit=us_ft", "NAVD88 to MLLW")</f>
        <v>0</v>
      </c>
      <c r="T533" s="2">
        <f>HYPERLINK("https://vdatum.noaa.gov/vdatumweb/api/convert?s_x=-122.41&amp;s_y=37.923&amp;s_z=0.0&amp;region=westcoast&amp;s_h_frame=NAD83_2011&amp;s_coor=geo&amp;s_v_frame=NAVD88&amp;s_v_unit=us_ft&amp;t_h_frame=IGS14&amp;t_coor=geo&amp;t_v_frame=MHHW&amp;t_v_unit=us_ft", "NAVD88 to MHHW")</f>
        <v>0</v>
      </c>
    </row>
    <row r="534" spans="1:20">
      <c r="A534" s="1" t="s">
        <v>558</v>
      </c>
      <c r="B534" s="1" t="s">
        <v>640</v>
      </c>
      <c r="C534" s="1" t="s">
        <v>650</v>
      </c>
      <c r="D534" s="1" t="s">
        <v>655</v>
      </c>
      <c r="E534" s="1" t="s">
        <v>816</v>
      </c>
      <c r="F534" s="1" t="s">
        <v>851</v>
      </c>
      <c r="G534" s="1" t="s">
        <v>858</v>
      </c>
      <c r="H534" s="1">
        <v>-122.974</v>
      </c>
      <c r="I534" s="1">
        <v>37.99417</v>
      </c>
      <c r="J534" s="1">
        <f>HYPERLINK("https://tidesandcurrents.noaa.gov/stationhome.html?id=9415020", "9415020")</f>
        <v>0</v>
      </c>
      <c r="K534" s="1" t="s">
        <v>860</v>
      </c>
      <c r="L534" s="1" t="s">
        <v>866</v>
      </c>
      <c r="M534" s="1">
        <v>380256</v>
      </c>
      <c r="N534" s="1">
        <v>0</v>
      </c>
      <c r="O534" s="1" t="s">
        <v>872</v>
      </c>
      <c r="P534" s="1" t="s">
        <v>877</v>
      </c>
      <c r="Q534" s="1">
        <v>-0.02</v>
      </c>
      <c r="R534" s="1">
        <v>-5.774</v>
      </c>
      <c r="S534" s="2">
        <f>HYPERLINK("https://vdatum.noaa.gov/vdatumweb/api/convert?s_x=-122.974&amp;s_y=37.99417&amp;s_z=0.0&amp;region=westcoast&amp;s_h_frame=NAD83_2011&amp;s_coor=geo&amp;s_v_frame=NAVD88&amp;s_v_unit=us_ft&amp;t_h_frame=IGS14&amp;t_coor=geo&amp;t_v_frame=MLLW&amp;t_v_unit=us_ft", "NAVD88 to MLLW")</f>
        <v>0</v>
      </c>
      <c r="T534" s="2">
        <f>HYPERLINK("https://vdatum.noaa.gov/vdatumweb/api/convert?s_x=-122.974&amp;s_y=37.99417&amp;s_z=0.0&amp;region=westcoast&amp;s_h_frame=NAD83_2011&amp;s_coor=geo&amp;s_v_frame=NAVD88&amp;s_v_unit=us_ft&amp;t_h_frame=IGS14&amp;t_coor=geo&amp;t_v_frame=MHHW&amp;t_v_unit=us_ft", "NAVD88 to MHHW")</f>
        <v>0</v>
      </c>
    </row>
    <row r="535" spans="1:20">
      <c r="A535" s="1" t="s">
        <v>559</v>
      </c>
      <c r="B535" s="1" t="s">
        <v>640</v>
      </c>
      <c r="D535" s="1" t="s">
        <v>655</v>
      </c>
      <c r="H535" s="1">
        <v>-122.363</v>
      </c>
      <c r="I535" s="1">
        <v>38.015</v>
      </c>
      <c r="J535" s="1">
        <f>HYPERLINK("https://tidesandcurrents.noaa.gov/stationhome.html?id=9415056", "9415056")</f>
        <v>0</v>
      </c>
      <c r="K535" s="1" t="s">
        <v>861</v>
      </c>
      <c r="L535" s="1" t="s">
        <v>866</v>
      </c>
      <c r="M535" s="1">
        <v>1125592</v>
      </c>
      <c r="N535" s="1">
        <v>0</v>
      </c>
      <c r="O535" s="1" t="s">
        <v>872</v>
      </c>
      <c r="P535" s="1" t="s">
        <v>877</v>
      </c>
      <c r="Q535" s="1">
        <v>-0.079</v>
      </c>
      <c r="R535" s="1">
        <v>-6.25</v>
      </c>
      <c r="S535" s="2">
        <f>HYPERLINK("https://vdatum.noaa.gov/vdatumweb/api/convert?s_x=-122.363&amp;s_y=38.015&amp;s_z=0.0&amp;region=westcoast&amp;s_h_frame=NAD83_2011&amp;s_coor=geo&amp;s_v_frame=NAVD88&amp;s_v_unit=us_ft&amp;t_h_frame=IGS14&amp;t_coor=geo&amp;t_v_frame=MLLW&amp;t_v_unit=us_ft", "NAVD88 to MLLW")</f>
        <v>0</v>
      </c>
      <c r="T535" s="2">
        <f>HYPERLINK("https://vdatum.noaa.gov/vdatumweb/api/convert?s_x=-122.363&amp;s_y=38.015&amp;s_z=0.0&amp;region=westcoast&amp;s_h_frame=NAD83_2011&amp;s_coor=geo&amp;s_v_frame=NAVD88&amp;s_v_unit=us_ft&amp;t_h_frame=IGS14&amp;t_coor=geo&amp;t_v_frame=MHHW&amp;t_v_unit=us_ft", "NAVD88 to MHHW")</f>
        <v>0</v>
      </c>
    </row>
    <row r="536" spans="1:20">
      <c r="A536" s="1" t="s">
        <v>560</v>
      </c>
      <c r="B536" s="1" t="s">
        <v>640</v>
      </c>
      <c r="C536" s="1" t="s">
        <v>650</v>
      </c>
      <c r="D536" s="1" t="s">
        <v>655</v>
      </c>
      <c r="H536" s="1">
        <v>-122.125</v>
      </c>
      <c r="I536" s="1">
        <v>38.03464</v>
      </c>
      <c r="J536" s="1">
        <f>HYPERLINK("https://tidesandcurrents.noaa.gov/stationhome.html?id=9415102", "9415102")</f>
        <v>0</v>
      </c>
      <c r="K536" s="1" t="s">
        <v>860</v>
      </c>
      <c r="L536" s="1" t="s">
        <v>866</v>
      </c>
      <c r="M536" s="1">
        <v>1981364</v>
      </c>
      <c r="N536" s="1">
        <v>0</v>
      </c>
      <c r="O536" s="1" t="s">
        <v>872</v>
      </c>
      <c r="P536" s="1" t="s">
        <v>877</v>
      </c>
      <c r="Q536" s="1">
        <v>-0.623</v>
      </c>
      <c r="R536" s="1">
        <v>-6.01</v>
      </c>
      <c r="S536" s="2">
        <f>HYPERLINK("https://vdatum.noaa.gov/vdatumweb/api/convert?s_x=-122.125&amp;s_y=38.03464&amp;s_z=0.0&amp;region=westcoast&amp;s_h_frame=NAD83_2011&amp;s_coor=geo&amp;s_v_frame=NAVD88&amp;s_v_unit=us_ft&amp;t_h_frame=IGS14&amp;t_coor=geo&amp;t_v_frame=MLLW&amp;t_v_unit=us_ft", "NAVD88 to MLLW")</f>
        <v>0</v>
      </c>
      <c r="T536" s="2">
        <f>HYPERLINK("https://vdatum.noaa.gov/vdatumweb/api/convert?s_x=-122.125&amp;s_y=38.03464&amp;s_z=0.0&amp;region=westcoast&amp;s_h_frame=NAD83_2011&amp;s_coor=geo&amp;s_v_frame=NAVD88&amp;s_v_unit=us_ft&amp;t_h_frame=IGS14&amp;t_coor=geo&amp;t_v_frame=MHHW&amp;t_v_unit=us_ft", "NAVD88 to MHHW")</f>
        <v>0</v>
      </c>
    </row>
    <row r="537" spans="1:20">
      <c r="A537" s="1" t="s">
        <v>561</v>
      </c>
      <c r="B537" s="1" t="s">
        <v>640</v>
      </c>
      <c r="D537" s="1" t="s">
        <v>655</v>
      </c>
      <c r="H537" s="1">
        <v>-122.26</v>
      </c>
      <c r="I537" s="1">
        <v>38.05666</v>
      </c>
      <c r="J537" s="1">
        <f>HYPERLINK("https://tidesandcurrents.noaa.gov/stationhome.html?id=9415141", "9415141")</f>
        <v>0</v>
      </c>
      <c r="K537" s="1" t="s">
        <v>861</v>
      </c>
      <c r="L537" s="1" t="s">
        <v>866</v>
      </c>
      <c r="M537" s="1">
        <v>1234823</v>
      </c>
      <c r="N537" s="1">
        <v>0</v>
      </c>
      <c r="O537" s="1" t="s">
        <v>872</v>
      </c>
      <c r="P537" s="1" t="s">
        <v>877</v>
      </c>
      <c r="Q537" s="1">
        <v>-0.341</v>
      </c>
      <c r="R537" s="1">
        <v>-6.227</v>
      </c>
      <c r="S537" s="2">
        <f>HYPERLINK("https://vdatum.noaa.gov/vdatumweb/api/convert?s_x=-122.26&amp;s_y=38.05666&amp;s_z=0.0&amp;region=westcoast&amp;s_h_frame=NAD83_2011&amp;s_coor=geo&amp;s_v_frame=NAVD88&amp;s_v_unit=us_ft&amp;t_h_frame=IGS14&amp;t_coor=geo&amp;t_v_frame=MLLW&amp;t_v_unit=us_ft", "NAVD88 to MLLW")</f>
        <v>0</v>
      </c>
      <c r="T537" s="2">
        <f>HYPERLINK("https://vdatum.noaa.gov/vdatumweb/api/convert?s_x=-122.26&amp;s_y=38.05666&amp;s_z=0.0&amp;region=westcoast&amp;s_h_frame=NAD83_2011&amp;s_coor=geo&amp;s_v_frame=NAVD88&amp;s_v_unit=us_ft&amp;t_h_frame=IGS14&amp;t_coor=geo&amp;t_v_frame=MHHW&amp;t_v_unit=us_ft", "NAVD88 to MHHW")</f>
        <v>0</v>
      </c>
    </row>
    <row r="538" spans="1:20">
      <c r="A538" s="1" t="s">
        <v>562</v>
      </c>
      <c r="B538" s="1" t="s">
        <v>640</v>
      </c>
      <c r="C538" s="1" t="s">
        <v>650</v>
      </c>
      <c r="D538" s="1" t="s">
        <v>655</v>
      </c>
      <c r="E538" s="1" t="s">
        <v>815</v>
      </c>
      <c r="F538" s="1" t="s">
        <v>851</v>
      </c>
      <c r="G538" s="1" t="s">
        <v>858</v>
      </c>
      <c r="H538" s="1">
        <v>-122.04</v>
      </c>
      <c r="I538" s="1">
        <v>38.056</v>
      </c>
      <c r="J538" s="1">
        <f>HYPERLINK("https://tidesandcurrents.noaa.gov/stationhome.html?id=9415144", "9415144")</f>
        <v>0</v>
      </c>
      <c r="K538" s="1" t="s">
        <v>860</v>
      </c>
      <c r="L538" s="1" t="s">
        <v>866</v>
      </c>
      <c r="M538" s="1">
        <v>1696319</v>
      </c>
      <c r="N538" s="1">
        <v>0</v>
      </c>
      <c r="O538" s="1" t="s">
        <v>872</v>
      </c>
      <c r="P538" s="1" t="s">
        <v>877</v>
      </c>
      <c r="Q538" s="1">
        <v>-1.178</v>
      </c>
      <c r="R538" s="1">
        <v>-6.109</v>
      </c>
      <c r="S538" s="2">
        <f>HYPERLINK("https://vdatum.noaa.gov/vdatumweb/api/convert?s_x=-122.04&amp;s_y=38.056&amp;s_z=0.0&amp;region=westcoast&amp;s_h_frame=NAD83_2011&amp;s_coor=geo&amp;s_v_frame=NAVD88&amp;s_v_unit=us_ft&amp;t_h_frame=IGS14&amp;t_coor=geo&amp;t_v_frame=MLLW&amp;t_v_unit=us_ft", "NAVD88 to MLLW")</f>
        <v>0</v>
      </c>
      <c r="T538" s="2">
        <f>HYPERLINK("https://vdatum.noaa.gov/vdatumweb/api/convert?s_x=-122.04&amp;s_y=38.056&amp;s_z=0.0&amp;region=westcoast&amp;s_h_frame=NAD83_2011&amp;s_coor=geo&amp;s_v_frame=NAVD88&amp;s_v_unit=us_ft&amp;t_h_frame=IGS14&amp;t_coor=geo&amp;t_v_frame=MHHW&amp;t_v_unit=us_ft", "NAVD88 to MHHW")</f>
        <v>0</v>
      </c>
    </row>
    <row r="539" spans="1:20">
      <c r="A539" s="1" t="s">
        <v>563</v>
      </c>
      <c r="B539" s="1" t="s">
        <v>640</v>
      </c>
      <c r="D539" s="1" t="s">
        <v>655</v>
      </c>
      <c r="H539" s="1">
        <v>-122.25</v>
      </c>
      <c r="I539" s="1">
        <v>38.07</v>
      </c>
      <c r="J539" s="1">
        <f>HYPERLINK("https://tidesandcurrents.noaa.gov/stationhome.html?id=9415218", "9415218")</f>
        <v>0</v>
      </c>
      <c r="K539" s="1" t="s">
        <v>861</v>
      </c>
      <c r="L539" s="1" t="s">
        <v>866</v>
      </c>
      <c r="M539" s="1">
        <v>1983990</v>
      </c>
      <c r="N539" s="1">
        <v>0</v>
      </c>
      <c r="O539" s="1" t="s">
        <v>872</v>
      </c>
      <c r="P539" s="1" t="s">
        <v>877</v>
      </c>
      <c r="Q539" s="1">
        <v>-0.423</v>
      </c>
      <c r="R539" s="1">
        <v>-6.214</v>
      </c>
      <c r="S539" s="2">
        <f>HYPERLINK("https://vdatum.noaa.gov/vdatumweb/api/convert?s_x=-122.25&amp;s_y=38.07&amp;s_z=0.0&amp;region=westcoast&amp;s_h_frame=NAD83_2011&amp;s_coor=geo&amp;s_v_frame=NAVD88&amp;s_v_unit=us_ft&amp;t_h_frame=IGS14&amp;t_coor=geo&amp;t_v_frame=MLLW&amp;t_v_unit=us_ft", "NAVD88 to MLLW")</f>
        <v>0</v>
      </c>
      <c r="T539" s="2">
        <f>HYPERLINK("https://vdatum.noaa.gov/vdatumweb/api/convert?s_x=-122.25&amp;s_y=38.07&amp;s_z=0.0&amp;region=westcoast&amp;s_h_frame=NAD83_2011&amp;s_coor=geo&amp;s_v_frame=NAVD88&amp;s_v_unit=us_ft&amp;t_h_frame=IGS14&amp;t_coor=geo&amp;t_v_frame=MHHW&amp;t_v_unit=us_ft", "NAVD88 to MHHW")</f>
        <v>0</v>
      </c>
    </row>
    <row r="540" spans="1:20">
      <c r="A540" s="1" t="s">
        <v>564</v>
      </c>
      <c r="B540" s="1" t="s">
        <v>640</v>
      </c>
      <c r="C540" s="1" t="s">
        <v>650</v>
      </c>
      <c r="D540" s="1" t="s">
        <v>655</v>
      </c>
      <c r="H540" s="1">
        <v>-122.407</v>
      </c>
      <c r="I540" s="1">
        <v>38.1567</v>
      </c>
      <c r="J540" s="1">
        <f>HYPERLINK("https://tidesandcurrents.noaa.gov/stationhome.html?id=9415338", "9415338")</f>
        <v>0</v>
      </c>
      <c r="K540" s="1" t="s">
        <v>861</v>
      </c>
      <c r="L540" s="1" t="s">
        <v>866</v>
      </c>
      <c r="M540" s="1">
        <v>2499578</v>
      </c>
      <c r="N540" s="1">
        <v>0</v>
      </c>
      <c r="O540" s="1" t="s">
        <v>872</v>
      </c>
      <c r="P540" s="1" t="s">
        <v>877</v>
      </c>
      <c r="Q540" s="1">
        <v>-0.9379999999999999</v>
      </c>
      <c r="R540" s="1">
        <v>-6.424</v>
      </c>
      <c r="S540" s="2">
        <f>HYPERLINK("https://vdatum.noaa.gov/vdatumweb/api/convert?s_x=-122.407&amp;s_y=38.1567&amp;s_z=0.0&amp;region=westcoast&amp;s_h_frame=NAD83_2011&amp;s_coor=geo&amp;s_v_frame=NAVD88&amp;s_v_unit=us_ft&amp;t_h_frame=IGS14&amp;t_coor=geo&amp;t_v_frame=MLLW&amp;t_v_unit=us_ft", "NAVD88 to MLLW")</f>
        <v>0</v>
      </c>
      <c r="T540" s="2">
        <f>HYPERLINK("https://vdatum.noaa.gov/vdatumweb/api/convert?s_x=-122.407&amp;s_y=38.1567&amp;s_z=0.0&amp;region=westcoast&amp;s_h_frame=NAD83_2011&amp;s_coor=geo&amp;s_v_frame=NAVD88&amp;s_v_unit=us_ft&amp;t_h_frame=IGS14&amp;t_coor=geo&amp;t_v_frame=MHHW&amp;t_v_unit=us_ft", "NAVD88 to MHHW")</f>
        <v>0</v>
      </c>
    </row>
    <row r="541" spans="1:20">
      <c r="A541" s="1" t="s">
        <v>565</v>
      </c>
      <c r="B541" s="1" t="s">
        <v>640</v>
      </c>
      <c r="D541" s="1" t="s">
        <v>655</v>
      </c>
      <c r="H541" s="1">
        <v>-123.055</v>
      </c>
      <c r="I541" s="1">
        <v>38.30833</v>
      </c>
      <c r="J541" s="1">
        <f>HYPERLINK("https://tidesandcurrents.noaa.gov/stationhome.html?id=9415625", "9415625")</f>
        <v>0</v>
      </c>
      <c r="K541" s="1" t="s">
        <v>861</v>
      </c>
      <c r="L541" s="1" t="s">
        <v>866</v>
      </c>
      <c r="M541" s="1">
        <v>1113208</v>
      </c>
      <c r="N541" s="1">
        <v>0</v>
      </c>
      <c r="O541" s="1" t="s">
        <v>872</v>
      </c>
      <c r="P541" s="1" t="s">
        <v>877</v>
      </c>
      <c r="Q541" s="1">
        <v>-0.302</v>
      </c>
      <c r="R541" s="1">
        <v>-5.656</v>
      </c>
      <c r="S541" s="2">
        <f>HYPERLINK("https://vdatum.noaa.gov/vdatumweb/api/convert?s_x=-123.055&amp;s_y=38.30833&amp;s_z=0.0&amp;region=westcoast&amp;s_h_frame=NAD83_2011&amp;s_coor=geo&amp;s_v_frame=NAVD88&amp;s_v_unit=us_ft&amp;t_h_frame=IGS14&amp;t_coor=geo&amp;t_v_frame=MLLW&amp;t_v_unit=us_ft", "NAVD88 to MLLW")</f>
        <v>0</v>
      </c>
      <c r="T541" s="2">
        <f>HYPERLINK("https://vdatum.noaa.gov/vdatumweb/api/convert?s_x=-123.055&amp;s_y=38.30833&amp;s_z=0.0&amp;region=westcoast&amp;s_h_frame=NAD83_2011&amp;s_coor=geo&amp;s_v_frame=NAVD88&amp;s_v_unit=us_ft&amp;t_h_frame=IGS14&amp;t_coor=geo&amp;t_v_frame=MHHW&amp;t_v_unit=us_ft", "NAVD88 to MHHW")</f>
        <v>0</v>
      </c>
    </row>
    <row r="542" spans="1:20">
      <c r="A542" s="1" t="s">
        <v>566</v>
      </c>
      <c r="B542" s="1" t="s">
        <v>640</v>
      </c>
      <c r="D542" s="1" t="s">
        <v>655</v>
      </c>
      <c r="E542" s="1" t="s">
        <v>817</v>
      </c>
      <c r="F542" s="1" t="s">
        <v>851</v>
      </c>
      <c r="G542" s="1" t="s">
        <v>858</v>
      </c>
      <c r="H542" s="1">
        <v>-123.449</v>
      </c>
      <c r="I542" s="1">
        <v>38.7043</v>
      </c>
      <c r="J542" s="1">
        <f>HYPERLINK("https://tidesandcurrents.noaa.gov/stationhome.html?id=9416409", "9416409")</f>
        <v>0</v>
      </c>
      <c r="K542" s="1" t="s">
        <v>861</v>
      </c>
      <c r="L542" s="1" t="s">
        <v>866</v>
      </c>
      <c r="M542" s="1">
        <v>155643</v>
      </c>
      <c r="N542" s="1">
        <v>0</v>
      </c>
      <c r="O542" s="1" t="s">
        <v>872</v>
      </c>
      <c r="P542" s="1" t="s">
        <v>877</v>
      </c>
      <c r="Q542" s="1">
        <v>-0.505</v>
      </c>
      <c r="R542" s="1">
        <v>-5.784</v>
      </c>
      <c r="S542" s="2">
        <f>HYPERLINK("https://vdatum.noaa.gov/vdatumweb/api/convert?s_x=-123.449&amp;s_y=38.7043&amp;s_z=0.0&amp;region=westcoast&amp;s_h_frame=NAD83_2011&amp;s_coor=geo&amp;s_v_frame=NAVD88&amp;s_v_unit=us_ft&amp;t_h_frame=IGS14&amp;t_coor=geo&amp;t_v_frame=MLLW&amp;t_v_unit=us_ft", "NAVD88 to MLLW")</f>
        <v>0</v>
      </c>
      <c r="T542" s="2">
        <f>HYPERLINK("https://vdatum.noaa.gov/vdatumweb/api/convert?s_x=-123.449&amp;s_y=38.7043&amp;s_z=0.0&amp;region=westcoast&amp;s_h_frame=NAD83_2011&amp;s_coor=geo&amp;s_v_frame=NAVD88&amp;s_v_unit=us_ft&amp;t_h_frame=IGS14&amp;t_coor=geo&amp;t_v_frame=MHHW&amp;t_v_unit=us_ft", "NAVD88 to MHHW")</f>
        <v>0</v>
      </c>
    </row>
    <row r="543" spans="1:20">
      <c r="A543" s="1" t="s">
        <v>567</v>
      </c>
      <c r="B543" s="1" t="s">
        <v>640</v>
      </c>
      <c r="D543" s="1" t="s">
        <v>655</v>
      </c>
      <c r="H543" s="1">
        <v>-123.711</v>
      </c>
      <c r="I543" s="1">
        <v>38.91456</v>
      </c>
      <c r="J543" s="1">
        <f>HYPERLINK("https://tidesandcurrents.noaa.gov/stationhome.html?id=9416841", "9416841")</f>
        <v>0</v>
      </c>
      <c r="K543" s="1" t="s">
        <v>860</v>
      </c>
      <c r="L543" s="1" t="s">
        <v>866</v>
      </c>
      <c r="M543" s="1">
        <v>374550</v>
      </c>
      <c r="N543" s="1">
        <v>0</v>
      </c>
      <c r="O543" s="1" t="s">
        <v>872</v>
      </c>
      <c r="P543" s="1" t="s">
        <v>877</v>
      </c>
      <c r="Q543" s="1">
        <v>0.036</v>
      </c>
      <c r="R543" s="1">
        <v>-5.823</v>
      </c>
      <c r="S543" s="2">
        <f>HYPERLINK("https://vdatum.noaa.gov/vdatumweb/api/convert?s_x=-123.711&amp;s_y=38.91456&amp;s_z=0.0&amp;region=westcoast&amp;s_h_frame=NAD83_2011&amp;s_coor=geo&amp;s_v_frame=NAVD88&amp;s_v_unit=us_ft&amp;t_h_frame=IGS14&amp;t_coor=geo&amp;t_v_frame=MLLW&amp;t_v_unit=us_ft", "NAVD88 to MLLW")</f>
        <v>0</v>
      </c>
      <c r="T543" s="2">
        <f>HYPERLINK("https://vdatum.noaa.gov/vdatumweb/api/convert?s_x=-123.711&amp;s_y=38.91456&amp;s_z=0.0&amp;region=westcoast&amp;s_h_frame=NAD83_2011&amp;s_coor=geo&amp;s_v_frame=NAVD88&amp;s_v_unit=us_ft&amp;t_h_frame=IGS14&amp;t_coor=geo&amp;t_v_frame=MHHW&amp;t_v_unit=us_ft", "NAVD88 to MHHW")</f>
        <v>0</v>
      </c>
    </row>
    <row r="544" spans="1:20">
      <c r="A544" s="1" t="s">
        <v>568</v>
      </c>
      <c r="B544" s="1" t="s">
        <v>641</v>
      </c>
      <c r="D544" s="1" t="s">
        <v>655</v>
      </c>
      <c r="E544" s="1" t="s">
        <v>694</v>
      </c>
      <c r="F544" s="1" t="s">
        <v>852</v>
      </c>
      <c r="G544" s="1" t="s">
        <v>858</v>
      </c>
      <c r="H544" s="1">
        <v>-124.058</v>
      </c>
      <c r="I544" s="1">
        <v>44.43436</v>
      </c>
      <c r="J544" s="1">
        <f>HYPERLINK("https://tidesandcurrents.noaa.gov/stationhome.html?id=9434939", "9434939")</f>
        <v>0</v>
      </c>
      <c r="K544" s="1" t="s">
        <v>861</v>
      </c>
      <c r="L544" s="1" t="s">
        <v>866</v>
      </c>
      <c r="M544" s="1">
        <v>1041755</v>
      </c>
      <c r="N544" s="1">
        <v>0</v>
      </c>
      <c r="O544" s="1" t="s">
        <v>872</v>
      </c>
      <c r="P544" s="1" t="s">
        <v>877</v>
      </c>
      <c r="Q544" s="1">
        <v>-0.092</v>
      </c>
      <c r="R544" s="1">
        <v>-7.68</v>
      </c>
      <c r="S544" s="2">
        <f>HYPERLINK("https://vdatum.noaa.gov/vdatumweb/api/convert?s_x=-124.058&amp;s_y=44.43436&amp;s_z=0.0&amp;region=westcoast&amp;s_h_frame=NAD83_2011&amp;s_coor=geo&amp;s_v_frame=NAVD88&amp;s_v_unit=us_ft&amp;t_h_frame=IGS14&amp;t_coor=geo&amp;t_v_frame=MLLW&amp;t_v_unit=us_ft", "NAVD88 to MLLW")</f>
        <v>0</v>
      </c>
      <c r="T544" s="2">
        <f>HYPERLINK("https://vdatum.noaa.gov/vdatumweb/api/convert?s_x=-124.058&amp;s_y=44.43436&amp;s_z=0.0&amp;region=westcoast&amp;s_h_frame=NAD83_2011&amp;s_coor=geo&amp;s_v_frame=NAVD88&amp;s_v_unit=us_ft&amp;t_h_frame=IGS14&amp;t_coor=geo&amp;t_v_frame=MHHW&amp;t_v_unit=us_ft", "NAVD88 to MHHW")</f>
        <v>0</v>
      </c>
    </row>
    <row r="545" spans="1:20">
      <c r="A545" s="1" t="s">
        <v>569</v>
      </c>
      <c r="B545" s="1" t="s">
        <v>641</v>
      </c>
      <c r="D545" s="1" t="s">
        <v>655</v>
      </c>
      <c r="H545" s="1">
        <v>-124.045</v>
      </c>
      <c r="I545" s="1">
        <v>44.6254</v>
      </c>
      <c r="J545" s="1">
        <f>HYPERLINK("https://tidesandcurrents.noaa.gov/stationhome.html?id=9435380", "9435380")</f>
        <v>0</v>
      </c>
      <c r="K545" s="1" t="s">
        <v>861</v>
      </c>
      <c r="L545" s="1" t="s">
        <v>866</v>
      </c>
      <c r="M545" s="1">
        <v>1269279</v>
      </c>
      <c r="N545" s="1">
        <v>0</v>
      </c>
      <c r="O545" s="1" t="s">
        <v>872</v>
      </c>
      <c r="P545" s="1" t="s">
        <v>877</v>
      </c>
      <c r="Q545" s="1">
        <v>0.6919999999999999</v>
      </c>
      <c r="R545" s="1">
        <v>-7.634</v>
      </c>
      <c r="S545" s="2">
        <f>HYPERLINK("https://vdatum.noaa.gov/vdatumweb/api/convert?s_x=-124.045&amp;s_y=44.6254&amp;s_z=0.0&amp;region=westcoast&amp;s_h_frame=NAD83_2011&amp;s_coor=geo&amp;s_v_frame=NAVD88&amp;s_v_unit=us_ft&amp;t_h_frame=IGS14&amp;t_coor=geo&amp;t_v_frame=MLLW&amp;t_v_unit=us_ft", "NAVD88 to MLLW")</f>
        <v>0</v>
      </c>
      <c r="T545" s="2">
        <f>HYPERLINK("https://vdatum.noaa.gov/vdatumweb/api/convert?s_x=-124.045&amp;s_y=44.6254&amp;s_z=0.0&amp;region=westcoast&amp;s_h_frame=NAD83_2011&amp;s_coor=geo&amp;s_v_frame=NAVD88&amp;s_v_unit=us_ft&amp;t_h_frame=IGS14&amp;t_coor=geo&amp;t_v_frame=MHHW&amp;t_v_unit=us_ft", "NAVD88 to MHHW")</f>
        <v>0</v>
      </c>
    </row>
    <row r="546" spans="1:20">
      <c r="A546" s="1" t="s">
        <v>570</v>
      </c>
      <c r="B546" s="1" t="s">
        <v>641</v>
      </c>
      <c r="C546" s="1" t="s">
        <v>651</v>
      </c>
      <c r="D546" s="1" t="s">
        <v>655</v>
      </c>
      <c r="E546" s="1" t="s">
        <v>694</v>
      </c>
      <c r="F546" s="1" t="s">
        <v>852</v>
      </c>
      <c r="G546" s="1" t="s">
        <v>858</v>
      </c>
      <c r="H546" s="1">
        <v>-124.058</v>
      </c>
      <c r="I546" s="1">
        <v>44.81</v>
      </c>
      <c r="J546" s="1">
        <f>HYPERLINK("https://tidesandcurrents.noaa.gov/stationhome.html?id=9435827", "9435827")</f>
        <v>0</v>
      </c>
      <c r="K546" s="1" t="s">
        <v>861</v>
      </c>
      <c r="L546" s="1" t="s">
        <v>866</v>
      </c>
      <c r="M546" s="1">
        <v>327649</v>
      </c>
      <c r="N546" s="1">
        <v>0</v>
      </c>
      <c r="O546" s="1" t="s">
        <v>872</v>
      </c>
      <c r="P546" s="1" t="s">
        <v>877</v>
      </c>
      <c r="Q546" s="1">
        <v>0.518</v>
      </c>
      <c r="R546" s="1">
        <v>-7.703</v>
      </c>
      <c r="S546" s="2">
        <f>HYPERLINK("https://vdatum.noaa.gov/vdatumweb/api/convert?s_x=-124.058&amp;s_y=44.81&amp;s_z=0.0&amp;region=westcoast&amp;s_h_frame=NAD83_2011&amp;s_coor=geo&amp;s_v_frame=NAVD88&amp;s_v_unit=us_ft&amp;t_h_frame=IGS14&amp;t_coor=geo&amp;t_v_frame=MLLW&amp;t_v_unit=us_ft", "NAVD88 to MLLW")</f>
        <v>0</v>
      </c>
      <c r="T546" s="2">
        <f>HYPERLINK("https://vdatum.noaa.gov/vdatumweb/api/convert?s_x=-124.058&amp;s_y=44.81&amp;s_z=0.0&amp;region=westcoast&amp;s_h_frame=NAD83_2011&amp;s_coor=geo&amp;s_v_frame=NAVD88&amp;s_v_unit=us_ft&amp;t_h_frame=IGS14&amp;t_coor=geo&amp;t_v_frame=MHHW&amp;t_v_unit=us_ft", "NAVD88 to MHHW")</f>
        <v>0</v>
      </c>
    </row>
    <row r="547" spans="1:20">
      <c r="A547" s="1" t="s">
        <v>571</v>
      </c>
      <c r="B547" s="1" t="s">
        <v>641</v>
      </c>
      <c r="D547" s="1" t="s">
        <v>655</v>
      </c>
      <c r="H547" s="1">
        <v>-123.902</v>
      </c>
      <c r="I547" s="1">
        <v>45.4817</v>
      </c>
      <c r="J547" s="1">
        <f>HYPERLINK("https://tidesandcurrents.noaa.gov/stationhome.html?id=9436381", "9436381")</f>
        <v>0</v>
      </c>
      <c r="K547" s="1" t="s">
        <v>861</v>
      </c>
      <c r="L547" s="1" t="s">
        <v>866</v>
      </c>
      <c r="M547" s="1">
        <v>95877</v>
      </c>
      <c r="N547" s="1">
        <v>0</v>
      </c>
      <c r="O547" s="1" t="s">
        <v>872</v>
      </c>
      <c r="P547" s="1" t="s">
        <v>877</v>
      </c>
      <c r="Q547" s="1">
        <v>-1.148</v>
      </c>
      <c r="R547" s="1">
        <v>-8.166</v>
      </c>
      <c r="S547" s="2">
        <f>HYPERLINK("https://vdatum.noaa.gov/vdatumweb/api/convert?s_x=-123.902&amp;s_y=45.4817&amp;s_z=0.0&amp;region=westcoast&amp;s_h_frame=NAD83_2011&amp;s_coor=geo&amp;s_v_frame=NAVD88&amp;s_v_unit=us_ft&amp;t_h_frame=IGS14&amp;t_coor=geo&amp;t_v_frame=MLLW&amp;t_v_unit=us_ft", "NAVD88 to MLLW")</f>
        <v>0</v>
      </c>
      <c r="T547" s="2">
        <f>HYPERLINK("https://vdatum.noaa.gov/vdatumweb/api/convert?s_x=-123.902&amp;s_y=45.4817&amp;s_z=0.0&amp;region=westcoast&amp;s_h_frame=NAD83_2011&amp;s_coor=geo&amp;s_v_frame=NAVD88&amp;s_v_unit=us_ft&amp;t_h_frame=IGS14&amp;t_coor=geo&amp;t_v_frame=MHHW&amp;t_v_unit=us_ft", "NAVD88 to MHHW")</f>
        <v>0</v>
      </c>
    </row>
    <row r="548" spans="1:20">
      <c r="A548" s="1" t="s">
        <v>572</v>
      </c>
      <c r="B548" s="1" t="s">
        <v>641</v>
      </c>
      <c r="D548" s="1" t="s">
        <v>655</v>
      </c>
      <c r="H548" s="1">
        <v>-123.919</v>
      </c>
      <c r="I548" s="1">
        <v>45.55453</v>
      </c>
      <c r="J548" s="1">
        <f>HYPERLINK("https://tidesandcurrents.noaa.gov/stationhome.html?id=9437540", "9437540")</f>
        <v>0</v>
      </c>
      <c r="K548" s="1" t="s">
        <v>861</v>
      </c>
      <c r="L548" s="1" t="s">
        <v>866</v>
      </c>
      <c r="M548" s="1">
        <v>1266897</v>
      </c>
      <c r="N548" s="1">
        <v>1.23</v>
      </c>
      <c r="O548" s="1" t="s">
        <v>872</v>
      </c>
      <c r="P548" s="1" t="s">
        <v>877</v>
      </c>
      <c r="Q548" s="1">
        <v>0.177</v>
      </c>
      <c r="R548" s="1">
        <v>-8.090999999999999</v>
      </c>
      <c r="S548" s="2">
        <f>HYPERLINK("https://vdatum.noaa.gov/vdatumweb/api/convert?s_x=-123.919&amp;s_y=45.55453&amp;s_z=0.0&amp;region=westcoast&amp;s_h_frame=NAD83_2011&amp;s_coor=geo&amp;s_v_frame=NAVD88&amp;s_v_unit=us_ft&amp;t_h_frame=IGS14&amp;t_coor=geo&amp;t_v_frame=MLLW&amp;t_v_unit=us_ft", "NAVD88 to MLLW")</f>
        <v>0</v>
      </c>
      <c r="T548" s="2">
        <f>HYPERLINK("https://vdatum.noaa.gov/vdatumweb/api/convert?s_x=-123.919&amp;s_y=45.55453&amp;s_z=0.0&amp;region=westcoast&amp;s_h_frame=NAD83_2011&amp;s_coor=geo&amp;s_v_frame=NAVD88&amp;s_v_unit=us_ft&amp;t_h_frame=IGS14&amp;t_coor=geo&amp;t_v_frame=MHHW&amp;t_v_unit=us_ft", "NAVD88 to MHHW")</f>
        <v>0</v>
      </c>
    </row>
    <row r="549" spans="1:20">
      <c r="A549" s="1" t="s">
        <v>573</v>
      </c>
      <c r="B549" s="1" t="s">
        <v>641</v>
      </c>
      <c r="D549" s="1" t="s">
        <v>655</v>
      </c>
      <c r="H549" s="1">
        <v>-123.945</v>
      </c>
      <c r="I549" s="1">
        <v>46.2017</v>
      </c>
      <c r="J549" s="1">
        <f>HYPERLINK("https://tidesandcurrents.noaa.gov/stationhome.html?id=9439011", "9439011")</f>
        <v>0</v>
      </c>
      <c r="K549" s="1" t="s">
        <v>861</v>
      </c>
      <c r="L549" s="1" t="s">
        <v>866</v>
      </c>
      <c r="M549" s="1">
        <v>2504646</v>
      </c>
      <c r="N549" s="1">
        <v>0</v>
      </c>
      <c r="O549" s="1" t="s">
        <v>872</v>
      </c>
      <c r="P549" s="1" t="s">
        <v>877</v>
      </c>
      <c r="Q549" s="1">
        <v>0.026</v>
      </c>
      <c r="R549" s="1">
        <v>-8.396000000000001</v>
      </c>
      <c r="S549" s="2">
        <f>HYPERLINK("https://vdatum.noaa.gov/vdatumweb/api/convert?s_x=-123.945&amp;s_y=46.2017&amp;s_z=0.0&amp;region=westcoast&amp;s_h_frame=NAD83_2011&amp;s_coor=geo&amp;s_v_frame=NAVD88&amp;s_v_unit=us_ft&amp;t_h_frame=IGS14&amp;t_coor=geo&amp;t_v_frame=MLLW&amp;t_v_unit=us_ft", "NAVD88 to MLLW")</f>
        <v>0</v>
      </c>
      <c r="T549" s="2">
        <f>HYPERLINK("https://vdatum.noaa.gov/vdatumweb/api/convert?s_x=-123.945&amp;s_y=46.2017&amp;s_z=0.0&amp;region=westcoast&amp;s_h_frame=NAD83_2011&amp;s_coor=geo&amp;s_v_frame=NAVD88&amp;s_v_unit=us_ft&amp;t_h_frame=IGS14&amp;t_coor=geo&amp;t_v_frame=MHHW&amp;t_v_unit=us_ft", "NAVD88 to MHHW")</f>
        <v>0</v>
      </c>
    </row>
    <row r="550" spans="1:20">
      <c r="A550" s="1" t="s">
        <v>574</v>
      </c>
      <c r="B550" s="1" t="s">
        <v>641</v>
      </c>
      <c r="C550" s="1" t="s">
        <v>651</v>
      </c>
      <c r="D550" s="1" t="s">
        <v>655</v>
      </c>
      <c r="E550" s="1" t="s">
        <v>818</v>
      </c>
      <c r="F550" s="1" t="s">
        <v>852</v>
      </c>
      <c r="G550" s="1" t="s">
        <v>858</v>
      </c>
      <c r="H550" s="1">
        <v>-123.768</v>
      </c>
      <c r="I550" s="1">
        <v>46.20731</v>
      </c>
      <c r="J550" s="1">
        <f>HYPERLINK("https://tidesandcurrents.noaa.gov/stationhome.html?id=9439040", "9439040")</f>
        <v>0</v>
      </c>
      <c r="K550" s="1" t="s">
        <v>860</v>
      </c>
      <c r="L550" s="1" t="s">
        <v>866</v>
      </c>
      <c r="M550" s="1">
        <v>899438</v>
      </c>
      <c r="N550" s="1">
        <v>0</v>
      </c>
      <c r="O550" s="1" t="s">
        <v>872</v>
      </c>
      <c r="P550" s="1" t="s">
        <v>877</v>
      </c>
      <c r="Q550" s="1">
        <v>-0.381</v>
      </c>
      <c r="R550" s="1">
        <v>-8.989000000000001</v>
      </c>
      <c r="S550" s="2">
        <f>HYPERLINK("https://vdatum.noaa.gov/vdatumweb/api/convert?s_x=-123.768&amp;s_y=46.20731&amp;s_z=0.0&amp;region=westcoast&amp;s_h_frame=NAD83_2011&amp;s_coor=geo&amp;s_v_frame=NAVD88&amp;s_v_unit=us_ft&amp;t_h_frame=IGS14&amp;t_coor=geo&amp;t_v_frame=MLLW&amp;t_v_unit=us_ft", "NAVD88 to MLLW")</f>
        <v>0</v>
      </c>
      <c r="T550" s="2">
        <f>HYPERLINK("https://vdatum.noaa.gov/vdatumweb/api/convert?s_x=-123.768&amp;s_y=46.20731&amp;s_z=0.0&amp;region=westcoast&amp;s_h_frame=NAD83_2011&amp;s_coor=geo&amp;s_v_frame=NAVD88&amp;s_v_unit=us_ft&amp;t_h_frame=IGS14&amp;t_coor=geo&amp;t_v_frame=MHHW&amp;t_v_unit=us_ft", "NAVD88 to MHHW")</f>
        <v>0</v>
      </c>
    </row>
    <row r="551" spans="1:20">
      <c r="A551" s="1" t="s">
        <v>575</v>
      </c>
      <c r="B551" s="1" t="s">
        <v>641</v>
      </c>
      <c r="D551" s="1" t="s">
        <v>655</v>
      </c>
      <c r="H551" s="1">
        <v>-123.409</v>
      </c>
      <c r="I551" s="1">
        <v>46.16167</v>
      </c>
      <c r="J551" s="1">
        <f>HYPERLINK("https://tidesandcurrents.noaa.gov/stationhome.html?id=9439099", "9439099")</f>
        <v>0</v>
      </c>
      <c r="K551" s="1" t="s">
        <v>861</v>
      </c>
      <c r="L551" s="1" t="s">
        <v>866</v>
      </c>
      <c r="M551" s="1">
        <v>1453191</v>
      </c>
      <c r="N551" s="1">
        <v>1.617</v>
      </c>
      <c r="O551" s="1" t="s">
        <v>872</v>
      </c>
      <c r="P551" s="1" t="s">
        <v>877</v>
      </c>
      <c r="Q551" s="1">
        <v>-2.415</v>
      </c>
      <c r="R551" s="1">
        <v>-9.377000000000001</v>
      </c>
      <c r="S551" s="2">
        <f>HYPERLINK("https://vdatum.noaa.gov/vdatumweb/api/convert?s_x=-123.409&amp;s_y=46.16167&amp;s_z=0.0&amp;region=westcoast&amp;s_h_frame=NAD83_2011&amp;s_coor=geo&amp;s_v_frame=NAVD88&amp;s_v_unit=us_ft&amp;t_h_frame=IGS14&amp;t_coor=geo&amp;t_v_frame=MLLW&amp;t_v_unit=us_ft", "NAVD88 to MLLW")</f>
        <v>0</v>
      </c>
      <c r="T551" s="2">
        <f>HYPERLINK("https://vdatum.noaa.gov/vdatumweb/api/convert?s_x=-123.409&amp;s_y=46.16167&amp;s_z=0.0&amp;region=westcoast&amp;s_h_frame=NAD83_2011&amp;s_coor=geo&amp;s_v_frame=NAVD88&amp;s_v_unit=us_ft&amp;t_h_frame=IGS14&amp;t_coor=geo&amp;t_v_frame=MHHW&amp;t_v_unit=us_ft", "NAVD88 to MHHW")</f>
        <v>0</v>
      </c>
    </row>
    <row r="552" spans="1:20">
      <c r="A552" s="1" t="s">
        <v>576</v>
      </c>
      <c r="B552" s="1" t="s">
        <v>641</v>
      </c>
      <c r="C552" s="1" t="s">
        <v>651</v>
      </c>
      <c r="D552" s="1" t="s">
        <v>655</v>
      </c>
      <c r="E552" s="1" t="s">
        <v>819</v>
      </c>
      <c r="F552" s="1" t="s">
        <v>852</v>
      </c>
      <c r="G552" s="1" t="s">
        <v>858</v>
      </c>
      <c r="H552" s="1">
        <v>-122.796</v>
      </c>
      <c r="I552" s="1">
        <v>45.86331</v>
      </c>
      <c r="J552" s="1">
        <f>HYPERLINK("https://tidesandcurrents.noaa.gov/stationhome.html?id=9439201", "9439201")</f>
        <v>0</v>
      </c>
      <c r="K552" s="1" t="s">
        <v>861</v>
      </c>
      <c r="L552" s="1" t="s">
        <v>866</v>
      </c>
      <c r="M552" s="1">
        <v>522680</v>
      </c>
      <c r="N552" s="1">
        <v>2.327</v>
      </c>
      <c r="O552" s="1" t="s">
        <v>872</v>
      </c>
      <c r="P552" s="1" t="s">
        <v>877</v>
      </c>
      <c r="Q552" s="1">
        <v>-6.365</v>
      </c>
      <c r="R552" s="1">
        <v>-9.625999999999999</v>
      </c>
      <c r="S552" s="2">
        <f>HYPERLINK("https://vdatum.noaa.gov/vdatumweb/api/convert?s_x=-122.796&amp;s_y=45.86331&amp;s_z=0.0&amp;region=westcoast&amp;s_h_frame=NAD83_2011&amp;s_coor=geo&amp;s_v_frame=NAVD88&amp;s_v_unit=us_ft&amp;t_h_frame=IGS14&amp;t_coor=geo&amp;t_v_frame=MLLW&amp;t_v_unit=us_ft", "NAVD88 to MLLW")</f>
        <v>0</v>
      </c>
      <c r="T552" s="2">
        <f>HYPERLINK("https://vdatum.noaa.gov/vdatumweb/api/convert?s_x=-122.796&amp;s_y=45.86331&amp;s_z=0.0&amp;region=westcoast&amp;s_h_frame=NAD83_2011&amp;s_coor=geo&amp;s_v_frame=NAVD88&amp;s_v_unit=us_ft&amp;t_h_frame=IGS14&amp;t_coor=geo&amp;t_v_frame=MHHW&amp;t_v_unit=us_ft", "NAVD88 to MHHW")</f>
        <v>0</v>
      </c>
    </row>
    <row r="553" spans="1:20">
      <c r="A553" s="1" t="s">
        <v>577</v>
      </c>
      <c r="B553" s="1" t="s">
        <v>641</v>
      </c>
      <c r="C553" s="1" t="s">
        <v>651</v>
      </c>
      <c r="D553" s="1" t="s">
        <v>655</v>
      </c>
      <c r="E553" s="1" t="s">
        <v>820</v>
      </c>
      <c r="F553" s="1" t="s">
        <v>853</v>
      </c>
      <c r="G553" s="1" t="s">
        <v>858</v>
      </c>
      <c r="H553" s="1">
        <v>-122.697</v>
      </c>
      <c r="I553" s="1">
        <v>45.63169</v>
      </c>
      <c r="J553" s="1">
        <f>HYPERLINK("https://tidesandcurrents.noaa.gov/stationhome.html?id=9440083", "9440083")</f>
        <v>0</v>
      </c>
      <c r="K553" s="1" t="s">
        <v>861</v>
      </c>
      <c r="L553" s="1" t="s">
        <v>866</v>
      </c>
      <c r="M553" s="1">
        <v>307945</v>
      </c>
      <c r="N553" s="1">
        <v>2.272</v>
      </c>
      <c r="O553" s="1" t="s">
        <v>872</v>
      </c>
      <c r="P553" s="1" t="s">
        <v>877</v>
      </c>
      <c r="Q553" s="1">
        <v>-7.096</v>
      </c>
      <c r="R553" s="1">
        <v>-10.292</v>
      </c>
      <c r="S553" s="2">
        <f>HYPERLINK("https://vdatum.noaa.gov/vdatumweb/api/convert?s_x=-122.697&amp;s_y=45.63169&amp;s_z=0.0&amp;region=westcoast&amp;s_h_frame=NAD83_2011&amp;s_coor=geo&amp;s_v_frame=NAVD88&amp;s_v_unit=us_ft&amp;t_h_frame=IGS14&amp;t_coor=geo&amp;t_v_frame=MLLW&amp;t_v_unit=us_ft", "NAVD88 to MLLW")</f>
        <v>0</v>
      </c>
      <c r="T553" s="2">
        <f>HYPERLINK("https://vdatum.noaa.gov/vdatumweb/api/convert?s_x=-122.697&amp;s_y=45.63169&amp;s_z=0.0&amp;region=westcoast&amp;s_h_frame=NAD83_2011&amp;s_coor=geo&amp;s_v_frame=NAVD88&amp;s_v_unit=us_ft&amp;t_h_frame=IGS14&amp;t_coor=geo&amp;t_v_frame=MHHW&amp;t_v_unit=us_ft", "NAVD88 to MHHW")</f>
        <v>0</v>
      </c>
    </row>
    <row r="554" spans="1:20">
      <c r="A554" s="1" t="s">
        <v>578</v>
      </c>
      <c r="B554" s="1" t="s">
        <v>641</v>
      </c>
      <c r="C554" s="1" t="s">
        <v>651</v>
      </c>
      <c r="D554" s="1" t="s">
        <v>655</v>
      </c>
      <c r="E554" s="1" t="s">
        <v>821</v>
      </c>
      <c r="F554" s="1" t="s">
        <v>853</v>
      </c>
      <c r="G554" s="1" t="s">
        <v>858</v>
      </c>
      <c r="H554" s="1">
        <v>-122.954</v>
      </c>
      <c r="I554" s="1">
        <v>46.10614</v>
      </c>
      <c r="J554" s="1">
        <f>HYPERLINK("https://tidesandcurrents.noaa.gov/stationhome.html?id=9440422", "9440422")</f>
        <v>0</v>
      </c>
      <c r="K554" s="1" t="s">
        <v>861</v>
      </c>
      <c r="L554" s="1" t="s">
        <v>866</v>
      </c>
      <c r="M554" s="1">
        <v>2304321</v>
      </c>
      <c r="N554" s="1">
        <v>2.129</v>
      </c>
      <c r="O554" s="1" t="s">
        <v>872</v>
      </c>
      <c r="P554" s="1" t="s">
        <v>877</v>
      </c>
      <c r="Q554" s="1">
        <v>-4.905</v>
      </c>
      <c r="R554" s="1">
        <v>-9.423</v>
      </c>
      <c r="S554" s="2">
        <f>HYPERLINK("https://vdatum.noaa.gov/vdatumweb/api/convert?s_x=-122.954&amp;s_y=46.10614&amp;s_z=0.0&amp;region=westcoast&amp;s_h_frame=NAD83_2011&amp;s_coor=geo&amp;s_v_frame=NAVD88&amp;s_v_unit=us_ft&amp;t_h_frame=IGS14&amp;t_coor=geo&amp;t_v_frame=MLLW&amp;t_v_unit=us_ft", "NAVD88 to MLLW")</f>
        <v>0</v>
      </c>
      <c r="T554" s="2">
        <f>HYPERLINK("https://vdatum.noaa.gov/vdatumweb/api/convert?s_x=-122.954&amp;s_y=46.10614&amp;s_z=0.0&amp;region=westcoast&amp;s_h_frame=NAD83_2011&amp;s_coor=geo&amp;s_v_frame=NAVD88&amp;s_v_unit=us_ft&amp;t_h_frame=IGS14&amp;t_coor=geo&amp;t_v_frame=MHHW&amp;t_v_unit=us_ft", "NAVD88 to MHHW")</f>
        <v>0</v>
      </c>
    </row>
    <row r="555" spans="1:20">
      <c r="A555" s="1" t="s">
        <v>579</v>
      </c>
      <c r="B555" s="1" t="s">
        <v>641</v>
      </c>
      <c r="C555" s="1" t="s">
        <v>651</v>
      </c>
      <c r="D555" s="1" t="s">
        <v>655</v>
      </c>
      <c r="E555" s="1" t="s">
        <v>822</v>
      </c>
      <c r="F555" s="1" t="s">
        <v>853</v>
      </c>
      <c r="G555" s="1" t="s">
        <v>858</v>
      </c>
      <c r="H555" s="1">
        <v>-123.457</v>
      </c>
      <c r="I555" s="1">
        <v>46.27031</v>
      </c>
      <c r="J555" s="1">
        <f>HYPERLINK("https://tidesandcurrents.noaa.gov/stationhome.html?id=9440569", "9440569")</f>
        <v>0</v>
      </c>
      <c r="K555" s="1" t="s">
        <v>861</v>
      </c>
      <c r="L555" s="1" t="s">
        <v>866</v>
      </c>
      <c r="M555" s="1">
        <v>2075803</v>
      </c>
      <c r="N555" s="1">
        <v>1.551</v>
      </c>
      <c r="O555" s="1" t="s">
        <v>872</v>
      </c>
      <c r="P555" s="1" t="s">
        <v>877</v>
      </c>
      <c r="Q555" s="1">
        <v>-1.821</v>
      </c>
      <c r="R555" s="1">
        <v>-9.334</v>
      </c>
      <c r="S555" s="2">
        <f>HYPERLINK("https://vdatum.noaa.gov/vdatumweb/api/convert?s_x=-123.457&amp;s_y=46.27031&amp;s_z=0.0&amp;region=westcoast&amp;s_h_frame=NAD83_2011&amp;s_coor=geo&amp;s_v_frame=NAVD88&amp;s_v_unit=us_ft&amp;t_h_frame=IGS14&amp;t_coor=geo&amp;t_v_frame=MLLW&amp;t_v_unit=us_ft", "NAVD88 to MLLW")</f>
        <v>0</v>
      </c>
      <c r="T555" s="2">
        <f>HYPERLINK("https://vdatum.noaa.gov/vdatumweb/api/convert?s_x=-123.457&amp;s_y=46.27031&amp;s_z=0.0&amp;region=westcoast&amp;s_h_frame=NAD83_2011&amp;s_coor=geo&amp;s_v_frame=NAVD88&amp;s_v_unit=us_ft&amp;t_h_frame=IGS14&amp;t_coor=geo&amp;t_v_frame=MHHW&amp;t_v_unit=us_ft", "NAVD88 to MHHW")</f>
        <v>0</v>
      </c>
    </row>
    <row r="556" spans="1:20">
      <c r="A556" s="1" t="s">
        <v>580</v>
      </c>
      <c r="B556" s="1" t="s">
        <v>641</v>
      </c>
      <c r="D556" s="1" t="s">
        <v>655</v>
      </c>
      <c r="H556" s="1">
        <v>-124.037</v>
      </c>
      <c r="I556" s="1">
        <v>46.2683</v>
      </c>
      <c r="J556" s="1">
        <f>HYPERLINK("https://tidesandcurrents.noaa.gov/stationhome.html?id=9440572", "9440572")</f>
        <v>0</v>
      </c>
      <c r="K556" s="1" t="s">
        <v>861</v>
      </c>
      <c r="L556" s="1" t="s">
        <v>866</v>
      </c>
      <c r="M556" s="1">
        <v>2504446</v>
      </c>
      <c r="N556" s="1">
        <v>0</v>
      </c>
      <c r="O556" s="1" t="s">
        <v>872</v>
      </c>
      <c r="P556" s="1" t="s">
        <v>877</v>
      </c>
      <c r="Q556" s="1">
        <v>0.335</v>
      </c>
      <c r="R556" s="1">
        <v>-8.090999999999999</v>
      </c>
      <c r="S556" s="2">
        <f>HYPERLINK("https://vdatum.noaa.gov/vdatumweb/api/convert?s_x=-124.037&amp;s_y=46.2683&amp;s_z=0.0&amp;region=westcoast&amp;s_h_frame=NAD83_2011&amp;s_coor=geo&amp;s_v_frame=NAVD88&amp;s_v_unit=us_ft&amp;t_h_frame=IGS14&amp;t_coor=geo&amp;t_v_frame=MLLW&amp;t_v_unit=us_ft", "NAVD88 to MLLW")</f>
        <v>0</v>
      </c>
      <c r="T556" s="2">
        <f>HYPERLINK("https://vdatum.noaa.gov/vdatumweb/api/convert?s_x=-124.037&amp;s_y=46.2683&amp;s_z=0.0&amp;region=westcoast&amp;s_h_frame=NAD83_2011&amp;s_coor=geo&amp;s_v_frame=NAVD88&amp;s_v_unit=us_ft&amp;t_h_frame=IGS14&amp;t_coor=geo&amp;t_v_frame=MHHW&amp;t_v_unit=us_ft", "NAVD88 to MHHW")</f>
        <v>0</v>
      </c>
    </row>
    <row r="557" spans="1:20">
      <c r="A557" s="1" t="s">
        <v>581</v>
      </c>
      <c r="B557" s="1" t="s">
        <v>641</v>
      </c>
      <c r="D557" s="1" t="s">
        <v>655</v>
      </c>
      <c r="H557" s="1">
        <v>-124.046</v>
      </c>
      <c r="I557" s="1">
        <v>46.28103</v>
      </c>
      <c r="J557" s="1">
        <f>HYPERLINK("https://tidesandcurrents.noaa.gov/stationhome.html?id=9440581", "9440581")</f>
        <v>0</v>
      </c>
      <c r="K557" s="1" t="s">
        <v>860</v>
      </c>
      <c r="L557" s="1" t="s">
        <v>866</v>
      </c>
      <c r="M557" s="1">
        <v>2504473</v>
      </c>
      <c r="N557" s="1">
        <v>0</v>
      </c>
      <c r="O557" s="1" t="s">
        <v>872</v>
      </c>
      <c r="P557" s="1" t="s">
        <v>877</v>
      </c>
      <c r="Q557" s="1">
        <v>-0.121</v>
      </c>
      <c r="R557" s="1">
        <v>-7.943</v>
      </c>
      <c r="S557" s="2">
        <f>HYPERLINK("https://vdatum.noaa.gov/vdatumweb/api/convert?s_x=-124.046&amp;s_y=46.28103&amp;s_z=0.0&amp;region=westcoast&amp;s_h_frame=NAD83_2011&amp;s_coor=geo&amp;s_v_frame=NAVD88&amp;s_v_unit=us_ft&amp;t_h_frame=IGS14&amp;t_coor=geo&amp;t_v_frame=MLLW&amp;t_v_unit=us_ft", "NAVD88 to MLLW")</f>
        <v>0</v>
      </c>
      <c r="T557" s="2">
        <f>HYPERLINK("https://vdatum.noaa.gov/vdatumweb/api/convert?s_x=-124.046&amp;s_y=46.28103&amp;s_z=0.0&amp;region=westcoast&amp;s_h_frame=NAD83_2011&amp;s_coor=geo&amp;s_v_frame=NAVD88&amp;s_v_unit=us_ft&amp;t_h_frame=IGS14&amp;t_coor=geo&amp;t_v_frame=MHHW&amp;t_v_unit=us_ft", "NAVD88 to MHHW")</f>
        <v>0</v>
      </c>
    </row>
    <row r="558" spans="1:20">
      <c r="A558" s="1" t="s">
        <v>582</v>
      </c>
      <c r="B558" s="1" t="s">
        <v>641</v>
      </c>
      <c r="D558" s="1" t="s">
        <v>655</v>
      </c>
      <c r="H558" s="1">
        <v>-123.967</v>
      </c>
      <c r="I558" s="1">
        <v>46.7075</v>
      </c>
      <c r="J558" s="1">
        <f>HYPERLINK("https://tidesandcurrents.noaa.gov/stationhome.html?id=9440910", "9440910")</f>
        <v>0</v>
      </c>
      <c r="K558" s="1" t="s">
        <v>861</v>
      </c>
      <c r="L558" s="1" t="s">
        <v>866</v>
      </c>
      <c r="M558" s="1">
        <v>2076297</v>
      </c>
      <c r="N558" s="1">
        <v>0</v>
      </c>
      <c r="O558" s="1" t="s">
        <v>872</v>
      </c>
      <c r="P558" s="1" t="s">
        <v>877</v>
      </c>
      <c r="Q558" s="1">
        <v>0.64</v>
      </c>
      <c r="R558" s="1">
        <v>-8.284000000000001</v>
      </c>
      <c r="S558" s="2">
        <f>HYPERLINK("https://vdatum.noaa.gov/vdatumweb/api/convert?s_x=-123.967&amp;s_y=46.7075&amp;s_z=0.0&amp;region=westcoast&amp;s_h_frame=NAD83_2011&amp;s_coor=geo&amp;s_v_frame=NAVD88&amp;s_v_unit=us_ft&amp;t_h_frame=IGS14&amp;t_coor=geo&amp;t_v_frame=MLLW&amp;t_v_unit=us_ft", "NAVD88 to MLLW")</f>
        <v>0</v>
      </c>
      <c r="T558" s="2">
        <f>HYPERLINK("https://vdatum.noaa.gov/vdatumweb/api/convert?s_x=-123.967&amp;s_y=46.7075&amp;s_z=0.0&amp;region=westcoast&amp;s_h_frame=NAD83_2011&amp;s_coor=geo&amp;s_v_frame=NAVD88&amp;s_v_unit=us_ft&amp;t_h_frame=IGS14&amp;t_coor=geo&amp;t_v_frame=MHHW&amp;t_v_unit=us_ft", "NAVD88 to MHHW")</f>
        <v>0</v>
      </c>
    </row>
    <row r="559" spans="1:20">
      <c r="A559" s="1" t="s">
        <v>583</v>
      </c>
      <c r="B559" s="1" t="s">
        <v>642</v>
      </c>
      <c r="C559" s="1" t="s">
        <v>651</v>
      </c>
      <c r="D559" s="1" t="s">
        <v>655</v>
      </c>
      <c r="H559" s="1">
        <v>-124.105</v>
      </c>
      <c r="I559" s="1">
        <v>46.90431</v>
      </c>
      <c r="J559" s="1">
        <f>HYPERLINK("https://tidesandcurrents.noaa.gov/stationhome.html?id=9441102", "9441102")</f>
        <v>0</v>
      </c>
      <c r="K559" s="1" t="s">
        <v>861</v>
      </c>
      <c r="L559" s="1" t="s">
        <v>866</v>
      </c>
      <c r="M559" s="1">
        <v>2581408</v>
      </c>
      <c r="N559" s="1">
        <v>0</v>
      </c>
      <c r="O559" s="1" t="s">
        <v>872</v>
      </c>
      <c r="P559" s="1" t="s">
        <v>877</v>
      </c>
      <c r="Q559" s="1">
        <v>1.086</v>
      </c>
      <c r="R559" s="1">
        <v>-8.064</v>
      </c>
      <c r="S559" s="2">
        <f>HYPERLINK("https://vdatum.noaa.gov/vdatumweb/api/convert?s_x=-124.105&amp;s_y=46.90431&amp;s_z=0.0&amp;region=westcoast&amp;s_h_frame=NAD83_2011&amp;s_coor=geo&amp;s_v_frame=NAVD88&amp;s_v_unit=us_ft&amp;t_h_frame=IGS14&amp;t_coor=geo&amp;t_v_frame=MLLW&amp;t_v_unit=us_ft", "NAVD88 to MLLW")</f>
        <v>0</v>
      </c>
      <c r="T559" s="2">
        <f>HYPERLINK("https://vdatum.noaa.gov/vdatumweb/api/convert?s_x=-124.105&amp;s_y=46.90431&amp;s_z=0.0&amp;region=westcoast&amp;s_h_frame=NAD83_2011&amp;s_coor=geo&amp;s_v_frame=NAVD88&amp;s_v_unit=us_ft&amp;t_h_frame=IGS14&amp;t_coor=geo&amp;t_v_frame=MHHW&amp;t_v_unit=us_ft", "NAVD88 to MHHW")</f>
        <v>0</v>
      </c>
    </row>
    <row r="560" spans="1:20">
      <c r="A560" s="1" t="s">
        <v>584</v>
      </c>
      <c r="B560" s="1" t="s">
        <v>642</v>
      </c>
      <c r="D560" s="1" t="s">
        <v>655</v>
      </c>
      <c r="E560" s="1" t="s">
        <v>823</v>
      </c>
      <c r="F560" s="1" t="s">
        <v>853</v>
      </c>
      <c r="G560" s="1" t="s">
        <v>858</v>
      </c>
      <c r="H560" s="1">
        <v>-123.853</v>
      </c>
      <c r="I560" s="1">
        <v>46.9683</v>
      </c>
      <c r="J560" s="1">
        <f>HYPERLINK("https://tidesandcurrents.noaa.gov/stationhome.html?id=9441187", "9441187")</f>
        <v>0</v>
      </c>
      <c r="K560" s="1" t="s">
        <v>860</v>
      </c>
      <c r="L560" s="1" t="s">
        <v>866</v>
      </c>
      <c r="M560" s="1">
        <v>2114016</v>
      </c>
      <c r="N560" s="1">
        <v>0</v>
      </c>
      <c r="O560" s="1" t="s">
        <v>872</v>
      </c>
      <c r="P560" s="1" t="s">
        <v>877</v>
      </c>
      <c r="Q560" s="1">
        <v>1.732</v>
      </c>
      <c r="R560" s="1">
        <v>-8.396000000000001</v>
      </c>
      <c r="S560" s="2">
        <f>HYPERLINK("https://vdatum.noaa.gov/vdatumweb/api/convert?s_x=-123.853&amp;s_y=46.9683&amp;s_z=0.0&amp;region=westcoast&amp;s_h_frame=NAD83_2011&amp;s_coor=geo&amp;s_v_frame=NAVD88&amp;s_v_unit=us_ft&amp;t_h_frame=IGS14&amp;t_coor=geo&amp;t_v_frame=MLLW&amp;t_v_unit=us_ft", "NAVD88 to MLLW")</f>
        <v>0</v>
      </c>
      <c r="T560" s="2">
        <f>HYPERLINK("https://vdatum.noaa.gov/vdatumweb/api/convert?s_x=-123.853&amp;s_y=46.9683&amp;s_z=0.0&amp;region=westcoast&amp;s_h_frame=NAD83_2011&amp;s_coor=geo&amp;s_v_frame=NAVD88&amp;s_v_unit=us_ft&amp;t_h_frame=IGS14&amp;t_coor=geo&amp;t_v_frame=MHHW&amp;t_v_unit=us_ft", "NAVD88 to MHHW")</f>
        <v>0</v>
      </c>
    </row>
    <row r="561" spans="1:20">
      <c r="A561" s="1" t="s">
        <v>585</v>
      </c>
      <c r="B561" s="1" t="s">
        <v>642</v>
      </c>
      <c r="C561" s="1" t="s">
        <v>651</v>
      </c>
      <c r="D561" s="1" t="s">
        <v>655</v>
      </c>
      <c r="E561" s="1" t="s">
        <v>823</v>
      </c>
      <c r="F561" s="1" t="s">
        <v>853</v>
      </c>
      <c r="G561" s="1" t="s">
        <v>858</v>
      </c>
      <c r="H561" s="1">
        <v>-124.285</v>
      </c>
      <c r="I561" s="1">
        <v>47.34833</v>
      </c>
      <c r="J561" s="1">
        <f>HYPERLINK("https://tidesandcurrents.noaa.gov/stationhome.html?id=9441644", "9441644")</f>
        <v>0</v>
      </c>
      <c r="K561" s="1" t="s">
        <v>861</v>
      </c>
      <c r="L561" s="1" t="s">
        <v>866</v>
      </c>
      <c r="M561" s="1">
        <v>1017515</v>
      </c>
      <c r="N561" s="1">
        <v>0</v>
      </c>
      <c r="O561" s="1" t="s">
        <v>872</v>
      </c>
      <c r="P561" s="1" t="s">
        <v>877</v>
      </c>
      <c r="Q561" s="1">
        <v>-999999</v>
      </c>
      <c r="R561" s="1">
        <v>-999999</v>
      </c>
      <c r="S561" s="2">
        <f>HYPERLINK("https://vdatum.noaa.gov/vdatumweb/api/convert?s_x=-124.285&amp;s_y=47.34833&amp;s_z=0.0&amp;region=westcoast&amp;s_h_frame=NAD83_2011&amp;s_coor=geo&amp;s_v_frame=NAVD88&amp;s_v_unit=us_ft&amp;t_h_frame=IGS14&amp;t_coor=geo&amp;t_v_frame=MLLW&amp;t_v_unit=us_ft", "Missing")</f>
        <v>0</v>
      </c>
      <c r="T561" s="2">
        <f>HYPERLINK("https://vdatum.noaa.gov/vdatumweb/api/convert?s_x=-124.285&amp;s_y=47.34833&amp;s_z=0.0&amp;region=westcoast&amp;s_h_frame=NAD83_2011&amp;s_coor=geo&amp;s_v_frame=NAVD88&amp;s_v_unit=us_ft&amp;t_h_frame=IGS14&amp;t_coor=geo&amp;t_v_frame=MHHW&amp;t_v_unit=us_ft", "Missing")</f>
        <v>0</v>
      </c>
    </row>
    <row r="562" spans="1:20">
      <c r="A562" s="1" t="s">
        <v>586</v>
      </c>
      <c r="B562" s="1" t="s">
        <v>642</v>
      </c>
      <c r="D562" s="1" t="s">
        <v>655</v>
      </c>
      <c r="E562" s="1" t="s">
        <v>824</v>
      </c>
      <c r="F562" s="1" t="s">
        <v>853</v>
      </c>
      <c r="G562" s="1" t="s">
        <v>858</v>
      </c>
      <c r="H562" s="1">
        <v>-124.637</v>
      </c>
      <c r="I562" s="1">
        <v>47.913</v>
      </c>
      <c r="J562" s="1">
        <f>HYPERLINK("https://tidesandcurrents.noaa.gov/stationhome.html?id=9442396", "9442396")</f>
        <v>0</v>
      </c>
      <c r="K562" s="1" t="s">
        <v>861</v>
      </c>
      <c r="L562" s="1" t="s">
        <v>866</v>
      </c>
      <c r="M562" s="1">
        <v>1919409</v>
      </c>
      <c r="N562" s="1">
        <v>0</v>
      </c>
      <c r="O562" s="1" t="s">
        <v>872</v>
      </c>
      <c r="P562" s="1" t="s">
        <v>877</v>
      </c>
      <c r="Q562" s="1">
        <v>0.978</v>
      </c>
      <c r="R562" s="1">
        <v>-7.477</v>
      </c>
      <c r="S562" s="2">
        <f>HYPERLINK("https://vdatum.noaa.gov/vdatumweb/api/convert?s_x=-124.637&amp;s_y=47.913&amp;s_z=0.0&amp;region=westcoast&amp;s_h_frame=NAD83_2011&amp;s_coor=geo&amp;s_v_frame=NAVD88&amp;s_v_unit=us_ft&amp;t_h_frame=IGS14&amp;t_coor=geo&amp;t_v_frame=MLLW&amp;t_v_unit=us_ft", "NAVD88 to MLLW")</f>
        <v>0</v>
      </c>
      <c r="T562" s="2">
        <f>HYPERLINK("https://vdatum.noaa.gov/vdatumweb/api/convert?s_x=-124.637&amp;s_y=47.913&amp;s_z=0.0&amp;region=westcoast&amp;s_h_frame=NAD83_2011&amp;s_coor=geo&amp;s_v_frame=NAVD88&amp;s_v_unit=us_ft&amp;t_h_frame=IGS14&amp;t_coor=geo&amp;t_v_frame=MHHW&amp;t_v_unit=us_ft", "NAVD88 to MHHW")</f>
        <v>0</v>
      </c>
    </row>
    <row r="563" spans="1:20">
      <c r="A563" s="1" t="s">
        <v>587</v>
      </c>
      <c r="B563" s="1" t="s">
        <v>642</v>
      </c>
      <c r="D563" s="1" t="s">
        <v>655</v>
      </c>
      <c r="H563" s="1">
        <v>-124.602</v>
      </c>
      <c r="I563" s="1">
        <v>48.37028</v>
      </c>
      <c r="J563" s="1">
        <f>HYPERLINK("https://tidesandcurrents.noaa.gov/stationhome.html?id=9443090", "9443090")</f>
        <v>0</v>
      </c>
      <c r="K563" s="1" t="s">
        <v>861</v>
      </c>
      <c r="L563" s="1" t="s">
        <v>866</v>
      </c>
      <c r="M563" s="1">
        <v>682876</v>
      </c>
      <c r="N563" s="1">
        <v>0</v>
      </c>
      <c r="O563" s="1" t="s">
        <v>872</v>
      </c>
      <c r="P563" s="1" t="s">
        <v>877</v>
      </c>
      <c r="Q563" s="1">
        <v>0.696</v>
      </c>
      <c r="R563" s="1">
        <v>-7.264</v>
      </c>
      <c r="S563" s="2">
        <f>HYPERLINK("https://vdatum.noaa.gov/vdatumweb/api/convert?s_x=-124.602&amp;s_y=48.37028&amp;s_z=0.0&amp;region=westcoast&amp;s_h_frame=NAD83_2011&amp;s_coor=geo&amp;s_v_frame=NAVD88&amp;s_v_unit=us_ft&amp;t_h_frame=IGS14&amp;t_coor=geo&amp;t_v_frame=MLLW&amp;t_v_unit=us_ft", "NAVD88 to MLLW")</f>
        <v>0</v>
      </c>
      <c r="T563" s="2">
        <f>HYPERLINK("https://vdatum.noaa.gov/vdatumweb/api/convert?s_x=-124.602&amp;s_y=48.37028&amp;s_z=0.0&amp;region=westcoast&amp;s_h_frame=NAD83_2011&amp;s_coor=geo&amp;s_v_frame=NAVD88&amp;s_v_unit=us_ft&amp;t_h_frame=IGS14&amp;t_coor=geo&amp;t_v_frame=MHHW&amp;t_v_unit=us_ft", "NAVD88 to MHHW")</f>
        <v>0</v>
      </c>
    </row>
    <row r="564" spans="1:20">
      <c r="A564" s="1" t="s">
        <v>588</v>
      </c>
      <c r="B564" s="1" t="s">
        <v>642</v>
      </c>
      <c r="C564" s="1" t="s">
        <v>651</v>
      </c>
      <c r="D564" s="1" t="s">
        <v>655</v>
      </c>
      <c r="H564" s="1">
        <v>-123.44</v>
      </c>
      <c r="I564" s="1">
        <v>48.125</v>
      </c>
      <c r="J564" s="1">
        <f>HYPERLINK("https://tidesandcurrents.noaa.gov/stationhome.html?id=9444090", "9444090")</f>
        <v>0</v>
      </c>
      <c r="K564" s="1" t="s">
        <v>861</v>
      </c>
      <c r="L564" s="1" t="s">
        <v>866</v>
      </c>
      <c r="M564" s="1">
        <v>681597</v>
      </c>
      <c r="N564" s="1">
        <v>0</v>
      </c>
      <c r="O564" s="1" t="s">
        <v>872</v>
      </c>
      <c r="P564" s="1" t="s">
        <v>877</v>
      </c>
      <c r="Q564" s="1">
        <v>0.328</v>
      </c>
      <c r="R564" s="1">
        <v>-6.736</v>
      </c>
      <c r="S564" s="2">
        <f>HYPERLINK("https://vdatum.noaa.gov/vdatumweb/api/convert?s_x=-123.44&amp;s_y=48.125&amp;s_z=0.0&amp;region=westcoast&amp;s_h_frame=NAD83_2011&amp;s_coor=geo&amp;s_v_frame=NAVD88&amp;s_v_unit=us_ft&amp;t_h_frame=IGS14&amp;t_coor=geo&amp;t_v_frame=MLLW&amp;t_v_unit=us_ft", "NAVD88 to MLLW")</f>
        <v>0</v>
      </c>
      <c r="T564" s="2">
        <f>HYPERLINK("https://vdatum.noaa.gov/vdatumweb/api/convert?s_x=-123.44&amp;s_y=48.125&amp;s_z=0.0&amp;region=westcoast&amp;s_h_frame=NAD83_2011&amp;s_coor=geo&amp;s_v_frame=NAVD88&amp;s_v_unit=us_ft&amp;t_h_frame=IGS14&amp;t_coor=geo&amp;t_v_frame=MHHW&amp;t_v_unit=us_ft", "NAVD88 to MHHW")</f>
        <v>0</v>
      </c>
    </row>
    <row r="565" spans="1:20">
      <c r="A565" s="1" t="s">
        <v>589</v>
      </c>
      <c r="B565" s="1" t="s">
        <v>642</v>
      </c>
      <c r="C565" s="1" t="s">
        <v>651</v>
      </c>
      <c r="D565" s="1" t="s">
        <v>655</v>
      </c>
      <c r="E565" s="1" t="s">
        <v>758</v>
      </c>
      <c r="F565" s="1" t="s">
        <v>853</v>
      </c>
      <c r="G565" s="1" t="s">
        <v>858</v>
      </c>
      <c r="H565" s="1">
        <v>-122.76</v>
      </c>
      <c r="I565" s="1">
        <v>48.1129</v>
      </c>
      <c r="J565" s="1">
        <f>HYPERLINK("https://tidesandcurrents.noaa.gov/stationhome.html?id=9444900", "9444900")</f>
        <v>0</v>
      </c>
      <c r="K565" s="1" t="s">
        <v>861</v>
      </c>
      <c r="L565" s="1" t="s">
        <v>866</v>
      </c>
      <c r="M565" s="1">
        <v>1306902</v>
      </c>
      <c r="N565" s="1">
        <v>1.19</v>
      </c>
      <c r="O565" s="1" t="s">
        <v>872</v>
      </c>
      <c r="P565" s="1" t="s">
        <v>877</v>
      </c>
      <c r="Q565" s="1">
        <v>0.928</v>
      </c>
      <c r="R565" s="1">
        <v>-7.592</v>
      </c>
      <c r="S565" s="2">
        <f>HYPERLINK("https://vdatum.noaa.gov/vdatumweb/api/convert?s_x=-122.76&amp;s_y=48.1129&amp;s_z=0.0&amp;region=westcoast&amp;s_h_frame=NAD83_2011&amp;s_coor=geo&amp;s_v_frame=NAVD88&amp;s_v_unit=us_ft&amp;t_h_frame=IGS14&amp;t_coor=geo&amp;t_v_frame=MLLW&amp;t_v_unit=us_ft", "NAVD88 to MLLW")</f>
        <v>0</v>
      </c>
      <c r="T565" s="2">
        <f>HYPERLINK("https://vdatum.noaa.gov/vdatumweb/api/convert?s_x=-122.76&amp;s_y=48.1129&amp;s_z=0.0&amp;region=westcoast&amp;s_h_frame=NAD83_2011&amp;s_coor=geo&amp;s_v_frame=NAVD88&amp;s_v_unit=us_ft&amp;t_h_frame=IGS14&amp;t_coor=geo&amp;t_v_frame=MHHW&amp;t_v_unit=us_ft", "NAVD88 to MHHW")</f>
        <v>0</v>
      </c>
    </row>
    <row r="566" spans="1:20">
      <c r="A566" s="1" t="s">
        <v>590</v>
      </c>
      <c r="B566" s="1" t="s">
        <v>642</v>
      </c>
      <c r="D566" s="1" t="s">
        <v>655</v>
      </c>
      <c r="H566" s="1">
        <v>-122.623</v>
      </c>
      <c r="I566" s="1">
        <v>47.5617</v>
      </c>
      <c r="J566" s="1">
        <f>HYPERLINK("https://tidesandcurrents.noaa.gov/stationhome.html?id=9445958", "9445958")</f>
        <v>0</v>
      </c>
      <c r="K566" s="1" t="s">
        <v>860</v>
      </c>
      <c r="L566" s="1" t="s">
        <v>866</v>
      </c>
      <c r="M566" s="1">
        <v>958502</v>
      </c>
      <c r="N566" s="1">
        <v>1.311</v>
      </c>
      <c r="O566" s="1" t="s">
        <v>872</v>
      </c>
      <c r="P566" s="1" t="s">
        <v>877</v>
      </c>
      <c r="Q566" s="1">
        <v>2.648</v>
      </c>
      <c r="R566" s="1">
        <v>-9.098000000000001</v>
      </c>
      <c r="S566" s="2">
        <f>HYPERLINK("https://vdatum.noaa.gov/vdatumweb/api/convert?s_x=-122.623&amp;s_y=47.5617&amp;s_z=0.0&amp;region=westcoast&amp;s_h_frame=NAD83_2011&amp;s_coor=geo&amp;s_v_frame=NAVD88&amp;s_v_unit=us_ft&amp;t_h_frame=IGS14&amp;t_coor=geo&amp;t_v_frame=MLLW&amp;t_v_unit=us_ft", "NAVD88 to MLLW")</f>
        <v>0</v>
      </c>
      <c r="T566" s="2">
        <f>HYPERLINK("https://vdatum.noaa.gov/vdatumweb/api/convert?s_x=-122.623&amp;s_y=47.5617&amp;s_z=0.0&amp;region=westcoast&amp;s_h_frame=NAD83_2011&amp;s_coor=geo&amp;s_v_frame=NAVD88&amp;s_v_unit=us_ft&amp;t_h_frame=IGS14&amp;t_coor=geo&amp;t_v_frame=MHHW&amp;t_v_unit=us_ft", "NAVD88 to MHHW")</f>
        <v>0</v>
      </c>
    </row>
    <row r="567" spans="1:20">
      <c r="A567" s="1" t="s">
        <v>591</v>
      </c>
      <c r="B567" s="1" t="s">
        <v>642</v>
      </c>
      <c r="D567" s="1" t="s">
        <v>655</v>
      </c>
      <c r="H567" s="1">
        <v>-122.634</v>
      </c>
      <c r="I567" s="1">
        <v>47.3783</v>
      </c>
      <c r="J567" s="1">
        <f>HYPERLINK("https://tidesandcurrents.noaa.gov/stationhome.html?id=9446291", "9446291")</f>
        <v>0</v>
      </c>
      <c r="K567" s="1" t="s">
        <v>861</v>
      </c>
      <c r="L567" s="1" t="s">
        <v>866</v>
      </c>
      <c r="M567" s="1">
        <v>1392814</v>
      </c>
      <c r="N567" s="1">
        <v>0</v>
      </c>
      <c r="O567" s="1" t="s">
        <v>872</v>
      </c>
      <c r="P567" s="1" t="s">
        <v>877</v>
      </c>
      <c r="Q567" s="1">
        <v>3.491</v>
      </c>
      <c r="R567" s="1">
        <v>-10.02</v>
      </c>
      <c r="S567" s="2">
        <f>HYPERLINK("https://vdatum.noaa.gov/vdatumweb/api/convert?s_x=-122.634&amp;s_y=47.3783&amp;s_z=0.0&amp;region=westcoast&amp;s_h_frame=NAD83_2011&amp;s_coor=geo&amp;s_v_frame=NAVD88&amp;s_v_unit=us_ft&amp;t_h_frame=IGS14&amp;t_coor=geo&amp;t_v_frame=MLLW&amp;t_v_unit=us_ft", "NAVD88 to MLLW")</f>
        <v>0</v>
      </c>
      <c r="T567" s="2">
        <f>HYPERLINK("https://vdatum.noaa.gov/vdatumweb/api/convert?s_x=-122.634&amp;s_y=47.3783&amp;s_z=0.0&amp;region=westcoast&amp;s_h_frame=NAD83_2011&amp;s_coor=geo&amp;s_v_frame=NAVD88&amp;s_v_unit=us_ft&amp;t_h_frame=IGS14&amp;t_coor=geo&amp;t_v_frame=MHHW&amp;t_v_unit=us_ft", "NAVD88 to MHHW")</f>
        <v>0</v>
      </c>
    </row>
    <row r="568" spans="1:20">
      <c r="A568" s="1" t="s">
        <v>592</v>
      </c>
      <c r="B568" s="1" t="s">
        <v>642</v>
      </c>
      <c r="C568" s="1" t="s">
        <v>651</v>
      </c>
      <c r="D568" s="1" t="s">
        <v>655</v>
      </c>
      <c r="H568" s="1">
        <v>-122.413</v>
      </c>
      <c r="I568" s="1">
        <v>47.27</v>
      </c>
      <c r="J568" s="1">
        <f>HYPERLINK("https://tidesandcurrents.noaa.gov/stationhome.html?id=9446484", "9446484")</f>
        <v>0</v>
      </c>
      <c r="K568" s="1" t="s">
        <v>861</v>
      </c>
      <c r="L568" s="1" t="s">
        <v>866</v>
      </c>
      <c r="M568" s="1">
        <v>1552094</v>
      </c>
      <c r="N568" s="1">
        <v>0</v>
      </c>
      <c r="O568" s="1" t="s">
        <v>872</v>
      </c>
      <c r="P568" s="1" t="s">
        <v>877</v>
      </c>
      <c r="Q568" s="1">
        <v>2.431</v>
      </c>
      <c r="R568" s="1">
        <v>-9.343999999999999</v>
      </c>
      <c r="S568" s="2">
        <f>HYPERLINK("https://vdatum.noaa.gov/vdatumweb/api/convert?s_x=-122.413&amp;s_y=47.27&amp;s_z=0.0&amp;region=westcoast&amp;s_h_frame=NAD83_2011&amp;s_coor=geo&amp;s_v_frame=NAVD88&amp;s_v_unit=us_ft&amp;t_h_frame=IGS14&amp;t_coor=geo&amp;t_v_frame=MLLW&amp;t_v_unit=us_ft", "NAVD88 to MLLW")</f>
        <v>0</v>
      </c>
      <c r="T568" s="2">
        <f>HYPERLINK("https://vdatum.noaa.gov/vdatumweb/api/convert?s_x=-122.413&amp;s_y=47.27&amp;s_z=0.0&amp;region=westcoast&amp;s_h_frame=NAD83_2011&amp;s_coor=geo&amp;s_v_frame=NAVD88&amp;s_v_unit=us_ft&amp;t_h_frame=IGS14&amp;t_coor=geo&amp;t_v_frame=MHHW&amp;t_v_unit=us_ft", "NAVD88 to MHHW")</f>
        <v>0</v>
      </c>
    </row>
    <row r="569" spans="1:20">
      <c r="A569" s="1" t="s">
        <v>593</v>
      </c>
      <c r="B569" s="1" t="s">
        <v>642</v>
      </c>
      <c r="D569" s="1" t="s">
        <v>655</v>
      </c>
      <c r="H569" s="1">
        <v>-122.675</v>
      </c>
      <c r="I569" s="1">
        <v>47.18</v>
      </c>
      <c r="J569" s="1">
        <f>HYPERLINK("https://tidesandcurrents.noaa.gov/stationhome.html?id=9446705", "9446705")</f>
        <v>0</v>
      </c>
      <c r="K569" s="1" t="s">
        <v>861</v>
      </c>
      <c r="L569" s="1" t="s">
        <v>866</v>
      </c>
      <c r="M569" s="1">
        <v>2048554</v>
      </c>
      <c r="N569" s="1">
        <v>0</v>
      </c>
      <c r="O569" s="1" t="s">
        <v>872</v>
      </c>
      <c r="P569" s="1" t="s">
        <v>877</v>
      </c>
      <c r="Q569" s="1">
        <v>3.543</v>
      </c>
      <c r="R569" s="1">
        <v>-9.862</v>
      </c>
      <c r="S569" s="2">
        <f>HYPERLINK("https://vdatum.noaa.gov/vdatumweb/api/convert?s_x=-122.675&amp;s_y=47.18&amp;s_z=0.0&amp;region=westcoast&amp;s_h_frame=NAD83_2011&amp;s_coor=geo&amp;s_v_frame=NAVD88&amp;s_v_unit=us_ft&amp;t_h_frame=IGS14&amp;t_coor=geo&amp;t_v_frame=MLLW&amp;t_v_unit=us_ft", "NAVD88 to MLLW")</f>
        <v>0</v>
      </c>
      <c r="T569" s="2">
        <f>HYPERLINK("https://vdatum.noaa.gov/vdatumweb/api/convert?s_x=-122.675&amp;s_y=47.18&amp;s_z=0.0&amp;region=westcoast&amp;s_h_frame=NAD83_2011&amp;s_coor=geo&amp;s_v_frame=NAVD88&amp;s_v_unit=us_ft&amp;t_h_frame=IGS14&amp;t_coor=geo&amp;t_v_frame=MHHW&amp;t_v_unit=us_ft", "NAVD88 to MHHW")</f>
        <v>0</v>
      </c>
    </row>
    <row r="570" spans="1:20">
      <c r="A570" s="1" t="s">
        <v>594</v>
      </c>
      <c r="B570" s="1" t="s">
        <v>642</v>
      </c>
      <c r="C570" s="1" t="s">
        <v>651</v>
      </c>
      <c r="D570" s="1" t="s">
        <v>655</v>
      </c>
      <c r="E570" s="1" t="s">
        <v>825</v>
      </c>
      <c r="F570" s="1" t="s">
        <v>853</v>
      </c>
      <c r="G570" s="1" t="s">
        <v>858</v>
      </c>
      <c r="H570" s="1">
        <v>-122.316</v>
      </c>
      <c r="I570" s="1">
        <v>47.5304</v>
      </c>
      <c r="J570" s="1">
        <f>HYPERLINK("https://tidesandcurrents.noaa.gov/stationhome.html?id=9447029", "9447029")</f>
        <v>0</v>
      </c>
      <c r="K570" s="1" t="s">
        <v>861</v>
      </c>
      <c r="L570" s="1" t="s">
        <v>866</v>
      </c>
      <c r="M570" s="1">
        <v>1551593</v>
      </c>
      <c r="N570" s="1">
        <v>0</v>
      </c>
      <c r="O570" s="1" t="s">
        <v>872</v>
      </c>
      <c r="P570" s="1" t="s">
        <v>877</v>
      </c>
      <c r="Q570" s="1">
        <v>-999999</v>
      </c>
      <c r="R570" s="1">
        <v>-999999</v>
      </c>
      <c r="S570" s="2">
        <f>HYPERLINK("https://vdatum.noaa.gov/vdatumweb/api/convert?s_x=-122.316&amp;s_y=47.5304&amp;s_z=0.0&amp;region=westcoast&amp;s_h_frame=NAD83_2011&amp;s_coor=geo&amp;s_v_frame=NAVD88&amp;s_v_unit=us_ft&amp;t_h_frame=IGS14&amp;t_coor=geo&amp;t_v_frame=MLLW&amp;t_v_unit=us_ft", "Missing")</f>
        <v>0</v>
      </c>
      <c r="T570" s="2">
        <f>HYPERLINK("https://vdatum.noaa.gov/vdatumweb/api/convert?s_x=-122.316&amp;s_y=47.5304&amp;s_z=0.0&amp;region=westcoast&amp;s_h_frame=NAD83_2011&amp;s_coor=geo&amp;s_v_frame=NAVD88&amp;s_v_unit=us_ft&amp;t_h_frame=IGS14&amp;t_coor=geo&amp;t_v_frame=MHHW&amp;t_v_unit=us_ft", "Missing")</f>
        <v>0</v>
      </c>
    </row>
    <row r="571" spans="1:20">
      <c r="A571" s="1" t="s">
        <v>595</v>
      </c>
      <c r="B571" s="1" t="s">
        <v>642</v>
      </c>
      <c r="C571" s="1" t="s">
        <v>651</v>
      </c>
      <c r="D571" s="1" t="s">
        <v>655</v>
      </c>
      <c r="E571" s="1" t="s">
        <v>825</v>
      </c>
      <c r="F571" s="1" t="s">
        <v>853</v>
      </c>
      <c r="G571" s="1" t="s">
        <v>858</v>
      </c>
      <c r="H571" s="1">
        <v>-122.339</v>
      </c>
      <c r="I571" s="1">
        <v>47.60194</v>
      </c>
      <c r="J571" s="1">
        <f>HYPERLINK("https://tidesandcurrents.noaa.gov/stationhome.html?id=9447130", "9447130")</f>
        <v>0</v>
      </c>
      <c r="K571" s="1" t="s">
        <v>861</v>
      </c>
      <c r="L571" s="1" t="s">
        <v>866</v>
      </c>
      <c r="M571" s="1">
        <v>945334</v>
      </c>
      <c r="N571" s="1">
        <v>0</v>
      </c>
      <c r="O571" s="1" t="s">
        <v>872</v>
      </c>
      <c r="P571" s="1" t="s">
        <v>877</v>
      </c>
      <c r="Q571" s="1">
        <v>2.3</v>
      </c>
      <c r="R571" s="1">
        <v>-9.058</v>
      </c>
      <c r="S571" s="2">
        <f>HYPERLINK("https://vdatum.noaa.gov/vdatumweb/api/convert?s_x=-122.339&amp;s_y=47.60194&amp;s_z=0.0&amp;region=westcoast&amp;s_h_frame=NAD83_2011&amp;s_coor=geo&amp;s_v_frame=NAVD88&amp;s_v_unit=us_ft&amp;t_h_frame=IGS14&amp;t_coor=geo&amp;t_v_frame=MLLW&amp;t_v_unit=us_ft", "NAVD88 to MLLW")</f>
        <v>0</v>
      </c>
      <c r="T571" s="2">
        <f>HYPERLINK("https://vdatum.noaa.gov/vdatumweb/api/convert?s_x=-122.339&amp;s_y=47.60194&amp;s_z=0.0&amp;region=westcoast&amp;s_h_frame=NAD83_2011&amp;s_coor=geo&amp;s_v_frame=NAVD88&amp;s_v_unit=us_ft&amp;t_h_frame=IGS14&amp;t_coor=geo&amp;t_v_frame=MHHW&amp;t_v_unit=us_ft", "NAVD88 to MHHW")</f>
        <v>0</v>
      </c>
    </row>
    <row r="572" spans="1:20">
      <c r="A572" s="1" t="s">
        <v>596</v>
      </c>
      <c r="B572" s="1" t="s">
        <v>642</v>
      </c>
      <c r="D572" s="1" t="s">
        <v>655</v>
      </c>
      <c r="H572" s="1">
        <v>-122.42</v>
      </c>
      <c r="I572" s="1">
        <v>47.67</v>
      </c>
      <c r="J572" s="1">
        <f>HYPERLINK("https://tidesandcurrents.noaa.gov/stationhome.html?id=9447214", "9447214")</f>
        <v>0</v>
      </c>
      <c r="K572" s="1" t="s">
        <v>861</v>
      </c>
      <c r="L572" s="1" t="s">
        <v>866</v>
      </c>
      <c r="M572" s="1">
        <v>1680564</v>
      </c>
      <c r="N572" s="1">
        <v>0</v>
      </c>
      <c r="O572" s="1" t="s">
        <v>872</v>
      </c>
      <c r="P572" s="1" t="s">
        <v>877</v>
      </c>
      <c r="Q572" s="1">
        <v>2.274</v>
      </c>
      <c r="R572" s="1">
        <v>-8.875</v>
      </c>
      <c r="S572" s="2">
        <f>HYPERLINK("https://vdatum.noaa.gov/vdatumweb/api/convert?s_x=-122.42&amp;s_y=47.67&amp;s_z=0.0&amp;region=westcoast&amp;s_h_frame=NAD83_2011&amp;s_coor=geo&amp;s_v_frame=NAVD88&amp;s_v_unit=us_ft&amp;t_h_frame=IGS14&amp;t_coor=geo&amp;t_v_frame=MLLW&amp;t_v_unit=us_ft", "NAVD88 to MLLW")</f>
        <v>0</v>
      </c>
      <c r="T572" s="2">
        <f>HYPERLINK("https://vdatum.noaa.gov/vdatumweb/api/convert?s_x=-122.42&amp;s_y=47.67&amp;s_z=0.0&amp;region=westcoast&amp;s_h_frame=NAD83_2011&amp;s_coor=geo&amp;s_v_frame=NAVD88&amp;s_v_unit=us_ft&amp;t_h_frame=IGS14&amp;t_coor=geo&amp;t_v_frame=MHHW&amp;t_v_unit=us_ft", "NAVD88 to MHHW")</f>
        <v>0</v>
      </c>
    </row>
    <row r="573" spans="1:20">
      <c r="A573" s="1" t="s">
        <v>597</v>
      </c>
      <c r="B573" s="1" t="s">
        <v>642</v>
      </c>
      <c r="D573" s="1" t="s">
        <v>655</v>
      </c>
      <c r="H573" s="1">
        <v>-122.57</v>
      </c>
      <c r="I573" s="1">
        <v>48.105</v>
      </c>
      <c r="J573" s="1">
        <f>HYPERLINK("https://tidesandcurrents.noaa.gov/stationhome.html?id=9447883", "9447883")</f>
        <v>0</v>
      </c>
      <c r="K573" s="1" t="s">
        <v>861</v>
      </c>
      <c r="L573" s="1" t="s">
        <v>866</v>
      </c>
      <c r="M573" s="1">
        <v>1467272</v>
      </c>
      <c r="N573" s="1">
        <v>0</v>
      </c>
      <c r="O573" s="1" t="s">
        <v>872</v>
      </c>
      <c r="P573" s="1" t="s">
        <v>877</v>
      </c>
      <c r="Q573" s="1">
        <v>2.336</v>
      </c>
      <c r="R573" s="1">
        <v>-9.058</v>
      </c>
      <c r="S573" s="2">
        <f>HYPERLINK("https://vdatum.noaa.gov/vdatumweb/api/convert?s_x=-122.57&amp;s_y=48.105&amp;s_z=0.0&amp;region=westcoast&amp;s_h_frame=NAD83_2011&amp;s_coor=geo&amp;s_v_frame=NAVD88&amp;s_v_unit=us_ft&amp;t_h_frame=IGS14&amp;t_coor=geo&amp;t_v_frame=MLLW&amp;t_v_unit=us_ft", "NAVD88 to MLLW")</f>
        <v>0</v>
      </c>
      <c r="T573" s="2">
        <f>HYPERLINK("https://vdatum.noaa.gov/vdatumweb/api/convert?s_x=-122.57&amp;s_y=48.105&amp;s_z=0.0&amp;region=westcoast&amp;s_h_frame=NAD83_2011&amp;s_coor=geo&amp;s_v_frame=NAVD88&amp;s_v_unit=us_ft&amp;t_h_frame=IGS14&amp;t_coor=geo&amp;t_v_frame=MHHW&amp;t_v_unit=us_ft", "NAVD88 to MHHW")</f>
        <v>0</v>
      </c>
    </row>
    <row r="574" spans="1:20">
      <c r="A574" s="1" t="s">
        <v>598</v>
      </c>
      <c r="B574" s="1" t="s">
        <v>642</v>
      </c>
      <c r="D574" s="1" t="s">
        <v>655</v>
      </c>
      <c r="E574" s="1" t="s">
        <v>826</v>
      </c>
      <c r="F574" s="1" t="s">
        <v>853</v>
      </c>
      <c r="G574" s="1" t="s">
        <v>858</v>
      </c>
      <c r="H574" s="1">
        <v>-122.513</v>
      </c>
      <c r="I574" s="1">
        <v>48.4583</v>
      </c>
      <c r="J574" s="1">
        <f>HYPERLINK("https://tidesandcurrents.noaa.gov/stationhome.html?id=9448682", "9448682")</f>
        <v>0</v>
      </c>
      <c r="K574" s="1" t="s">
        <v>861</v>
      </c>
      <c r="L574" s="1" t="s">
        <v>866</v>
      </c>
      <c r="M574" s="1">
        <v>2903621</v>
      </c>
      <c r="N574" s="1">
        <v>0</v>
      </c>
      <c r="O574" s="1" t="s">
        <v>872</v>
      </c>
      <c r="P574" s="1" t="s">
        <v>877</v>
      </c>
      <c r="Q574" s="1">
        <v>0.548</v>
      </c>
      <c r="R574" s="1">
        <v>-8.257999999999999</v>
      </c>
      <c r="S574" s="2">
        <f>HYPERLINK("https://vdatum.noaa.gov/vdatumweb/api/convert?s_x=-122.513&amp;s_y=48.4583&amp;s_z=0.0&amp;region=westcoast&amp;s_h_frame=NAD83_2011&amp;s_coor=geo&amp;s_v_frame=NAVD88&amp;s_v_unit=us_ft&amp;t_h_frame=IGS14&amp;t_coor=geo&amp;t_v_frame=MLLW&amp;t_v_unit=us_ft", "NAVD88 to MLLW")</f>
        <v>0</v>
      </c>
      <c r="T574" s="2">
        <f>HYPERLINK("https://vdatum.noaa.gov/vdatumweb/api/convert?s_x=-122.513&amp;s_y=48.4583&amp;s_z=0.0&amp;region=westcoast&amp;s_h_frame=NAD83_2011&amp;s_coor=geo&amp;s_v_frame=NAVD88&amp;s_v_unit=us_ft&amp;t_h_frame=IGS14&amp;t_coor=geo&amp;t_v_frame=MHHW&amp;t_v_unit=us_ft", "NAVD88 to MHHW")</f>
        <v>0</v>
      </c>
    </row>
    <row r="575" spans="1:20">
      <c r="A575" s="1" t="s">
        <v>599</v>
      </c>
      <c r="B575" s="1" t="s">
        <v>642</v>
      </c>
      <c r="D575" s="1" t="s">
        <v>655</v>
      </c>
      <c r="H575" s="1">
        <v>-122.758</v>
      </c>
      <c r="I575" s="1">
        <v>48.8633</v>
      </c>
      <c r="J575" s="1">
        <f>HYPERLINK("https://tidesandcurrents.noaa.gov/stationhome.html?id=9449424", "9449424")</f>
        <v>0</v>
      </c>
      <c r="K575" s="1" t="s">
        <v>861</v>
      </c>
      <c r="L575" s="1" t="s">
        <v>866</v>
      </c>
      <c r="M575" s="1">
        <v>794418</v>
      </c>
      <c r="N575" s="1">
        <v>1.317</v>
      </c>
      <c r="O575" s="1" t="s">
        <v>872</v>
      </c>
      <c r="P575" s="1" t="s">
        <v>877</v>
      </c>
      <c r="Q575" s="1">
        <v>0.886</v>
      </c>
      <c r="R575" s="1">
        <v>-8.260999999999999</v>
      </c>
      <c r="S575" s="2">
        <f>HYPERLINK("https://vdatum.noaa.gov/vdatumweb/api/convert?s_x=-122.758&amp;s_y=48.8633&amp;s_z=0.0&amp;region=westcoast&amp;s_h_frame=NAD83_2011&amp;s_coor=geo&amp;s_v_frame=NAVD88&amp;s_v_unit=us_ft&amp;t_h_frame=IGS14&amp;t_coor=geo&amp;t_v_frame=MLLW&amp;t_v_unit=us_ft", "NAVD88 to MLLW")</f>
        <v>0</v>
      </c>
      <c r="T575" s="2">
        <f>HYPERLINK("https://vdatum.noaa.gov/vdatumweb/api/convert?s_x=-122.758&amp;s_y=48.8633&amp;s_z=0.0&amp;region=westcoast&amp;s_h_frame=NAD83_2011&amp;s_coor=geo&amp;s_v_frame=NAVD88&amp;s_v_unit=us_ft&amp;t_h_frame=IGS14&amp;t_coor=geo&amp;t_v_frame=MHHW&amp;t_v_unit=us_ft", "NAVD88 to MHHW")</f>
        <v>0</v>
      </c>
    </row>
    <row r="576" spans="1:20">
      <c r="A576" s="1" t="s">
        <v>600</v>
      </c>
      <c r="B576" s="1" t="s">
        <v>642</v>
      </c>
      <c r="C576" s="1" t="s">
        <v>651</v>
      </c>
      <c r="D576" s="1" t="s">
        <v>655</v>
      </c>
      <c r="E576" s="1" t="s">
        <v>827</v>
      </c>
      <c r="F576" s="1" t="s">
        <v>853</v>
      </c>
      <c r="G576" s="1" t="s">
        <v>858</v>
      </c>
      <c r="H576" s="1">
        <v>-123.083</v>
      </c>
      <c r="I576" s="1">
        <v>48.975</v>
      </c>
      <c r="J576" s="1">
        <f>HYPERLINK("https://tidesandcurrents.noaa.gov/stationhome.html?id=9449639", "9449639")</f>
        <v>0</v>
      </c>
      <c r="K576" s="1" t="s">
        <v>861</v>
      </c>
      <c r="L576" s="1" t="s">
        <v>866</v>
      </c>
      <c r="M576" s="1">
        <v>629466</v>
      </c>
      <c r="N576" s="1">
        <v>0</v>
      </c>
      <c r="O576" s="1" t="s">
        <v>872</v>
      </c>
      <c r="P576" s="1" t="s">
        <v>877</v>
      </c>
      <c r="Q576" s="1">
        <v>1.109</v>
      </c>
      <c r="R576" s="1">
        <v>-8.661</v>
      </c>
      <c r="S576" s="2">
        <f>HYPERLINK("https://vdatum.noaa.gov/vdatumweb/api/convert?s_x=-123.083&amp;s_y=48.975&amp;s_z=0.0&amp;region=westcoast&amp;s_h_frame=NAD83_2011&amp;s_coor=geo&amp;s_v_frame=NAVD88&amp;s_v_unit=us_ft&amp;t_h_frame=IGS14&amp;t_coor=geo&amp;t_v_frame=MLLW&amp;t_v_unit=us_ft", "NAVD88 to MLLW")</f>
        <v>0</v>
      </c>
      <c r="T576" s="2">
        <f>HYPERLINK("https://vdatum.noaa.gov/vdatumweb/api/convert?s_x=-123.083&amp;s_y=48.975&amp;s_z=0.0&amp;region=westcoast&amp;s_h_frame=NAD83_2011&amp;s_coor=geo&amp;s_v_frame=NAVD88&amp;s_v_unit=us_ft&amp;t_h_frame=IGS14&amp;t_coor=geo&amp;t_v_frame=MHHW&amp;t_v_unit=us_ft", "NAVD88 to MHHW")</f>
        <v>0</v>
      </c>
    </row>
    <row r="577" spans="1:20">
      <c r="A577" s="1" t="s">
        <v>601</v>
      </c>
      <c r="B577" s="1" t="s">
        <v>642</v>
      </c>
      <c r="C577" s="1" t="s">
        <v>651</v>
      </c>
      <c r="D577" s="1" t="s">
        <v>655</v>
      </c>
      <c r="E577" s="1" t="s">
        <v>828</v>
      </c>
      <c r="F577" s="1" t="s">
        <v>853</v>
      </c>
      <c r="G577" s="1" t="s">
        <v>858</v>
      </c>
      <c r="H577" s="1">
        <v>-122.87</v>
      </c>
      <c r="I577" s="1">
        <v>48.65</v>
      </c>
      <c r="J577" s="1">
        <f>HYPERLINK("https://tidesandcurrents.noaa.gov/stationhome.html?id=9449711", "9449711")</f>
        <v>0</v>
      </c>
      <c r="K577" s="1" t="s">
        <v>861</v>
      </c>
      <c r="L577" s="1" t="s">
        <v>866</v>
      </c>
      <c r="M577" s="1">
        <v>2466439</v>
      </c>
      <c r="N577" s="1">
        <v>0</v>
      </c>
      <c r="O577" s="1" t="s">
        <v>872</v>
      </c>
      <c r="P577" s="1" t="s">
        <v>877</v>
      </c>
      <c r="Q577" s="1">
        <v>0.659</v>
      </c>
      <c r="R577" s="1">
        <v>-7.277</v>
      </c>
      <c r="S577" s="2">
        <f>HYPERLINK("https://vdatum.noaa.gov/vdatumweb/api/convert?s_x=-122.87&amp;s_y=48.65&amp;s_z=0.0&amp;region=westcoast&amp;s_h_frame=NAD83_2011&amp;s_coor=geo&amp;s_v_frame=NAVD88&amp;s_v_unit=us_ft&amp;t_h_frame=IGS14&amp;t_coor=geo&amp;t_v_frame=MLLW&amp;t_v_unit=us_ft", "NAVD88 to MLLW")</f>
        <v>0</v>
      </c>
      <c r="T577" s="2">
        <f>HYPERLINK("https://vdatum.noaa.gov/vdatumweb/api/convert?s_x=-122.87&amp;s_y=48.65&amp;s_z=0.0&amp;region=westcoast&amp;s_h_frame=NAD83_2011&amp;s_coor=geo&amp;s_v_frame=NAVD88&amp;s_v_unit=us_ft&amp;t_h_frame=IGS14&amp;t_coor=geo&amp;t_v_frame=MHHW&amp;t_v_unit=us_ft", "NAVD88 to MHHW")</f>
        <v>0</v>
      </c>
    </row>
    <row r="578" spans="1:20">
      <c r="A578" s="1" t="s">
        <v>602</v>
      </c>
      <c r="B578" s="1" t="s">
        <v>642</v>
      </c>
      <c r="C578" s="1" t="s">
        <v>651</v>
      </c>
      <c r="D578" s="1" t="s">
        <v>655</v>
      </c>
      <c r="E578" s="1" t="s">
        <v>828</v>
      </c>
      <c r="F578" s="1" t="s">
        <v>853</v>
      </c>
      <c r="G578" s="1" t="s">
        <v>858</v>
      </c>
      <c r="H578" s="1">
        <v>-123.083</v>
      </c>
      <c r="I578" s="1">
        <v>48.485</v>
      </c>
      <c r="J578" s="1">
        <f>HYPERLINK("https://tidesandcurrents.noaa.gov/stationhome.html?id=9449856", "9449856")</f>
        <v>0</v>
      </c>
      <c r="K578" s="1" t="s">
        <v>861</v>
      </c>
      <c r="L578" s="1" t="s">
        <v>866</v>
      </c>
      <c r="M578" s="1">
        <v>937204</v>
      </c>
      <c r="N578" s="1">
        <v>0</v>
      </c>
      <c r="O578" s="1" t="s">
        <v>872</v>
      </c>
      <c r="P578" s="1" t="s">
        <v>877</v>
      </c>
      <c r="Q578" s="1">
        <v>0.459</v>
      </c>
      <c r="R578" s="1">
        <v>-6.811</v>
      </c>
      <c r="S578" s="2">
        <f>HYPERLINK("https://vdatum.noaa.gov/vdatumweb/api/convert?s_x=-123.083&amp;s_y=48.485&amp;s_z=0.0&amp;region=westcoast&amp;s_h_frame=NAD83_2011&amp;s_coor=geo&amp;s_v_frame=NAVD88&amp;s_v_unit=us_ft&amp;t_h_frame=IGS14&amp;t_coor=geo&amp;t_v_frame=MLLW&amp;t_v_unit=us_ft", "NAVD88 to MLLW")</f>
        <v>0</v>
      </c>
      <c r="T578" s="2">
        <f>HYPERLINK("https://vdatum.noaa.gov/vdatumweb/api/convert?s_x=-123.083&amp;s_y=48.485&amp;s_z=0.0&amp;region=westcoast&amp;s_h_frame=NAD83_2011&amp;s_coor=geo&amp;s_v_frame=NAVD88&amp;s_v_unit=us_ft&amp;t_h_frame=IGS14&amp;t_coor=geo&amp;t_v_frame=MHHW&amp;t_v_unit=us_ft", "NAVD88 to MHHW")</f>
        <v>0</v>
      </c>
    </row>
    <row r="579" spans="1:20">
      <c r="A579" s="1" t="s">
        <v>603</v>
      </c>
      <c r="B579" s="1" t="s">
        <v>642</v>
      </c>
      <c r="C579" s="1" t="s">
        <v>651</v>
      </c>
      <c r="D579" s="1" t="s">
        <v>655</v>
      </c>
      <c r="E579" s="1" t="s">
        <v>828</v>
      </c>
      <c r="F579" s="1" t="s">
        <v>853</v>
      </c>
      <c r="G579" s="1" t="s">
        <v>858</v>
      </c>
      <c r="H579" s="1">
        <v>-123.01</v>
      </c>
      <c r="I579" s="1">
        <v>48.5467</v>
      </c>
      <c r="J579" s="1">
        <f>HYPERLINK("https://tidesandcurrents.noaa.gov/stationhome.html?id=9449880", "9449880")</f>
        <v>0</v>
      </c>
      <c r="K579" s="1" t="s">
        <v>860</v>
      </c>
      <c r="L579" s="1" t="s">
        <v>866</v>
      </c>
      <c r="M579" s="1">
        <v>1067298</v>
      </c>
      <c r="N579" s="1">
        <v>1.272</v>
      </c>
      <c r="O579" s="1" t="s">
        <v>872</v>
      </c>
      <c r="P579" s="1" t="s">
        <v>877</v>
      </c>
      <c r="Q579" s="1">
        <v>0.463</v>
      </c>
      <c r="R579" s="1">
        <v>-7.3</v>
      </c>
      <c r="S579" s="2">
        <f>HYPERLINK("https://vdatum.noaa.gov/vdatumweb/api/convert?s_x=-123.01&amp;s_y=48.5467&amp;s_z=0.0&amp;region=westcoast&amp;s_h_frame=NAD83_2011&amp;s_coor=geo&amp;s_v_frame=NAVD88&amp;s_v_unit=us_ft&amp;t_h_frame=IGS14&amp;t_coor=geo&amp;t_v_frame=MLLW&amp;t_v_unit=us_ft", "NAVD88 to MLLW")</f>
        <v>0</v>
      </c>
      <c r="T579" s="2">
        <f>HYPERLINK("https://vdatum.noaa.gov/vdatumweb/api/convert?s_x=-123.01&amp;s_y=48.5467&amp;s_z=0.0&amp;region=westcoast&amp;s_h_frame=NAD83_2011&amp;s_coor=geo&amp;s_v_frame=NAVD88&amp;s_v_unit=us_ft&amp;t_h_frame=IGS14&amp;t_coor=geo&amp;t_v_frame=MHHW&amp;t_v_unit=us_ft", "NAVD88 to MHHW")</f>
        <v>0</v>
      </c>
    </row>
    <row r="580" spans="1:20">
      <c r="A580" s="1" t="s">
        <v>604</v>
      </c>
      <c r="B580" s="1" t="s">
        <v>642</v>
      </c>
      <c r="C580" s="1" t="s">
        <v>651</v>
      </c>
      <c r="D580" s="1" t="s">
        <v>655</v>
      </c>
      <c r="E580" s="1" t="s">
        <v>828</v>
      </c>
      <c r="F580" s="1" t="s">
        <v>853</v>
      </c>
      <c r="G580" s="1" t="s">
        <v>858</v>
      </c>
      <c r="H580" s="1">
        <v>-122.885</v>
      </c>
      <c r="I580" s="1">
        <v>48.5717</v>
      </c>
      <c r="J580" s="1">
        <f>HYPERLINK("https://tidesandcurrents.noaa.gov/stationhome.html?id=9449911", "9449911")</f>
        <v>0</v>
      </c>
      <c r="K580" s="1" t="s">
        <v>861</v>
      </c>
      <c r="L580" s="1" t="s">
        <v>866</v>
      </c>
      <c r="M580" s="1">
        <v>2508966</v>
      </c>
      <c r="N580" s="1">
        <v>0</v>
      </c>
      <c r="O580" s="1" t="s">
        <v>872</v>
      </c>
      <c r="P580" s="1" t="s">
        <v>877</v>
      </c>
      <c r="Q580" s="1">
        <v>0.463</v>
      </c>
      <c r="R580" s="1">
        <v>-7.323</v>
      </c>
      <c r="S580" s="2">
        <f>HYPERLINK("https://vdatum.noaa.gov/vdatumweb/api/convert?s_x=-122.885&amp;s_y=48.5717&amp;s_z=0.0&amp;region=westcoast&amp;s_h_frame=NAD83_2011&amp;s_coor=geo&amp;s_v_frame=NAVD88&amp;s_v_unit=us_ft&amp;t_h_frame=IGS14&amp;t_coor=geo&amp;t_v_frame=MLLW&amp;t_v_unit=us_ft", "NAVD88 to MLLW")</f>
        <v>0</v>
      </c>
      <c r="T580" s="2">
        <f>HYPERLINK("https://vdatum.noaa.gov/vdatumweb/api/convert?s_x=-122.885&amp;s_y=48.5717&amp;s_z=0.0&amp;region=westcoast&amp;s_h_frame=NAD83_2011&amp;s_coor=geo&amp;s_v_frame=NAVD88&amp;s_v_unit=us_ft&amp;t_h_frame=IGS14&amp;t_coor=geo&amp;t_v_frame=MHHW&amp;t_v_unit=us_ft", "NAVD88 to MHHW")</f>
        <v>0</v>
      </c>
    </row>
    <row r="581" spans="1:20">
      <c r="A581" s="1" t="s">
        <v>605</v>
      </c>
      <c r="B581" s="1" t="s">
        <v>642</v>
      </c>
      <c r="D581" s="1" t="s">
        <v>655</v>
      </c>
      <c r="E581" s="1" t="s">
        <v>828</v>
      </c>
      <c r="F581" s="1" t="s">
        <v>853</v>
      </c>
      <c r="G581" s="1" t="s">
        <v>858</v>
      </c>
      <c r="H581" s="1">
        <v>-122.797</v>
      </c>
      <c r="I581" s="1">
        <v>48.535</v>
      </c>
      <c r="J581" s="1">
        <f>HYPERLINK("https://tidesandcurrents.noaa.gov/stationhome.html?id=9449932", "9449932")</f>
        <v>0</v>
      </c>
      <c r="K581" s="1" t="s">
        <v>861</v>
      </c>
      <c r="L581" s="1" t="s">
        <v>866</v>
      </c>
      <c r="M581" s="1">
        <v>2081125</v>
      </c>
      <c r="N581" s="1">
        <v>0</v>
      </c>
      <c r="O581" s="1" t="s">
        <v>872</v>
      </c>
      <c r="P581" s="1" t="s">
        <v>877</v>
      </c>
      <c r="Q581" s="1">
        <v>0.499</v>
      </c>
      <c r="R581" s="1">
        <v>-7.303</v>
      </c>
      <c r="S581" s="2">
        <f>HYPERLINK("https://vdatum.noaa.gov/vdatumweb/api/convert?s_x=-122.797&amp;s_y=48.535&amp;s_z=0.0&amp;region=westcoast&amp;s_h_frame=NAD83_2011&amp;s_coor=geo&amp;s_v_frame=NAVD88&amp;s_v_unit=us_ft&amp;t_h_frame=IGS14&amp;t_coor=geo&amp;t_v_frame=MLLW&amp;t_v_unit=us_ft", "NAVD88 to MLLW")</f>
        <v>0</v>
      </c>
      <c r="T581" s="2">
        <f>HYPERLINK("https://vdatum.noaa.gov/vdatumweb/api/convert?s_x=-122.797&amp;s_y=48.535&amp;s_z=0.0&amp;region=westcoast&amp;s_h_frame=NAD83_2011&amp;s_coor=geo&amp;s_v_frame=NAVD88&amp;s_v_unit=us_ft&amp;t_h_frame=IGS14&amp;t_coor=geo&amp;t_v_frame=MHHW&amp;t_v_unit=us_ft", "NAVD88 to MHHW")</f>
        <v>0</v>
      </c>
    </row>
    <row r="582" spans="1:20">
      <c r="A582" s="1" t="s">
        <v>606</v>
      </c>
      <c r="B582" s="1" t="s">
        <v>642</v>
      </c>
      <c r="D582" s="1" t="s">
        <v>655</v>
      </c>
      <c r="H582" s="1">
        <v>-122.805</v>
      </c>
      <c r="I582" s="1">
        <v>48.4433</v>
      </c>
      <c r="J582" s="1">
        <f>HYPERLINK("https://tidesandcurrents.noaa.gov/stationhome.html?id=9449988", "9449988")</f>
        <v>0</v>
      </c>
      <c r="K582" s="1" t="s">
        <v>861</v>
      </c>
      <c r="L582" s="1" t="s">
        <v>866</v>
      </c>
      <c r="M582" s="1">
        <v>628254</v>
      </c>
      <c r="N582" s="1">
        <v>0</v>
      </c>
      <c r="O582" s="1" t="s">
        <v>872</v>
      </c>
      <c r="P582" s="1" t="s">
        <v>877</v>
      </c>
      <c r="Q582" s="1">
        <v>-0.354</v>
      </c>
      <c r="R582" s="1">
        <v>-6.637</v>
      </c>
      <c r="S582" s="2">
        <f>HYPERLINK("https://vdatum.noaa.gov/vdatumweb/api/convert?s_x=-122.805&amp;s_y=48.4433&amp;s_z=0.0&amp;region=westcoast&amp;s_h_frame=NAD83_2011&amp;s_coor=geo&amp;s_v_frame=NAVD88&amp;s_v_unit=us_ft&amp;t_h_frame=IGS14&amp;t_coor=geo&amp;t_v_frame=MLLW&amp;t_v_unit=us_ft", "NAVD88 to MLLW")</f>
        <v>0</v>
      </c>
      <c r="T582" s="2">
        <f>HYPERLINK("https://vdatum.noaa.gov/vdatumweb/api/convert?s_x=-122.805&amp;s_y=48.4433&amp;s_z=0.0&amp;region=westcoast&amp;s_h_frame=NAD83_2011&amp;s_coor=geo&amp;s_v_frame=NAVD88&amp;s_v_unit=us_ft&amp;t_h_frame=IGS14&amp;t_coor=geo&amp;t_v_frame=MHHW&amp;t_v_unit=us_ft", "NAVD88 to MHHW")</f>
        <v>0</v>
      </c>
    </row>
    <row r="583" spans="1:20">
      <c r="A583" s="1" t="s">
        <v>607</v>
      </c>
      <c r="B583" s="1" t="s">
        <v>643</v>
      </c>
      <c r="C583" s="1" t="s">
        <v>650</v>
      </c>
      <c r="D583" s="1" t="s">
        <v>655</v>
      </c>
      <c r="H583" s="1">
        <v>-117.174</v>
      </c>
      <c r="I583" s="1">
        <v>32.71419</v>
      </c>
      <c r="J583" s="1">
        <f>HYPERLINK("https://tidesandcurrents.noaa.gov/stationhome.html?id=9410170", "9410170")</f>
        <v>0</v>
      </c>
      <c r="K583" s="1" t="s">
        <v>861</v>
      </c>
      <c r="L583" s="1" t="s">
        <v>866</v>
      </c>
      <c r="M583" s="1">
        <v>1099838</v>
      </c>
      <c r="N583" s="1">
        <v>0</v>
      </c>
      <c r="O583" s="1" t="s">
        <v>872</v>
      </c>
      <c r="P583" s="1" t="s">
        <v>877</v>
      </c>
      <c r="Q583" s="1">
        <v>0.459</v>
      </c>
      <c r="R583" s="1">
        <v>-5.262</v>
      </c>
      <c r="S583" s="2">
        <f>HYPERLINK("https://vdatum.noaa.gov/vdatumweb/api/convert?s_x=-117.174&amp;s_y=32.71419&amp;s_z=0.0&amp;region=westcoast&amp;s_h_frame=NAD83_2011&amp;s_coor=geo&amp;s_v_frame=NAVD88&amp;s_v_unit=us_ft&amp;t_h_frame=IGS14&amp;t_coor=geo&amp;t_v_frame=MLLW&amp;t_v_unit=us_ft", "NAVD88 to MLLW")</f>
        <v>0</v>
      </c>
      <c r="T583" s="2">
        <f>HYPERLINK("https://vdatum.noaa.gov/vdatumweb/api/convert?s_x=-117.174&amp;s_y=32.71419&amp;s_z=0.0&amp;region=westcoast&amp;s_h_frame=NAD83_2011&amp;s_coor=geo&amp;s_v_frame=NAVD88&amp;s_v_unit=us_ft&amp;t_h_frame=IGS14&amp;t_coor=geo&amp;t_v_frame=MHHW&amp;t_v_unit=us_ft", "NAVD88 to MHHW")</f>
        <v>0</v>
      </c>
    </row>
    <row r="584" spans="1:20">
      <c r="A584" s="1" t="s">
        <v>608</v>
      </c>
      <c r="B584" s="1" t="s">
        <v>643</v>
      </c>
      <c r="D584" s="1" t="s">
        <v>655</v>
      </c>
      <c r="H584" s="1">
        <v>-117.257</v>
      </c>
      <c r="I584" s="1">
        <v>32.86689</v>
      </c>
      <c r="J584" s="1">
        <f>HYPERLINK("https://tidesandcurrents.noaa.gov/stationhome.html?id=9410230", "9410230")</f>
        <v>0</v>
      </c>
      <c r="K584" s="1" t="s">
        <v>861</v>
      </c>
      <c r="L584" s="1" t="s">
        <v>866</v>
      </c>
      <c r="M584" s="1">
        <v>613464</v>
      </c>
      <c r="N584" s="1">
        <v>0</v>
      </c>
      <c r="O584" s="1" t="s">
        <v>872</v>
      </c>
      <c r="P584" s="1" t="s">
        <v>877</v>
      </c>
      <c r="Q584" s="1">
        <v>0.161</v>
      </c>
      <c r="R584" s="1">
        <v>-5.167</v>
      </c>
      <c r="S584" s="2">
        <f>HYPERLINK("https://vdatum.noaa.gov/vdatumweb/api/convert?s_x=-117.257&amp;s_y=32.86689&amp;s_z=0.0&amp;region=westcoast&amp;s_h_frame=NAD83_2011&amp;s_coor=geo&amp;s_v_frame=NAVD88&amp;s_v_unit=us_ft&amp;t_h_frame=IGS14&amp;t_coor=geo&amp;t_v_frame=MLLW&amp;t_v_unit=us_ft", "NAVD88 to MLLW")</f>
        <v>0</v>
      </c>
      <c r="T584" s="2">
        <f>HYPERLINK("https://vdatum.noaa.gov/vdatumweb/api/convert?s_x=-117.257&amp;s_y=32.86689&amp;s_z=0.0&amp;region=westcoast&amp;s_h_frame=NAD83_2011&amp;s_coor=geo&amp;s_v_frame=NAVD88&amp;s_v_unit=us_ft&amp;t_h_frame=IGS14&amp;t_coor=geo&amp;t_v_frame=MHHW&amp;t_v_unit=us_ft", "NAVD88 to MHHW")</f>
        <v>0</v>
      </c>
    </row>
    <row r="585" spans="1:20">
      <c r="A585" s="1" t="s">
        <v>609</v>
      </c>
      <c r="C585" s="1" t="s">
        <v>646</v>
      </c>
      <c r="E585" s="1" t="s">
        <v>829</v>
      </c>
      <c r="F585" s="1" t="s">
        <v>834</v>
      </c>
      <c r="G585" s="1" t="s">
        <v>854</v>
      </c>
      <c r="H585" s="1">
        <v>-70.0964</v>
      </c>
      <c r="I585" s="1">
        <v>41.28528</v>
      </c>
      <c r="J585" s="1">
        <f>HYPERLINK("https://tidesandcurrents.noaa.gov/stationhome.html?id=8449130", "8449130")</f>
        <v>0</v>
      </c>
      <c r="K585" s="1" t="s">
        <v>860</v>
      </c>
      <c r="L585" s="1" t="s">
        <v>866</v>
      </c>
      <c r="M585" s="1">
        <v>4716462</v>
      </c>
      <c r="N585" s="1">
        <v>-0.082</v>
      </c>
      <c r="O585" s="1" t="s">
        <v>869</v>
      </c>
      <c r="P585" s="1" t="s">
        <v>874</v>
      </c>
      <c r="Q585" s="1">
        <v>2.04</v>
      </c>
      <c r="R585" s="1">
        <v>-1.536</v>
      </c>
      <c r="S585" s="2">
        <f>HYPERLINK("https://vdatum.noaa.gov/vdatumweb/api/convert?s_x=-70.0964&amp;s_y=41.28528&amp;s_z=0.0&amp;region=contiguous&amp;s_h_frame=NAD83_2011&amp;s_coor=geo&amp;s_v_frame=NAVD88&amp;s_v_unit=us_ft&amp;t_h_frame=NAD83_2011&amp;t_coor=geo&amp;t_v_frame=MLLW&amp;t_v_unit=us_ft", "NAVD88 to MLLW")</f>
        <v>0</v>
      </c>
      <c r="T585" s="2">
        <f>HYPERLINK("https://vdatum.noaa.gov/vdatumweb/api/convert?s_x=-70.0964&amp;s_y=41.28528&amp;s_z=0.0&amp;region=contiguous&amp;s_h_frame=NAD83_2011&amp;s_coor=geo&amp;s_v_frame=NAVD88&amp;s_v_unit=us_ft&amp;t_h_frame=NAD83_2011&amp;t_coor=geo&amp;t_v_frame=MHHW&amp;t_v_unit=us_ft", "NAVD88 to MHHW")</f>
        <v>0</v>
      </c>
    </row>
    <row r="586" spans="1:20">
      <c r="A586" s="1" t="s">
        <v>610</v>
      </c>
      <c r="E586" s="1" t="s">
        <v>732</v>
      </c>
      <c r="F586" s="1" t="s">
        <v>842</v>
      </c>
      <c r="G586" s="1" t="s">
        <v>854</v>
      </c>
      <c r="H586" s="1">
        <v>-74.95999999999999</v>
      </c>
      <c r="I586" s="1">
        <v>38.9683</v>
      </c>
      <c r="J586" s="1">
        <f>HYPERLINK("https://tidesandcurrents.noaa.gov/stationhome.html?id=8536110", "8536110")</f>
        <v>0</v>
      </c>
      <c r="K586" s="1" t="s">
        <v>860</v>
      </c>
      <c r="L586" s="1" t="s">
        <v>866</v>
      </c>
      <c r="M586" s="1">
        <v>3646190</v>
      </c>
      <c r="N586" s="1">
        <v>0</v>
      </c>
      <c r="O586" s="1" t="s">
        <v>869</v>
      </c>
      <c r="P586" s="1" t="s">
        <v>873</v>
      </c>
      <c r="Q586" s="1">
        <v>3.097</v>
      </c>
      <c r="R586" s="1">
        <v>-2.388</v>
      </c>
      <c r="S586" s="2">
        <f>HYPERLINK("https://vdatum.noaa.gov/vdatumweb/api/convert?s_x=-74.96&amp;s_y=38.9683&amp;s_z=0.0&amp;region=chesapeak_delaware&amp;s_h_frame=NAD83_2011&amp;s_coor=geo&amp;s_v_frame=NAVD88&amp;s_v_unit=us_ft&amp;t_h_frame=IGS14&amp;t_coor=geo&amp;t_v_frame=MLLW&amp;t_v_unit=us_ft", "NAVD88 to MLLW")</f>
        <v>0</v>
      </c>
      <c r="T586" s="2">
        <f>HYPERLINK("https://vdatum.noaa.gov/vdatumweb/api/convert?s_x=-74.96&amp;s_y=38.9683&amp;s_z=0.0&amp;region=chesapeak_delaware&amp;s_h_frame=NAD83_2011&amp;s_coor=geo&amp;s_v_frame=NAVD88&amp;s_v_unit=us_ft&amp;t_h_frame=IGS14&amp;t_coor=geo&amp;t_v_frame=MHHW&amp;t_v_unit=us_ft", "NAVD88 to MHHW")</f>
        <v>0</v>
      </c>
    </row>
    <row r="587" spans="1:20">
      <c r="A587" s="1" t="s">
        <v>611</v>
      </c>
      <c r="E587" s="1" t="s">
        <v>723</v>
      </c>
      <c r="F587" s="1" t="s">
        <v>847</v>
      </c>
      <c r="G587" s="1" t="s">
        <v>854</v>
      </c>
      <c r="H587" s="1">
        <v>-81.4658</v>
      </c>
      <c r="I587" s="1">
        <v>30.67139</v>
      </c>
      <c r="J587" s="1">
        <f>HYPERLINK("https://tidesandcurrents.noaa.gov/stationhome.html?id=8720030", "8720030")</f>
        <v>0</v>
      </c>
      <c r="K587" s="1" t="s">
        <v>860</v>
      </c>
      <c r="L587" s="1" t="s">
        <v>866</v>
      </c>
      <c r="M587" s="1">
        <v>4650145</v>
      </c>
      <c r="N587" s="1">
        <v>0</v>
      </c>
      <c r="O587" s="1" t="s">
        <v>869</v>
      </c>
      <c r="P587" s="1" t="s">
        <v>874</v>
      </c>
      <c r="Q587" s="1">
        <v>3.836</v>
      </c>
      <c r="R587" s="1">
        <v>-2.738</v>
      </c>
      <c r="S587" s="2">
        <f>HYPERLINK("https://vdatum.noaa.gov/vdatumweb/api/convert?s_x=-81.4658&amp;s_y=30.67139&amp;s_z=0.0&amp;region=contiguous&amp;s_h_frame=NAD83_2011&amp;s_coor=geo&amp;s_v_frame=NAVD88&amp;s_v_unit=us_ft&amp;t_h_frame=NAD83_2011&amp;t_coor=geo&amp;t_v_frame=MLLW&amp;t_v_unit=us_ft", "NAVD88 to MLLW")</f>
        <v>0</v>
      </c>
      <c r="T587" s="2">
        <f>HYPERLINK("https://vdatum.noaa.gov/vdatumweb/api/convert?s_x=-81.4658&amp;s_y=30.67139&amp;s_z=0.0&amp;region=contiguous&amp;s_h_frame=NAD83_2011&amp;s_coor=geo&amp;s_v_frame=NAVD88&amp;s_v_unit=us_ft&amp;t_h_frame=NAD83_2011&amp;t_coor=geo&amp;t_v_frame=MHHW&amp;t_v_unit=us_ft", "NAVD88 to MHHW")</f>
        <v>0</v>
      </c>
    </row>
  </sheetData>
  <conditionalFormatting sqref="J10">
    <cfRule type="notContainsErrors" dxfId="0" priority="9">
      <formula>NOT(ISERROR(J10))</formula>
    </cfRule>
  </conditionalFormatting>
  <conditionalFormatting sqref="J100">
    <cfRule type="notContainsErrors" dxfId="0" priority="93">
      <formula>NOT(ISERROR(J100))</formula>
    </cfRule>
  </conditionalFormatting>
  <conditionalFormatting sqref="J101">
    <cfRule type="notContainsErrors" dxfId="0" priority="94">
      <formula>NOT(ISERROR(J101))</formula>
    </cfRule>
  </conditionalFormatting>
  <conditionalFormatting sqref="J102">
    <cfRule type="notContainsErrors" dxfId="0" priority="95">
      <formula>NOT(ISERROR(J102))</formula>
    </cfRule>
  </conditionalFormatting>
  <conditionalFormatting sqref="J103">
    <cfRule type="notContainsErrors" dxfId="0" priority="96">
      <formula>NOT(ISERROR(J103))</formula>
    </cfRule>
  </conditionalFormatting>
  <conditionalFormatting sqref="J104">
    <cfRule type="notContainsErrors" dxfId="0" priority="97">
      <formula>NOT(ISERROR(J104))</formula>
    </cfRule>
  </conditionalFormatting>
  <conditionalFormatting sqref="J105">
    <cfRule type="notContainsErrors" dxfId="0" priority="98">
      <formula>NOT(ISERROR(J105))</formula>
    </cfRule>
  </conditionalFormatting>
  <conditionalFormatting sqref="J106">
    <cfRule type="notContainsErrors" dxfId="0" priority="99">
      <formula>NOT(ISERROR(J106))</formula>
    </cfRule>
  </conditionalFormatting>
  <conditionalFormatting sqref="J107">
    <cfRule type="notContainsErrors" dxfId="0" priority="100">
      <formula>NOT(ISERROR(J107))</formula>
    </cfRule>
  </conditionalFormatting>
  <conditionalFormatting sqref="J108">
    <cfRule type="notContainsErrors" dxfId="0" priority="101">
      <formula>NOT(ISERROR(J108))</formula>
    </cfRule>
  </conditionalFormatting>
  <conditionalFormatting sqref="J109">
    <cfRule type="notContainsErrors" dxfId="0" priority="102">
      <formula>NOT(ISERROR(J109))</formula>
    </cfRule>
  </conditionalFormatting>
  <conditionalFormatting sqref="J11">
    <cfRule type="notContainsErrors" dxfId="0" priority="10">
      <formula>NOT(ISERROR(J11))</formula>
    </cfRule>
  </conditionalFormatting>
  <conditionalFormatting sqref="J113">
    <cfRule type="notContainsErrors" dxfId="0" priority="103">
      <formula>NOT(ISERROR(J113))</formula>
    </cfRule>
  </conditionalFormatting>
  <conditionalFormatting sqref="J114">
    <cfRule type="notContainsErrors" dxfId="0" priority="104">
      <formula>NOT(ISERROR(J114))</formula>
    </cfRule>
  </conditionalFormatting>
  <conditionalFormatting sqref="J115">
    <cfRule type="notContainsErrors" dxfId="0" priority="105">
      <formula>NOT(ISERROR(J115))</formula>
    </cfRule>
  </conditionalFormatting>
  <conditionalFormatting sqref="J116">
    <cfRule type="notContainsErrors" dxfId="0" priority="106">
      <formula>NOT(ISERROR(J116))</formula>
    </cfRule>
  </conditionalFormatting>
  <conditionalFormatting sqref="J117">
    <cfRule type="notContainsErrors" dxfId="0" priority="107">
      <formula>NOT(ISERROR(J117))</formula>
    </cfRule>
  </conditionalFormatting>
  <conditionalFormatting sqref="J118">
    <cfRule type="notContainsErrors" dxfId="0" priority="108">
      <formula>NOT(ISERROR(J118))</formula>
    </cfRule>
  </conditionalFormatting>
  <conditionalFormatting sqref="J119">
    <cfRule type="notContainsErrors" dxfId="0" priority="109">
      <formula>NOT(ISERROR(J119))</formula>
    </cfRule>
  </conditionalFormatting>
  <conditionalFormatting sqref="J12">
    <cfRule type="notContainsErrors" dxfId="0" priority="11">
      <formula>NOT(ISERROR(J12))</formula>
    </cfRule>
  </conditionalFormatting>
  <conditionalFormatting sqref="J120">
    <cfRule type="notContainsErrors" dxfId="0" priority="110">
      <formula>NOT(ISERROR(J120))</formula>
    </cfRule>
  </conditionalFormatting>
  <conditionalFormatting sqref="J123">
    <cfRule type="notContainsErrors" dxfId="0" priority="111">
      <formula>NOT(ISERROR(J123))</formula>
    </cfRule>
  </conditionalFormatting>
  <conditionalFormatting sqref="J124">
    <cfRule type="notContainsErrors" dxfId="0" priority="112">
      <formula>NOT(ISERROR(J124))</formula>
    </cfRule>
  </conditionalFormatting>
  <conditionalFormatting sqref="J125">
    <cfRule type="notContainsErrors" dxfId="0" priority="113">
      <formula>NOT(ISERROR(J125))</formula>
    </cfRule>
  </conditionalFormatting>
  <conditionalFormatting sqref="J126">
    <cfRule type="notContainsErrors" dxfId="0" priority="114">
      <formula>NOT(ISERROR(J126))</formula>
    </cfRule>
  </conditionalFormatting>
  <conditionalFormatting sqref="J127">
    <cfRule type="notContainsErrors" dxfId="0" priority="115">
      <formula>NOT(ISERROR(J127))</formula>
    </cfRule>
  </conditionalFormatting>
  <conditionalFormatting sqref="J128">
    <cfRule type="notContainsErrors" dxfId="0" priority="116">
      <formula>NOT(ISERROR(J128))</formula>
    </cfRule>
  </conditionalFormatting>
  <conditionalFormatting sqref="J129">
    <cfRule type="notContainsErrors" dxfId="0" priority="117">
      <formula>NOT(ISERROR(J129))</formula>
    </cfRule>
  </conditionalFormatting>
  <conditionalFormatting sqref="J13">
    <cfRule type="notContainsErrors" dxfId="0" priority="12">
      <formula>NOT(ISERROR(J13))</formula>
    </cfRule>
  </conditionalFormatting>
  <conditionalFormatting sqref="J130">
    <cfRule type="notContainsErrors" dxfId="0" priority="118">
      <formula>NOT(ISERROR(J130))</formula>
    </cfRule>
  </conditionalFormatting>
  <conditionalFormatting sqref="J131">
    <cfRule type="notContainsErrors" dxfId="0" priority="119">
      <formula>NOT(ISERROR(J131))</formula>
    </cfRule>
  </conditionalFormatting>
  <conditionalFormatting sqref="J132">
    <cfRule type="notContainsErrors" dxfId="0" priority="120">
      <formula>NOT(ISERROR(J132))</formula>
    </cfRule>
  </conditionalFormatting>
  <conditionalFormatting sqref="J133">
    <cfRule type="notContainsErrors" dxfId="0" priority="121">
      <formula>NOT(ISERROR(J133))</formula>
    </cfRule>
  </conditionalFormatting>
  <conditionalFormatting sqref="J134">
    <cfRule type="notContainsErrors" dxfId="0" priority="122">
      <formula>NOT(ISERROR(J134))</formula>
    </cfRule>
  </conditionalFormatting>
  <conditionalFormatting sqref="J135">
    <cfRule type="notContainsErrors" dxfId="0" priority="123">
      <formula>NOT(ISERROR(J135))</formula>
    </cfRule>
  </conditionalFormatting>
  <conditionalFormatting sqref="J136">
    <cfRule type="notContainsErrors" dxfId="0" priority="124">
      <formula>NOT(ISERROR(J136))</formula>
    </cfRule>
  </conditionalFormatting>
  <conditionalFormatting sqref="J137">
    <cfRule type="notContainsErrors" dxfId="0" priority="125">
      <formula>NOT(ISERROR(J137))</formula>
    </cfRule>
  </conditionalFormatting>
  <conditionalFormatting sqref="J138">
    <cfRule type="notContainsErrors" dxfId="0" priority="126">
      <formula>NOT(ISERROR(J138))</formula>
    </cfRule>
  </conditionalFormatting>
  <conditionalFormatting sqref="J139">
    <cfRule type="notContainsErrors" dxfId="0" priority="127">
      <formula>NOT(ISERROR(J139))</formula>
    </cfRule>
  </conditionalFormatting>
  <conditionalFormatting sqref="J14">
    <cfRule type="notContainsErrors" dxfId="0" priority="13">
      <formula>NOT(ISERROR(J14))</formula>
    </cfRule>
  </conditionalFormatting>
  <conditionalFormatting sqref="J140">
    <cfRule type="notContainsErrors" dxfId="0" priority="128">
      <formula>NOT(ISERROR(J140))</formula>
    </cfRule>
  </conditionalFormatting>
  <conditionalFormatting sqref="J141">
    <cfRule type="notContainsErrors" dxfId="0" priority="129">
      <formula>NOT(ISERROR(J141))</formula>
    </cfRule>
  </conditionalFormatting>
  <conditionalFormatting sqref="J142">
    <cfRule type="notContainsErrors" dxfId="0" priority="130">
      <formula>NOT(ISERROR(J142))</formula>
    </cfRule>
  </conditionalFormatting>
  <conditionalFormatting sqref="J143">
    <cfRule type="notContainsErrors" dxfId="0" priority="131">
      <formula>NOT(ISERROR(J143))</formula>
    </cfRule>
  </conditionalFormatting>
  <conditionalFormatting sqref="J144">
    <cfRule type="notContainsErrors" dxfId="0" priority="132">
      <formula>NOT(ISERROR(J144))</formula>
    </cfRule>
  </conditionalFormatting>
  <conditionalFormatting sqref="J145">
    <cfRule type="notContainsErrors" dxfId="0" priority="133">
      <formula>NOT(ISERROR(J145))</formula>
    </cfRule>
  </conditionalFormatting>
  <conditionalFormatting sqref="J146">
    <cfRule type="notContainsErrors" dxfId="0" priority="134">
      <formula>NOT(ISERROR(J146))</formula>
    </cfRule>
  </conditionalFormatting>
  <conditionalFormatting sqref="J147">
    <cfRule type="notContainsErrors" dxfId="0" priority="135">
      <formula>NOT(ISERROR(J147))</formula>
    </cfRule>
  </conditionalFormatting>
  <conditionalFormatting sqref="J148">
    <cfRule type="notContainsErrors" dxfId="0" priority="136">
      <formula>NOT(ISERROR(J148))</formula>
    </cfRule>
  </conditionalFormatting>
  <conditionalFormatting sqref="J149">
    <cfRule type="notContainsErrors" dxfId="0" priority="137">
      <formula>NOT(ISERROR(J149))</formula>
    </cfRule>
  </conditionalFormatting>
  <conditionalFormatting sqref="J15">
    <cfRule type="notContainsErrors" dxfId="0" priority="14">
      <formula>NOT(ISERROR(J15))</formula>
    </cfRule>
  </conditionalFormatting>
  <conditionalFormatting sqref="J150">
    <cfRule type="notContainsErrors" dxfId="0" priority="138">
      <formula>NOT(ISERROR(J150))</formula>
    </cfRule>
  </conditionalFormatting>
  <conditionalFormatting sqref="J155">
    <cfRule type="notContainsErrors" dxfId="0" priority="139">
      <formula>NOT(ISERROR(J155))</formula>
    </cfRule>
  </conditionalFormatting>
  <conditionalFormatting sqref="J156">
    <cfRule type="notContainsErrors" dxfId="0" priority="140">
      <formula>NOT(ISERROR(J156))</formula>
    </cfRule>
  </conditionalFormatting>
  <conditionalFormatting sqref="J157">
    <cfRule type="notContainsErrors" dxfId="0" priority="141">
      <formula>NOT(ISERROR(J157))</formula>
    </cfRule>
  </conditionalFormatting>
  <conditionalFormatting sqref="J158">
    <cfRule type="notContainsErrors" dxfId="0" priority="142">
      <formula>NOT(ISERROR(J158))</formula>
    </cfRule>
  </conditionalFormatting>
  <conditionalFormatting sqref="J159">
    <cfRule type="notContainsErrors" dxfId="0" priority="143">
      <formula>NOT(ISERROR(J159))</formula>
    </cfRule>
  </conditionalFormatting>
  <conditionalFormatting sqref="J16">
    <cfRule type="notContainsErrors" dxfId="0" priority="15">
      <formula>NOT(ISERROR(J16))</formula>
    </cfRule>
  </conditionalFormatting>
  <conditionalFormatting sqref="J160">
    <cfRule type="notContainsErrors" dxfId="0" priority="144">
      <formula>NOT(ISERROR(J160))</formula>
    </cfRule>
  </conditionalFormatting>
  <conditionalFormatting sqref="J161">
    <cfRule type="notContainsErrors" dxfId="0" priority="145">
      <formula>NOT(ISERROR(J161))</formula>
    </cfRule>
  </conditionalFormatting>
  <conditionalFormatting sqref="J162">
    <cfRule type="notContainsErrors" dxfId="0" priority="146">
      <formula>NOT(ISERROR(J162))</formula>
    </cfRule>
  </conditionalFormatting>
  <conditionalFormatting sqref="J163">
    <cfRule type="notContainsErrors" dxfId="0" priority="147">
      <formula>NOT(ISERROR(J163))</formula>
    </cfRule>
  </conditionalFormatting>
  <conditionalFormatting sqref="J164">
    <cfRule type="notContainsErrors" dxfId="0" priority="148">
      <formula>NOT(ISERROR(J164))</formula>
    </cfRule>
  </conditionalFormatting>
  <conditionalFormatting sqref="J165">
    <cfRule type="notContainsErrors" dxfId="0" priority="149">
      <formula>NOT(ISERROR(J165))</formula>
    </cfRule>
  </conditionalFormatting>
  <conditionalFormatting sqref="J166">
    <cfRule type="notContainsErrors" dxfId="0" priority="150">
      <formula>NOT(ISERROR(J166))</formula>
    </cfRule>
  </conditionalFormatting>
  <conditionalFormatting sqref="J17">
    <cfRule type="notContainsErrors" dxfId="0" priority="16">
      <formula>NOT(ISERROR(J17))</formula>
    </cfRule>
  </conditionalFormatting>
  <conditionalFormatting sqref="J18">
    <cfRule type="notContainsErrors" dxfId="0" priority="17">
      <formula>NOT(ISERROR(J18))</formula>
    </cfRule>
  </conditionalFormatting>
  <conditionalFormatting sqref="J181">
    <cfRule type="notContainsErrors" dxfId="0" priority="151">
      <formula>NOT(ISERROR(J181))</formula>
    </cfRule>
  </conditionalFormatting>
  <conditionalFormatting sqref="J182">
    <cfRule type="notContainsErrors" dxfId="0" priority="152">
      <formula>NOT(ISERROR(J182))</formula>
    </cfRule>
  </conditionalFormatting>
  <conditionalFormatting sqref="J183">
    <cfRule type="notContainsErrors" dxfId="0" priority="153">
      <formula>NOT(ISERROR(J183))</formula>
    </cfRule>
  </conditionalFormatting>
  <conditionalFormatting sqref="J184">
    <cfRule type="notContainsErrors" dxfId="0" priority="154">
      <formula>NOT(ISERROR(J184))</formula>
    </cfRule>
  </conditionalFormatting>
  <conditionalFormatting sqref="J185">
    <cfRule type="notContainsErrors" dxfId="0" priority="155">
      <formula>NOT(ISERROR(J185))</formula>
    </cfRule>
  </conditionalFormatting>
  <conditionalFormatting sqref="J186">
    <cfRule type="notContainsErrors" dxfId="0" priority="156">
      <formula>NOT(ISERROR(J186))</formula>
    </cfRule>
  </conditionalFormatting>
  <conditionalFormatting sqref="J187">
    <cfRule type="notContainsErrors" dxfId="0" priority="157">
      <formula>NOT(ISERROR(J187))</formula>
    </cfRule>
  </conditionalFormatting>
  <conditionalFormatting sqref="J188">
    <cfRule type="notContainsErrors" dxfId="0" priority="158">
      <formula>NOT(ISERROR(J188))</formula>
    </cfRule>
  </conditionalFormatting>
  <conditionalFormatting sqref="J189">
    <cfRule type="notContainsErrors" dxfId="0" priority="159">
      <formula>NOT(ISERROR(J189))</formula>
    </cfRule>
  </conditionalFormatting>
  <conditionalFormatting sqref="J19">
    <cfRule type="notContainsErrors" dxfId="0" priority="18">
      <formula>NOT(ISERROR(J19))</formula>
    </cfRule>
  </conditionalFormatting>
  <conditionalFormatting sqref="J190">
    <cfRule type="notContainsErrors" dxfId="0" priority="160">
      <formula>NOT(ISERROR(J190))</formula>
    </cfRule>
  </conditionalFormatting>
  <conditionalFormatting sqref="J191">
    <cfRule type="notContainsErrors" dxfId="0" priority="161">
      <formula>NOT(ISERROR(J191))</formula>
    </cfRule>
  </conditionalFormatting>
  <conditionalFormatting sqref="J192">
    <cfRule type="notContainsErrors" dxfId="0" priority="162">
      <formula>NOT(ISERROR(J192))</formula>
    </cfRule>
  </conditionalFormatting>
  <conditionalFormatting sqref="J193">
    <cfRule type="notContainsErrors" dxfId="0" priority="163">
      <formula>NOT(ISERROR(J193))</formula>
    </cfRule>
  </conditionalFormatting>
  <conditionalFormatting sqref="J194">
    <cfRule type="notContainsErrors" dxfId="0" priority="164">
      <formula>NOT(ISERROR(J194))</formula>
    </cfRule>
  </conditionalFormatting>
  <conditionalFormatting sqref="J195">
    <cfRule type="notContainsErrors" dxfId="0" priority="165">
      <formula>NOT(ISERROR(J195))</formula>
    </cfRule>
  </conditionalFormatting>
  <conditionalFormatting sqref="J196">
    <cfRule type="notContainsErrors" dxfId="0" priority="166">
      <formula>NOT(ISERROR(J196))</formula>
    </cfRule>
  </conditionalFormatting>
  <conditionalFormatting sqref="J197">
    <cfRule type="notContainsErrors" dxfId="0" priority="167">
      <formula>NOT(ISERROR(J197))</formula>
    </cfRule>
  </conditionalFormatting>
  <conditionalFormatting sqref="J198">
    <cfRule type="notContainsErrors" dxfId="0" priority="168">
      <formula>NOT(ISERROR(J198))</formula>
    </cfRule>
  </conditionalFormatting>
  <conditionalFormatting sqref="J199">
    <cfRule type="notContainsErrors" dxfId="0" priority="169">
      <formula>NOT(ISERROR(J199))</formula>
    </cfRule>
  </conditionalFormatting>
  <conditionalFormatting sqref="J2">
    <cfRule type="notContainsErrors" dxfId="0" priority="1">
      <formula>NOT(ISERROR(J2))</formula>
    </cfRule>
  </conditionalFormatting>
  <conditionalFormatting sqref="J20">
    <cfRule type="notContainsErrors" dxfId="0" priority="19">
      <formula>NOT(ISERROR(J20))</formula>
    </cfRule>
  </conditionalFormatting>
  <conditionalFormatting sqref="J200">
    <cfRule type="notContainsErrors" dxfId="0" priority="170">
      <formula>NOT(ISERROR(J200))</formula>
    </cfRule>
  </conditionalFormatting>
  <conditionalFormatting sqref="J201">
    <cfRule type="notContainsErrors" dxfId="0" priority="171">
      <formula>NOT(ISERROR(J201))</formula>
    </cfRule>
  </conditionalFormatting>
  <conditionalFormatting sqref="J202">
    <cfRule type="notContainsErrors" dxfId="0" priority="172">
      <formula>NOT(ISERROR(J202))</formula>
    </cfRule>
  </conditionalFormatting>
  <conditionalFormatting sqref="J203">
    <cfRule type="notContainsErrors" dxfId="0" priority="173">
      <formula>NOT(ISERROR(J203))</formula>
    </cfRule>
  </conditionalFormatting>
  <conditionalFormatting sqref="J204">
    <cfRule type="notContainsErrors" dxfId="0" priority="174">
      <formula>NOT(ISERROR(J204))</formula>
    </cfRule>
  </conditionalFormatting>
  <conditionalFormatting sqref="J205">
    <cfRule type="notContainsErrors" dxfId="0" priority="175">
      <formula>NOT(ISERROR(J205))</formula>
    </cfRule>
  </conditionalFormatting>
  <conditionalFormatting sqref="J206">
    <cfRule type="notContainsErrors" dxfId="0" priority="176">
      <formula>NOT(ISERROR(J206))</formula>
    </cfRule>
  </conditionalFormatting>
  <conditionalFormatting sqref="J207">
    <cfRule type="notContainsErrors" dxfId="0" priority="177">
      <formula>NOT(ISERROR(J207))</formula>
    </cfRule>
  </conditionalFormatting>
  <conditionalFormatting sqref="J208">
    <cfRule type="notContainsErrors" dxfId="0" priority="178">
      <formula>NOT(ISERROR(J208))</formula>
    </cfRule>
  </conditionalFormatting>
  <conditionalFormatting sqref="J209">
    <cfRule type="notContainsErrors" dxfId="0" priority="179">
      <formula>NOT(ISERROR(J209))</formula>
    </cfRule>
  </conditionalFormatting>
  <conditionalFormatting sqref="J21">
    <cfRule type="notContainsErrors" dxfId="0" priority="20">
      <formula>NOT(ISERROR(J21))</formula>
    </cfRule>
  </conditionalFormatting>
  <conditionalFormatting sqref="J210">
    <cfRule type="notContainsErrors" dxfId="0" priority="180">
      <formula>NOT(ISERROR(J210))</formula>
    </cfRule>
  </conditionalFormatting>
  <conditionalFormatting sqref="J214">
    <cfRule type="notContainsErrors" dxfId="0" priority="181">
      <formula>NOT(ISERROR(J214))</formula>
    </cfRule>
  </conditionalFormatting>
  <conditionalFormatting sqref="J215">
    <cfRule type="notContainsErrors" dxfId="0" priority="182">
      <formula>NOT(ISERROR(J215))</formula>
    </cfRule>
  </conditionalFormatting>
  <conditionalFormatting sqref="J216">
    <cfRule type="notContainsErrors" dxfId="0" priority="183">
      <formula>NOT(ISERROR(J216))</formula>
    </cfRule>
  </conditionalFormatting>
  <conditionalFormatting sqref="J217">
    <cfRule type="notContainsErrors" dxfId="0" priority="184">
      <formula>NOT(ISERROR(J217))</formula>
    </cfRule>
  </conditionalFormatting>
  <conditionalFormatting sqref="J218">
    <cfRule type="notContainsErrors" dxfId="0" priority="185">
      <formula>NOT(ISERROR(J218))</formula>
    </cfRule>
  </conditionalFormatting>
  <conditionalFormatting sqref="J219">
    <cfRule type="notContainsErrors" dxfId="0" priority="186">
      <formula>NOT(ISERROR(J219))</formula>
    </cfRule>
  </conditionalFormatting>
  <conditionalFormatting sqref="J22">
    <cfRule type="notContainsErrors" dxfId="0" priority="21">
      <formula>NOT(ISERROR(J22))</formula>
    </cfRule>
  </conditionalFormatting>
  <conditionalFormatting sqref="J220">
    <cfRule type="notContainsErrors" dxfId="0" priority="187">
      <formula>NOT(ISERROR(J220))</formula>
    </cfRule>
  </conditionalFormatting>
  <conditionalFormatting sqref="J221">
    <cfRule type="notContainsErrors" dxfId="0" priority="188">
      <formula>NOT(ISERROR(J221))</formula>
    </cfRule>
  </conditionalFormatting>
  <conditionalFormatting sqref="J222">
    <cfRule type="notContainsErrors" dxfId="0" priority="189">
      <formula>NOT(ISERROR(J222))</formula>
    </cfRule>
  </conditionalFormatting>
  <conditionalFormatting sqref="J223">
    <cfRule type="notContainsErrors" dxfId="0" priority="190">
      <formula>NOT(ISERROR(J223))</formula>
    </cfRule>
  </conditionalFormatting>
  <conditionalFormatting sqref="J224">
    <cfRule type="notContainsErrors" dxfId="0" priority="191">
      <formula>NOT(ISERROR(J224))</formula>
    </cfRule>
  </conditionalFormatting>
  <conditionalFormatting sqref="J225">
    <cfRule type="notContainsErrors" dxfId="0" priority="192">
      <formula>NOT(ISERROR(J225))</formula>
    </cfRule>
  </conditionalFormatting>
  <conditionalFormatting sqref="J226">
    <cfRule type="notContainsErrors" dxfId="0" priority="193">
      <formula>NOT(ISERROR(J226))</formula>
    </cfRule>
  </conditionalFormatting>
  <conditionalFormatting sqref="J227">
    <cfRule type="notContainsErrors" dxfId="0" priority="194">
      <formula>NOT(ISERROR(J227))</formula>
    </cfRule>
  </conditionalFormatting>
  <conditionalFormatting sqref="J228">
    <cfRule type="notContainsErrors" dxfId="0" priority="195">
      <formula>NOT(ISERROR(J228))</formula>
    </cfRule>
  </conditionalFormatting>
  <conditionalFormatting sqref="J229">
    <cfRule type="notContainsErrors" dxfId="0" priority="196">
      <formula>NOT(ISERROR(J229))</formula>
    </cfRule>
  </conditionalFormatting>
  <conditionalFormatting sqref="J23">
    <cfRule type="notContainsErrors" dxfId="0" priority="22">
      <formula>NOT(ISERROR(J23))</formula>
    </cfRule>
  </conditionalFormatting>
  <conditionalFormatting sqref="J230">
    <cfRule type="notContainsErrors" dxfId="0" priority="197">
      <formula>NOT(ISERROR(J230))</formula>
    </cfRule>
  </conditionalFormatting>
  <conditionalFormatting sqref="J231">
    <cfRule type="notContainsErrors" dxfId="0" priority="198">
      <formula>NOT(ISERROR(J231))</formula>
    </cfRule>
  </conditionalFormatting>
  <conditionalFormatting sqref="J232">
    <cfRule type="notContainsErrors" dxfId="0" priority="199">
      <formula>NOT(ISERROR(J232))</formula>
    </cfRule>
  </conditionalFormatting>
  <conditionalFormatting sqref="J233">
    <cfRule type="notContainsErrors" dxfId="0" priority="200">
      <formula>NOT(ISERROR(J233))</formula>
    </cfRule>
  </conditionalFormatting>
  <conditionalFormatting sqref="J234">
    <cfRule type="notContainsErrors" dxfId="0" priority="201">
      <formula>NOT(ISERROR(J234))</formula>
    </cfRule>
  </conditionalFormatting>
  <conditionalFormatting sqref="J235">
    <cfRule type="notContainsErrors" dxfId="0" priority="202">
      <formula>NOT(ISERROR(J235))</formula>
    </cfRule>
  </conditionalFormatting>
  <conditionalFormatting sqref="J236">
    <cfRule type="notContainsErrors" dxfId="0" priority="203">
      <formula>NOT(ISERROR(J236))</formula>
    </cfRule>
  </conditionalFormatting>
  <conditionalFormatting sqref="J237">
    <cfRule type="notContainsErrors" dxfId="0" priority="204">
      <formula>NOT(ISERROR(J237))</formula>
    </cfRule>
  </conditionalFormatting>
  <conditionalFormatting sqref="J238">
    <cfRule type="notContainsErrors" dxfId="0" priority="205">
      <formula>NOT(ISERROR(J238))</formula>
    </cfRule>
  </conditionalFormatting>
  <conditionalFormatting sqref="J239">
    <cfRule type="notContainsErrors" dxfId="0" priority="206">
      <formula>NOT(ISERROR(J239))</formula>
    </cfRule>
  </conditionalFormatting>
  <conditionalFormatting sqref="J24">
    <cfRule type="notContainsErrors" dxfId="0" priority="23">
      <formula>NOT(ISERROR(J24))</formula>
    </cfRule>
  </conditionalFormatting>
  <conditionalFormatting sqref="J240">
    <cfRule type="notContainsErrors" dxfId="0" priority="207">
      <formula>NOT(ISERROR(J240))</formula>
    </cfRule>
  </conditionalFormatting>
  <conditionalFormatting sqref="J241">
    <cfRule type="notContainsErrors" dxfId="0" priority="208">
      <formula>NOT(ISERROR(J241))</formula>
    </cfRule>
  </conditionalFormatting>
  <conditionalFormatting sqref="J242">
    <cfRule type="notContainsErrors" dxfId="0" priority="209">
      <formula>NOT(ISERROR(J242))</formula>
    </cfRule>
  </conditionalFormatting>
  <conditionalFormatting sqref="J243">
    <cfRule type="notContainsErrors" dxfId="0" priority="210">
      <formula>NOT(ISERROR(J243))</formula>
    </cfRule>
  </conditionalFormatting>
  <conditionalFormatting sqref="J244">
    <cfRule type="notContainsErrors" dxfId="0" priority="211">
      <formula>NOT(ISERROR(J244))</formula>
    </cfRule>
  </conditionalFormatting>
  <conditionalFormatting sqref="J245">
    <cfRule type="notContainsErrors" dxfId="0" priority="212">
      <formula>NOT(ISERROR(J245))</formula>
    </cfRule>
  </conditionalFormatting>
  <conditionalFormatting sqref="J246">
    <cfRule type="notContainsErrors" dxfId="0" priority="213">
      <formula>NOT(ISERROR(J246))</formula>
    </cfRule>
  </conditionalFormatting>
  <conditionalFormatting sqref="J247">
    <cfRule type="notContainsErrors" dxfId="0" priority="214">
      <formula>NOT(ISERROR(J247))</formula>
    </cfRule>
  </conditionalFormatting>
  <conditionalFormatting sqref="J248">
    <cfRule type="notContainsErrors" dxfId="0" priority="215">
      <formula>NOT(ISERROR(J248))</formula>
    </cfRule>
  </conditionalFormatting>
  <conditionalFormatting sqref="J249">
    <cfRule type="notContainsErrors" dxfId="0" priority="216">
      <formula>NOT(ISERROR(J249))</formula>
    </cfRule>
  </conditionalFormatting>
  <conditionalFormatting sqref="J25">
    <cfRule type="notContainsErrors" dxfId="0" priority="24">
      <formula>NOT(ISERROR(J25))</formula>
    </cfRule>
  </conditionalFormatting>
  <conditionalFormatting sqref="J250">
    <cfRule type="notContainsErrors" dxfId="0" priority="217">
      <formula>NOT(ISERROR(J250))</formula>
    </cfRule>
  </conditionalFormatting>
  <conditionalFormatting sqref="J251">
    <cfRule type="notContainsErrors" dxfId="0" priority="218">
      <formula>NOT(ISERROR(J251))</formula>
    </cfRule>
  </conditionalFormatting>
  <conditionalFormatting sqref="J252">
    <cfRule type="notContainsErrors" dxfId="0" priority="219">
      <formula>NOT(ISERROR(J252))</formula>
    </cfRule>
  </conditionalFormatting>
  <conditionalFormatting sqref="J253">
    <cfRule type="notContainsErrors" dxfId="0" priority="220">
      <formula>NOT(ISERROR(J253))</formula>
    </cfRule>
  </conditionalFormatting>
  <conditionalFormatting sqref="J254">
    <cfRule type="notContainsErrors" dxfId="0" priority="221">
      <formula>NOT(ISERROR(J254))</formula>
    </cfRule>
  </conditionalFormatting>
  <conditionalFormatting sqref="J255">
    <cfRule type="notContainsErrors" dxfId="0" priority="222">
      <formula>NOT(ISERROR(J255))</formula>
    </cfRule>
  </conditionalFormatting>
  <conditionalFormatting sqref="J256">
    <cfRule type="notContainsErrors" dxfId="0" priority="223">
      <formula>NOT(ISERROR(J256))</formula>
    </cfRule>
  </conditionalFormatting>
  <conditionalFormatting sqref="J259">
    <cfRule type="notContainsErrors" dxfId="0" priority="224">
      <formula>NOT(ISERROR(J259))</formula>
    </cfRule>
  </conditionalFormatting>
  <conditionalFormatting sqref="J260">
    <cfRule type="notContainsErrors" dxfId="0" priority="225">
      <formula>NOT(ISERROR(J260))</formula>
    </cfRule>
  </conditionalFormatting>
  <conditionalFormatting sqref="J266">
    <cfRule type="notContainsErrors" dxfId="0" priority="226">
      <formula>NOT(ISERROR(J266))</formula>
    </cfRule>
  </conditionalFormatting>
  <conditionalFormatting sqref="J267">
    <cfRule type="notContainsErrors" dxfId="0" priority="227">
      <formula>NOT(ISERROR(J267))</formula>
    </cfRule>
  </conditionalFormatting>
  <conditionalFormatting sqref="J268">
    <cfRule type="notContainsErrors" dxfId="0" priority="228">
      <formula>NOT(ISERROR(J268))</formula>
    </cfRule>
  </conditionalFormatting>
  <conditionalFormatting sqref="J269">
    <cfRule type="notContainsErrors" dxfId="0" priority="229">
      <formula>NOT(ISERROR(J269))</formula>
    </cfRule>
  </conditionalFormatting>
  <conditionalFormatting sqref="J270">
    <cfRule type="notContainsErrors" dxfId="0" priority="230">
      <formula>NOT(ISERROR(J270))</formula>
    </cfRule>
  </conditionalFormatting>
  <conditionalFormatting sqref="J275">
    <cfRule type="notContainsErrors" dxfId="0" priority="231">
      <formula>NOT(ISERROR(J275))</formula>
    </cfRule>
  </conditionalFormatting>
  <conditionalFormatting sqref="J276">
    <cfRule type="notContainsErrors" dxfId="0" priority="232">
      <formula>NOT(ISERROR(J276))</formula>
    </cfRule>
  </conditionalFormatting>
  <conditionalFormatting sqref="J277">
    <cfRule type="notContainsErrors" dxfId="0" priority="233">
      <formula>NOT(ISERROR(J277))</formula>
    </cfRule>
  </conditionalFormatting>
  <conditionalFormatting sqref="J278">
    <cfRule type="notContainsErrors" dxfId="0" priority="234">
      <formula>NOT(ISERROR(J278))</formula>
    </cfRule>
  </conditionalFormatting>
  <conditionalFormatting sqref="J279">
    <cfRule type="notContainsErrors" dxfId="0" priority="235">
      <formula>NOT(ISERROR(J279))</formula>
    </cfRule>
  </conditionalFormatting>
  <conditionalFormatting sqref="J280">
    <cfRule type="notContainsErrors" dxfId="0" priority="236">
      <formula>NOT(ISERROR(J280))</formula>
    </cfRule>
  </conditionalFormatting>
  <conditionalFormatting sqref="J281">
    <cfRule type="notContainsErrors" dxfId="0" priority="237">
      <formula>NOT(ISERROR(J281))</formula>
    </cfRule>
  </conditionalFormatting>
  <conditionalFormatting sqref="J282">
    <cfRule type="notContainsErrors" dxfId="0" priority="238">
      <formula>NOT(ISERROR(J282))</formula>
    </cfRule>
  </conditionalFormatting>
  <conditionalFormatting sqref="J283">
    <cfRule type="notContainsErrors" dxfId="0" priority="239">
      <formula>NOT(ISERROR(J283))</formula>
    </cfRule>
  </conditionalFormatting>
  <conditionalFormatting sqref="J284">
    <cfRule type="notContainsErrors" dxfId="0" priority="240">
      <formula>NOT(ISERROR(J284))</formula>
    </cfRule>
  </conditionalFormatting>
  <conditionalFormatting sqref="J285">
    <cfRule type="notContainsErrors" dxfId="0" priority="241">
      <formula>NOT(ISERROR(J285))</formula>
    </cfRule>
  </conditionalFormatting>
  <conditionalFormatting sqref="J297">
    <cfRule type="notContainsErrors" dxfId="0" priority="242">
      <formula>NOT(ISERROR(J297))</formula>
    </cfRule>
  </conditionalFormatting>
  <conditionalFormatting sqref="J298">
    <cfRule type="notContainsErrors" dxfId="0" priority="243">
      <formula>NOT(ISERROR(J298))</formula>
    </cfRule>
  </conditionalFormatting>
  <conditionalFormatting sqref="J299">
    <cfRule type="notContainsErrors" dxfId="0" priority="244">
      <formula>NOT(ISERROR(J299))</formula>
    </cfRule>
  </conditionalFormatting>
  <conditionalFormatting sqref="J3">
    <cfRule type="notContainsErrors" dxfId="0" priority="2">
      <formula>NOT(ISERROR(J3))</formula>
    </cfRule>
  </conditionalFormatting>
  <conditionalFormatting sqref="J30">
    <cfRule type="notContainsErrors" dxfId="0" priority="25">
      <formula>NOT(ISERROR(J30))</formula>
    </cfRule>
  </conditionalFormatting>
  <conditionalFormatting sqref="J300">
    <cfRule type="notContainsErrors" dxfId="0" priority="245">
      <formula>NOT(ISERROR(J300))</formula>
    </cfRule>
  </conditionalFormatting>
  <conditionalFormatting sqref="J301">
    <cfRule type="notContainsErrors" dxfId="0" priority="246">
      <formula>NOT(ISERROR(J301))</formula>
    </cfRule>
  </conditionalFormatting>
  <conditionalFormatting sqref="J302">
    <cfRule type="notContainsErrors" dxfId="0" priority="247">
      <formula>NOT(ISERROR(J302))</formula>
    </cfRule>
  </conditionalFormatting>
  <conditionalFormatting sqref="J303">
    <cfRule type="notContainsErrors" dxfId="0" priority="248">
      <formula>NOT(ISERROR(J303))</formula>
    </cfRule>
  </conditionalFormatting>
  <conditionalFormatting sqref="J304">
    <cfRule type="notContainsErrors" dxfId="0" priority="249">
      <formula>NOT(ISERROR(J304))</formula>
    </cfRule>
  </conditionalFormatting>
  <conditionalFormatting sqref="J305">
    <cfRule type="notContainsErrors" dxfId="0" priority="250">
      <formula>NOT(ISERROR(J305))</formula>
    </cfRule>
  </conditionalFormatting>
  <conditionalFormatting sqref="J306">
    <cfRule type="notContainsErrors" dxfId="0" priority="251">
      <formula>NOT(ISERROR(J306))</formula>
    </cfRule>
  </conditionalFormatting>
  <conditionalFormatting sqref="J307">
    <cfRule type="notContainsErrors" dxfId="0" priority="252">
      <formula>NOT(ISERROR(J307))</formula>
    </cfRule>
  </conditionalFormatting>
  <conditionalFormatting sqref="J308">
    <cfRule type="notContainsErrors" dxfId="0" priority="253">
      <formula>NOT(ISERROR(J308))</formula>
    </cfRule>
  </conditionalFormatting>
  <conditionalFormatting sqref="J309">
    <cfRule type="notContainsErrors" dxfId="0" priority="254">
      <formula>NOT(ISERROR(J309))</formula>
    </cfRule>
  </conditionalFormatting>
  <conditionalFormatting sqref="J31">
    <cfRule type="notContainsErrors" dxfId="0" priority="26">
      <formula>NOT(ISERROR(J31))</formula>
    </cfRule>
  </conditionalFormatting>
  <conditionalFormatting sqref="J310">
    <cfRule type="notContainsErrors" dxfId="0" priority="255">
      <formula>NOT(ISERROR(J310))</formula>
    </cfRule>
  </conditionalFormatting>
  <conditionalFormatting sqref="J311">
    <cfRule type="notContainsErrors" dxfId="0" priority="256">
      <formula>NOT(ISERROR(J311))</formula>
    </cfRule>
  </conditionalFormatting>
  <conditionalFormatting sqref="J312">
    <cfRule type="notContainsErrors" dxfId="0" priority="257">
      <formula>NOT(ISERROR(J312))</formula>
    </cfRule>
  </conditionalFormatting>
  <conditionalFormatting sqref="J319">
    <cfRule type="notContainsErrors" dxfId="0" priority="258">
      <formula>NOT(ISERROR(J319))</formula>
    </cfRule>
  </conditionalFormatting>
  <conditionalFormatting sqref="J32">
    <cfRule type="notContainsErrors" dxfId="0" priority="27">
      <formula>NOT(ISERROR(J32))</formula>
    </cfRule>
  </conditionalFormatting>
  <conditionalFormatting sqref="J320">
    <cfRule type="notContainsErrors" dxfId="0" priority="259">
      <formula>NOT(ISERROR(J320))</formula>
    </cfRule>
  </conditionalFormatting>
  <conditionalFormatting sqref="J321">
    <cfRule type="notContainsErrors" dxfId="0" priority="260">
      <formula>NOT(ISERROR(J321))</formula>
    </cfRule>
  </conditionalFormatting>
  <conditionalFormatting sqref="J322">
    <cfRule type="notContainsErrors" dxfId="0" priority="261">
      <formula>NOT(ISERROR(J322))</formula>
    </cfRule>
  </conditionalFormatting>
  <conditionalFormatting sqref="J323">
    <cfRule type="notContainsErrors" dxfId="0" priority="262">
      <formula>NOT(ISERROR(J323))</formula>
    </cfRule>
  </conditionalFormatting>
  <conditionalFormatting sqref="J324">
    <cfRule type="notContainsErrors" dxfId="0" priority="263">
      <formula>NOT(ISERROR(J324))</formula>
    </cfRule>
  </conditionalFormatting>
  <conditionalFormatting sqref="J325">
    <cfRule type="notContainsErrors" dxfId="0" priority="264">
      <formula>NOT(ISERROR(J325))</formula>
    </cfRule>
  </conditionalFormatting>
  <conditionalFormatting sqref="J326">
    <cfRule type="notContainsErrors" dxfId="0" priority="265">
      <formula>NOT(ISERROR(J326))</formula>
    </cfRule>
  </conditionalFormatting>
  <conditionalFormatting sqref="J327">
    <cfRule type="notContainsErrors" dxfId="0" priority="266">
      <formula>NOT(ISERROR(J327))</formula>
    </cfRule>
  </conditionalFormatting>
  <conditionalFormatting sqref="J328">
    <cfRule type="notContainsErrors" dxfId="0" priority="267">
      <formula>NOT(ISERROR(J328))</formula>
    </cfRule>
  </conditionalFormatting>
  <conditionalFormatting sqref="J329">
    <cfRule type="notContainsErrors" dxfId="0" priority="268">
      <formula>NOT(ISERROR(J329))</formula>
    </cfRule>
  </conditionalFormatting>
  <conditionalFormatting sqref="J33">
    <cfRule type="notContainsErrors" dxfId="0" priority="28">
      <formula>NOT(ISERROR(J33))</formula>
    </cfRule>
  </conditionalFormatting>
  <conditionalFormatting sqref="J330">
    <cfRule type="notContainsErrors" dxfId="0" priority="269">
      <formula>NOT(ISERROR(J330))</formula>
    </cfRule>
  </conditionalFormatting>
  <conditionalFormatting sqref="J331">
    <cfRule type="notContainsErrors" dxfId="0" priority="270">
      <formula>NOT(ISERROR(J331))</formula>
    </cfRule>
  </conditionalFormatting>
  <conditionalFormatting sqref="J332">
    <cfRule type="notContainsErrors" dxfId="0" priority="271">
      <formula>NOT(ISERROR(J332))</formula>
    </cfRule>
  </conditionalFormatting>
  <conditionalFormatting sqref="J333">
    <cfRule type="notContainsErrors" dxfId="0" priority="272">
      <formula>NOT(ISERROR(J333))</formula>
    </cfRule>
  </conditionalFormatting>
  <conditionalFormatting sqref="J334">
    <cfRule type="notContainsErrors" dxfId="0" priority="273">
      <formula>NOT(ISERROR(J334))</formula>
    </cfRule>
  </conditionalFormatting>
  <conditionalFormatting sqref="J335">
    <cfRule type="notContainsErrors" dxfId="0" priority="274">
      <formula>NOT(ISERROR(J335))</formula>
    </cfRule>
  </conditionalFormatting>
  <conditionalFormatting sqref="J336">
    <cfRule type="notContainsErrors" dxfId="0" priority="275">
      <formula>NOT(ISERROR(J336))</formula>
    </cfRule>
  </conditionalFormatting>
  <conditionalFormatting sqref="J337">
    <cfRule type="notContainsErrors" dxfId="0" priority="276">
      <formula>NOT(ISERROR(J337))</formula>
    </cfRule>
  </conditionalFormatting>
  <conditionalFormatting sqref="J338">
    <cfRule type="notContainsErrors" dxfId="0" priority="277">
      <formula>NOT(ISERROR(J338))</formula>
    </cfRule>
  </conditionalFormatting>
  <conditionalFormatting sqref="J339">
    <cfRule type="notContainsErrors" dxfId="0" priority="278">
      <formula>NOT(ISERROR(J339))</formula>
    </cfRule>
  </conditionalFormatting>
  <conditionalFormatting sqref="J34">
    <cfRule type="notContainsErrors" dxfId="0" priority="29">
      <formula>NOT(ISERROR(J34))</formula>
    </cfRule>
  </conditionalFormatting>
  <conditionalFormatting sqref="J340">
    <cfRule type="notContainsErrors" dxfId="0" priority="279">
      <formula>NOT(ISERROR(J340))</formula>
    </cfRule>
  </conditionalFormatting>
  <conditionalFormatting sqref="J341">
    <cfRule type="notContainsErrors" dxfId="0" priority="280">
      <formula>NOT(ISERROR(J341))</formula>
    </cfRule>
  </conditionalFormatting>
  <conditionalFormatting sqref="J342">
    <cfRule type="notContainsErrors" dxfId="0" priority="281">
      <formula>NOT(ISERROR(J342))</formula>
    </cfRule>
  </conditionalFormatting>
  <conditionalFormatting sqref="J343">
    <cfRule type="notContainsErrors" dxfId="0" priority="282">
      <formula>NOT(ISERROR(J343))</formula>
    </cfRule>
  </conditionalFormatting>
  <conditionalFormatting sqref="J344">
    <cfRule type="notContainsErrors" dxfId="0" priority="283">
      <formula>NOT(ISERROR(J344))</formula>
    </cfRule>
  </conditionalFormatting>
  <conditionalFormatting sqref="J345">
    <cfRule type="notContainsErrors" dxfId="0" priority="284">
      <formula>NOT(ISERROR(J345))</formula>
    </cfRule>
  </conditionalFormatting>
  <conditionalFormatting sqref="J346">
    <cfRule type="notContainsErrors" dxfId="0" priority="285">
      <formula>NOT(ISERROR(J346))</formula>
    </cfRule>
  </conditionalFormatting>
  <conditionalFormatting sqref="J347">
    <cfRule type="notContainsErrors" dxfId="0" priority="286">
      <formula>NOT(ISERROR(J347))</formula>
    </cfRule>
  </conditionalFormatting>
  <conditionalFormatting sqref="J348">
    <cfRule type="notContainsErrors" dxfId="0" priority="287">
      <formula>NOT(ISERROR(J348))</formula>
    </cfRule>
  </conditionalFormatting>
  <conditionalFormatting sqref="J349">
    <cfRule type="notContainsErrors" dxfId="0" priority="288">
      <formula>NOT(ISERROR(J349))</formula>
    </cfRule>
  </conditionalFormatting>
  <conditionalFormatting sqref="J35">
    <cfRule type="notContainsErrors" dxfId="0" priority="30">
      <formula>NOT(ISERROR(J35))</formula>
    </cfRule>
  </conditionalFormatting>
  <conditionalFormatting sqref="J350">
    <cfRule type="notContainsErrors" dxfId="0" priority="289">
      <formula>NOT(ISERROR(J350))</formula>
    </cfRule>
  </conditionalFormatting>
  <conditionalFormatting sqref="J351">
    <cfRule type="notContainsErrors" dxfId="0" priority="290">
      <formula>NOT(ISERROR(J351))</formula>
    </cfRule>
  </conditionalFormatting>
  <conditionalFormatting sqref="J352">
    <cfRule type="notContainsErrors" dxfId="0" priority="291">
      <formula>NOT(ISERROR(J352))</formula>
    </cfRule>
  </conditionalFormatting>
  <conditionalFormatting sqref="J353">
    <cfRule type="notContainsErrors" dxfId="0" priority="292">
      <formula>NOT(ISERROR(J353))</formula>
    </cfRule>
  </conditionalFormatting>
  <conditionalFormatting sqref="J354">
    <cfRule type="notContainsErrors" dxfId="0" priority="293">
      <formula>NOT(ISERROR(J354))</formula>
    </cfRule>
  </conditionalFormatting>
  <conditionalFormatting sqref="J355">
    <cfRule type="notContainsErrors" dxfId="0" priority="294">
      <formula>NOT(ISERROR(J355))</formula>
    </cfRule>
  </conditionalFormatting>
  <conditionalFormatting sqref="J356">
    <cfRule type="notContainsErrors" dxfId="0" priority="295">
      <formula>NOT(ISERROR(J356))</formula>
    </cfRule>
  </conditionalFormatting>
  <conditionalFormatting sqref="J357">
    <cfRule type="notContainsErrors" dxfId="0" priority="296">
      <formula>NOT(ISERROR(J357))</formula>
    </cfRule>
  </conditionalFormatting>
  <conditionalFormatting sqref="J358">
    <cfRule type="notContainsErrors" dxfId="0" priority="297">
      <formula>NOT(ISERROR(J358))</formula>
    </cfRule>
  </conditionalFormatting>
  <conditionalFormatting sqref="J359">
    <cfRule type="notContainsErrors" dxfId="0" priority="298">
      <formula>NOT(ISERROR(J359))</formula>
    </cfRule>
  </conditionalFormatting>
  <conditionalFormatting sqref="J36">
    <cfRule type="notContainsErrors" dxfId="0" priority="31">
      <formula>NOT(ISERROR(J36))</formula>
    </cfRule>
  </conditionalFormatting>
  <conditionalFormatting sqref="J360">
    <cfRule type="notContainsErrors" dxfId="0" priority="299">
      <formula>NOT(ISERROR(J360))</formula>
    </cfRule>
  </conditionalFormatting>
  <conditionalFormatting sqref="J361">
    <cfRule type="notContainsErrors" dxfId="0" priority="300">
      <formula>NOT(ISERROR(J361))</formula>
    </cfRule>
  </conditionalFormatting>
  <conditionalFormatting sqref="J362">
    <cfRule type="notContainsErrors" dxfId="0" priority="301">
      <formula>NOT(ISERROR(J362))</formula>
    </cfRule>
  </conditionalFormatting>
  <conditionalFormatting sqref="J363">
    <cfRule type="notContainsErrors" dxfId="0" priority="302">
      <formula>NOT(ISERROR(J363))</formula>
    </cfRule>
  </conditionalFormatting>
  <conditionalFormatting sqref="J364">
    <cfRule type="notContainsErrors" dxfId="0" priority="303">
      <formula>NOT(ISERROR(J364))</formula>
    </cfRule>
  </conditionalFormatting>
  <conditionalFormatting sqref="J37">
    <cfRule type="notContainsErrors" dxfId="0" priority="32">
      <formula>NOT(ISERROR(J37))</formula>
    </cfRule>
  </conditionalFormatting>
  <conditionalFormatting sqref="J374">
    <cfRule type="notContainsErrors" dxfId="0" priority="304">
      <formula>NOT(ISERROR(J374))</formula>
    </cfRule>
  </conditionalFormatting>
  <conditionalFormatting sqref="J375">
    <cfRule type="notContainsErrors" dxfId="0" priority="305">
      <formula>NOT(ISERROR(J375))</formula>
    </cfRule>
  </conditionalFormatting>
  <conditionalFormatting sqref="J376">
    <cfRule type="notContainsErrors" dxfId="0" priority="306">
      <formula>NOT(ISERROR(J376))</formula>
    </cfRule>
  </conditionalFormatting>
  <conditionalFormatting sqref="J377">
    <cfRule type="notContainsErrors" dxfId="0" priority="307">
      <formula>NOT(ISERROR(J377))</formula>
    </cfRule>
  </conditionalFormatting>
  <conditionalFormatting sqref="J378">
    <cfRule type="notContainsErrors" dxfId="0" priority="308">
      <formula>NOT(ISERROR(J378))</formula>
    </cfRule>
  </conditionalFormatting>
  <conditionalFormatting sqref="J379">
    <cfRule type="notContainsErrors" dxfId="0" priority="309">
      <formula>NOT(ISERROR(J379))</formula>
    </cfRule>
  </conditionalFormatting>
  <conditionalFormatting sqref="J38">
    <cfRule type="notContainsErrors" dxfId="0" priority="33">
      <formula>NOT(ISERROR(J38))</formula>
    </cfRule>
  </conditionalFormatting>
  <conditionalFormatting sqref="J380">
    <cfRule type="notContainsErrors" dxfId="0" priority="310">
      <formula>NOT(ISERROR(J380))</formula>
    </cfRule>
  </conditionalFormatting>
  <conditionalFormatting sqref="J381">
    <cfRule type="notContainsErrors" dxfId="0" priority="311">
      <formula>NOT(ISERROR(J381))</formula>
    </cfRule>
  </conditionalFormatting>
  <conditionalFormatting sqref="J382">
    <cfRule type="notContainsErrors" dxfId="0" priority="312">
      <formula>NOT(ISERROR(J382))</formula>
    </cfRule>
  </conditionalFormatting>
  <conditionalFormatting sqref="J383">
    <cfRule type="notContainsErrors" dxfId="0" priority="313">
      <formula>NOT(ISERROR(J383))</formula>
    </cfRule>
  </conditionalFormatting>
  <conditionalFormatting sqref="J384">
    <cfRule type="notContainsErrors" dxfId="0" priority="314">
      <formula>NOT(ISERROR(J384))</formula>
    </cfRule>
  </conditionalFormatting>
  <conditionalFormatting sqref="J385">
    <cfRule type="notContainsErrors" dxfId="0" priority="315">
      <formula>NOT(ISERROR(J385))</formula>
    </cfRule>
  </conditionalFormatting>
  <conditionalFormatting sqref="J386">
    <cfRule type="notContainsErrors" dxfId="0" priority="316">
      <formula>NOT(ISERROR(J386))</formula>
    </cfRule>
  </conditionalFormatting>
  <conditionalFormatting sqref="J387">
    <cfRule type="notContainsErrors" dxfId="0" priority="317">
      <formula>NOT(ISERROR(J387))</formula>
    </cfRule>
  </conditionalFormatting>
  <conditionalFormatting sqref="J388">
    <cfRule type="notContainsErrors" dxfId="0" priority="318">
      <formula>NOT(ISERROR(J388))</formula>
    </cfRule>
  </conditionalFormatting>
  <conditionalFormatting sqref="J389">
    <cfRule type="notContainsErrors" dxfId="0" priority="319">
      <formula>NOT(ISERROR(J389))</formula>
    </cfRule>
  </conditionalFormatting>
  <conditionalFormatting sqref="J39">
    <cfRule type="notContainsErrors" dxfId="0" priority="34">
      <formula>NOT(ISERROR(J39))</formula>
    </cfRule>
  </conditionalFormatting>
  <conditionalFormatting sqref="J390">
    <cfRule type="notContainsErrors" dxfId="0" priority="320">
      <formula>NOT(ISERROR(J390))</formula>
    </cfRule>
  </conditionalFormatting>
  <conditionalFormatting sqref="J391">
    <cfRule type="notContainsErrors" dxfId="0" priority="321">
      <formula>NOT(ISERROR(J391))</formula>
    </cfRule>
  </conditionalFormatting>
  <conditionalFormatting sqref="J392">
    <cfRule type="notContainsErrors" dxfId="0" priority="322">
      <formula>NOT(ISERROR(J392))</formula>
    </cfRule>
  </conditionalFormatting>
  <conditionalFormatting sqref="J393">
    <cfRule type="notContainsErrors" dxfId="0" priority="323">
      <formula>NOT(ISERROR(J393))</formula>
    </cfRule>
  </conditionalFormatting>
  <conditionalFormatting sqref="J394">
    <cfRule type="notContainsErrors" dxfId="0" priority="324">
      <formula>NOT(ISERROR(J394))</formula>
    </cfRule>
  </conditionalFormatting>
  <conditionalFormatting sqref="J395">
    <cfRule type="notContainsErrors" dxfId="0" priority="325">
      <formula>NOT(ISERROR(J395))</formula>
    </cfRule>
  </conditionalFormatting>
  <conditionalFormatting sqref="J396">
    <cfRule type="notContainsErrors" dxfId="0" priority="326">
      <formula>NOT(ISERROR(J396))</formula>
    </cfRule>
  </conditionalFormatting>
  <conditionalFormatting sqref="J397">
    <cfRule type="notContainsErrors" dxfId="0" priority="327">
      <formula>NOT(ISERROR(J397))</formula>
    </cfRule>
  </conditionalFormatting>
  <conditionalFormatting sqref="J398">
    <cfRule type="notContainsErrors" dxfId="0" priority="328">
      <formula>NOT(ISERROR(J398))</formula>
    </cfRule>
  </conditionalFormatting>
  <conditionalFormatting sqref="J399">
    <cfRule type="notContainsErrors" dxfId="0" priority="329">
      <formula>NOT(ISERROR(J399))</formula>
    </cfRule>
  </conditionalFormatting>
  <conditionalFormatting sqref="J4">
    <cfRule type="notContainsErrors" dxfId="0" priority="3">
      <formula>NOT(ISERROR(J4))</formula>
    </cfRule>
  </conditionalFormatting>
  <conditionalFormatting sqref="J40">
    <cfRule type="notContainsErrors" dxfId="0" priority="35">
      <formula>NOT(ISERROR(J40))</formula>
    </cfRule>
  </conditionalFormatting>
  <conditionalFormatting sqref="J400">
    <cfRule type="notContainsErrors" dxfId="0" priority="330">
      <formula>NOT(ISERROR(J400))</formula>
    </cfRule>
  </conditionalFormatting>
  <conditionalFormatting sqref="J401">
    <cfRule type="notContainsErrors" dxfId="0" priority="331">
      <formula>NOT(ISERROR(J401))</formula>
    </cfRule>
  </conditionalFormatting>
  <conditionalFormatting sqref="J402">
    <cfRule type="notContainsErrors" dxfId="0" priority="332">
      <formula>NOT(ISERROR(J402))</formula>
    </cfRule>
  </conditionalFormatting>
  <conditionalFormatting sqref="J41">
    <cfRule type="notContainsErrors" dxfId="0" priority="36">
      <formula>NOT(ISERROR(J41))</formula>
    </cfRule>
  </conditionalFormatting>
  <conditionalFormatting sqref="J42">
    <cfRule type="notContainsErrors" dxfId="0" priority="37">
      <formula>NOT(ISERROR(J42))</formula>
    </cfRule>
  </conditionalFormatting>
  <conditionalFormatting sqref="J421">
    <cfRule type="notContainsErrors" dxfId="0" priority="333">
      <formula>NOT(ISERROR(J421))</formula>
    </cfRule>
  </conditionalFormatting>
  <conditionalFormatting sqref="J422">
    <cfRule type="notContainsErrors" dxfId="0" priority="334">
      <formula>NOT(ISERROR(J422))</formula>
    </cfRule>
  </conditionalFormatting>
  <conditionalFormatting sqref="J423">
    <cfRule type="notContainsErrors" dxfId="0" priority="335">
      <formula>NOT(ISERROR(J423))</formula>
    </cfRule>
  </conditionalFormatting>
  <conditionalFormatting sqref="J424">
    <cfRule type="notContainsErrors" dxfId="0" priority="336">
      <formula>NOT(ISERROR(J424))</formula>
    </cfRule>
  </conditionalFormatting>
  <conditionalFormatting sqref="J425">
    <cfRule type="notContainsErrors" dxfId="0" priority="337">
      <formula>NOT(ISERROR(J425))</formula>
    </cfRule>
  </conditionalFormatting>
  <conditionalFormatting sqref="J426">
    <cfRule type="notContainsErrors" dxfId="0" priority="338">
      <formula>NOT(ISERROR(J426))</formula>
    </cfRule>
  </conditionalFormatting>
  <conditionalFormatting sqref="J427">
    <cfRule type="notContainsErrors" dxfId="0" priority="339">
      <formula>NOT(ISERROR(J427))</formula>
    </cfRule>
  </conditionalFormatting>
  <conditionalFormatting sqref="J428">
    <cfRule type="notContainsErrors" dxfId="0" priority="340">
      <formula>NOT(ISERROR(J428))</formula>
    </cfRule>
  </conditionalFormatting>
  <conditionalFormatting sqref="J429">
    <cfRule type="notContainsErrors" dxfId="0" priority="341">
      <formula>NOT(ISERROR(J429))</formula>
    </cfRule>
  </conditionalFormatting>
  <conditionalFormatting sqref="J43">
    <cfRule type="notContainsErrors" dxfId="0" priority="38">
      <formula>NOT(ISERROR(J43))</formula>
    </cfRule>
  </conditionalFormatting>
  <conditionalFormatting sqref="J430">
    <cfRule type="notContainsErrors" dxfId="0" priority="342">
      <formula>NOT(ISERROR(J430))</formula>
    </cfRule>
  </conditionalFormatting>
  <conditionalFormatting sqref="J431">
    <cfRule type="notContainsErrors" dxfId="0" priority="343">
      <formula>NOT(ISERROR(J431))</formula>
    </cfRule>
  </conditionalFormatting>
  <conditionalFormatting sqref="J432">
    <cfRule type="notContainsErrors" dxfId="0" priority="344">
      <formula>NOT(ISERROR(J432))</formula>
    </cfRule>
  </conditionalFormatting>
  <conditionalFormatting sqref="J433">
    <cfRule type="notContainsErrors" dxfId="0" priority="345">
      <formula>NOT(ISERROR(J433))</formula>
    </cfRule>
  </conditionalFormatting>
  <conditionalFormatting sqref="J434">
    <cfRule type="notContainsErrors" dxfId="0" priority="346">
      <formula>NOT(ISERROR(J434))</formula>
    </cfRule>
  </conditionalFormatting>
  <conditionalFormatting sqref="J435">
    <cfRule type="notContainsErrors" dxfId="0" priority="347">
      <formula>NOT(ISERROR(J435))</formula>
    </cfRule>
  </conditionalFormatting>
  <conditionalFormatting sqref="J436">
    <cfRule type="notContainsErrors" dxfId="0" priority="348">
      <formula>NOT(ISERROR(J436))</formula>
    </cfRule>
  </conditionalFormatting>
  <conditionalFormatting sqref="J437">
    <cfRule type="notContainsErrors" dxfId="0" priority="349">
      <formula>NOT(ISERROR(J437))</formula>
    </cfRule>
  </conditionalFormatting>
  <conditionalFormatting sqref="J438">
    <cfRule type="notContainsErrors" dxfId="0" priority="350">
      <formula>NOT(ISERROR(J438))</formula>
    </cfRule>
  </conditionalFormatting>
  <conditionalFormatting sqref="J439">
    <cfRule type="notContainsErrors" dxfId="0" priority="351">
      <formula>NOT(ISERROR(J439))</formula>
    </cfRule>
  </conditionalFormatting>
  <conditionalFormatting sqref="J44">
    <cfRule type="notContainsErrors" dxfId="0" priority="39">
      <formula>NOT(ISERROR(J44))</formula>
    </cfRule>
  </conditionalFormatting>
  <conditionalFormatting sqref="J440">
    <cfRule type="notContainsErrors" dxfId="0" priority="352">
      <formula>NOT(ISERROR(J440))</formula>
    </cfRule>
  </conditionalFormatting>
  <conditionalFormatting sqref="J441">
    <cfRule type="notContainsErrors" dxfId="0" priority="353">
      <formula>NOT(ISERROR(J441))</formula>
    </cfRule>
  </conditionalFormatting>
  <conditionalFormatting sqref="J442">
    <cfRule type="notContainsErrors" dxfId="0" priority="354">
      <formula>NOT(ISERROR(J442))</formula>
    </cfRule>
  </conditionalFormatting>
  <conditionalFormatting sqref="J443">
    <cfRule type="notContainsErrors" dxfId="0" priority="355">
      <formula>NOT(ISERROR(J443))</formula>
    </cfRule>
  </conditionalFormatting>
  <conditionalFormatting sqref="J444">
    <cfRule type="notContainsErrors" dxfId="0" priority="356">
      <formula>NOT(ISERROR(J444))</formula>
    </cfRule>
  </conditionalFormatting>
  <conditionalFormatting sqref="J445">
    <cfRule type="notContainsErrors" dxfId="0" priority="357">
      <formula>NOT(ISERROR(J445))</formula>
    </cfRule>
  </conditionalFormatting>
  <conditionalFormatting sqref="J446">
    <cfRule type="notContainsErrors" dxfId="0" priority="358">
      <formula>NOT(ISERROR(J446))</formula>
    </cfRule>
  </conditionalFormatting>
  <conditionalFormatting sqref="J447">
    <cfRule type="notContainsErrors" dxfId="0" priority="359">
      <formula>NOT(ISERROR(J447))</formula>
    </cfRule>
  </conditionalFormatting>
  <conditionalFormatting sqref="J448">
    <cfRule type="notContainsErrors" dxfId="0" priority="360">
      <formula>NOT(ISERROR(J448))</formula>
    </cfRule>
  </conditionalFormatting>
  <conditionalFormatting sqref="J449">
    <cfRule type="notContainsErrors" dxfId="0" priority="361">
      <formula>NOT(ISERROR(J449))</formula>
    </cfRule>
  </conditionalFormatting>
  <conditionalFormatting sqref="J45">
    <cfRule type="notContainsErrors" dxfId="0" priority="40">
      <formula>NOT(ISERROR(J45))</formula>
    </cfRule>
  </conditionalFormatting>
  <conditionalFormatting sqref="J450">
    <cfRule type="notContainsErrors" dxfId="0" priority="362">
      <formula>NOT(ISERROR(J450))</formula>
    </cfRule>
  </conditionalFormatting>
  <conditionalFormatting sqref="J451">
    <cfRule type="notContainsErrors" dxfId="0" priority="363">
      <formula>NOT(ISERROR(J451))</formula>
    </cfRule>
  </conditionalFormatting>
  <conditionalFormatting sqref="J46">
    <cfRule type="notContainsErrors" dxfId="0" priority="41">
      <formula>NOT(ISERROR(J46))</formula>
    </cfRule>
  </conditionalFormatting>
  <conditionalFormatting sqref="J462">
    <cfRule type="notContainsErrors" dxfId="0" priority="364">
      <formula>NOT(ISERROR(J462))</formula>
    </cfRule>
  </conditionalFormatting>
  <conditionalFormatting sqref="J463">
    <cfRule type="notContainsErrors" dxfId="0" priority="365">
      <formula>NOT(ISERROR(J463))</formula>
    </cfRule>
  </conditionalFormatting>
  <conditionalFormatting sqref="J466">
    <cfRule type="notContainsErrors" dxfId="0" priority="366">
      <formula>NOT(ISERROR(J466))</formula>
    </cfRule>
  </conditionalFormatting>
  <conditionalFormatting sqref="J467">
    <cfRule type="notContainsErrors" dxfId="0" priority="367">
      <formula>NOT(ISERROR(J467))</formula>
    </cfRule>
  </conditionalFormatting>
  <conditionalFormatting sqref="J468">
    <cfRule type="notContainsErrors" dxfId="0" priority="368">
      <formula>NOT(ISERROR(J468))</formula>
    </cfRule>
  </conditionalFormatting>
  <conditionalFormatting sqref="J469">
    <cfRule type="notContainsErrors" dxfId="0" priority="369">
      <formula>NOT(ISERROR(J469))</formula>
    </cfRule>
  </conditionalFormatting>
  <conditionalFormatting sqref="J47">
    <cfRule type="notContainsErrors" dxfId="0" priority="42">
      <formula>NOT(ISERROR(J47))</formula>
    </cfRule>
  </conditionalFormatting>
  <conditionalFormatting sqref="J470">
    <cfRule type="notContainsErrors" dxfId="0" priority="370">
      <formula>NOT(ISERROR(J470))</formula>
    </cfRule>
  </conditionalFormatting>
  <conditionalFormatting sqref="J471">
    <cfRule type="notContainsErrors" dxfId="0" priority="371">
      <formula>NOT(ISERROR(J471))</formula>
    </cfRule>
  </conditionalFormatting>
  <conditionalFormatting sqref="J472">
    <cfRule type="notContainsErrors" dxfId="0" priority="372">
      <formula>NOT(ISERROR(J472))</formula>
    </cfRule>
  </conditionalFormatting>
  <conditionalFormatting sqref="J473">
    <cfRule type="notContainsErrors" dxfId="0" priority="373">
      <formula>NOT(ISERROR(J473))</formula>
    </cfRule>
  </conditionalFormatting>
  <conditionalFormatting sqref="J474">
    <cfRule type="notContainsErrors" dxfId="0" priority="374">
      <formula>NOT(ISERROR(J474))</formula>
    </cfRule>
  </conditionalFormatting>
  <conditionalFormatting sqref="J475">
    <cfRule type="notContainsErrors" dxfId="0" priority="375">
      <formula>NOT(ISERROR(J475))</formula>
    </cfRule>
  </conditionalFormatting>
  <conditionalFormatting sqref="J476">
    <cfRule type="notContainsErrors" dxfId="0" priority="376">
      <formula>NOT(ISERROR(J476))</formula>
    </cfRule>
  </conditionalFormatting>
  <conditionalFormatting sqref="J477">
    <cfRule type="notContainsErrors" dxfId="0" priority="377">
      <formula>NOT(ISERROR(J477))</formula>
    </cfRule>
  </conditionalFormatting>
  <conditionalFormatting sqref="J478">
    <cfRule type="notContainsErrors" dxfId="0" priority="378">
      <formula>NOT(ISERROR(J478))</formula>
    </cfRule>
  </conditionalFormatting>
  <conditionalFormatting sqref="J479">
    <cfRule type="notContainsErrors" dxfId="0" priority="379">
      <formula>NOT(ISERROR(J479))</formula>
    </cfRule>
  </conditionalFormatting>
  <conditionalFormatting sqref="J48">
    <cfRule type="notContainsErrors" dxfId="0" priority="43">
      <formula>NOT(ISERROR(J48))</formula>
    </cfRule>
  </conditionalFormatting>
  <conditionalFormatting sqref="J482">
    <cfRule type="notContainsErrors" dxfId="0" priority="380">
      <formula>NOT(ISERROR(J482))</formula>
    </cfRule>
  </conditionalFormatting>
  <conditionalFormatting sqref="J483">
    <cfRule type="notContainsErrors" dxfId="0" priority="381">
      <formula>NOT(ISERROR(J483))</formula>
    </cfRule>
  </conditionalFormatting>
  <conditionalFormatting sqref="J484">
    <cfRule type="notContainsErrors" dxfId="0" priority="382">
      <formula>NOT(ISERROR(J484))</formula>
    </cfRule>
  </conditionalFormatting>
  <conditionalFormatting sqref="J485">
    <cfRule type="notContainsErrors" dxfId="0" priority="383">
      <formula>NOT(ISERROR(J485))</formula>
    </cfRule>
  </conditionalFormatting>
  <conditionalFormatting sqref="J486">
    <cfRule type="notContainsErrors" dxfId="0" priority="384">
      <formula>NOT(ISERROR(J486))</formula>
    </cfRule>
  </conditionalFormatting>
  <conditionalFormatting sqref="J487">
    <cfRule type="notContainsErrors" dxfId="0" priority="385">
      <formula>NOT(ISERROR(J487))</formula>
    </cfRule>
  </conditionalFormatting>
  <conditionalFormatting sqref="J488">
    <cfRule type="notContainsErrors" dxfId="0" priority="386">
      <formula>NOT(ISERROR(J488))</formula>
    </cfRule>
  </conditionalFormatting>
  <conditionalFormatting sqref="J489">
    <cfRule type="notContainsErrors" dxfId="0" priority="387">
      <formula>NOT(ISERROR(J489))</formula>
    </cfRule>
  </conditionalFormatting>
  <conditionalFormatting sqref="J49">
    <cfRule type="notContainsErrors" dxfId="0" priority="44">
      <formula>NOT(ISERROR(J49))</formula>
    </cfRule>
  </conditionalFormatting>
  <conditionalFormatting sqref="J490">
    <cfRule type="notContainsErrors" dxfId="0" priority="388">
      <formula>NOT(ISERROR(J490))</formula>
    </cfRule>
  </conditionalFormatting>
  <conditionalFormatting sqref="J491">
    <cfRule type="notContainsErrors" dxfId="0" priority="389">
      <formula>NOT(ISERROR(J491))</formula>
    </cfRule>
  </conditionalFormatting>
  <conditionalFormatting sqref="J492">
    <cfRule type="notContainsErrors" dxfId="0" priority="390">
      <formula>NOT(ISERROR(J492))</formula>
    </cfRule>
  </conditionalFormatting>
  <conditionalFormatting sqref="J493">
    <cfRule type="notContainsErrors" dxfId="0" priority="391">
      <formula>NOT(ISERROR(J493))</formula>
    </cfRule>
  </conditionalFormatting>
  <conditionalFormatting sqref="J494">
    <cfRule type="notContainsErrors" dxfId="0" priority="392">
      <formula>NOT(ISERROR(J494))</formula>
    </cfRule>
  </conditionalFormatting>
  <conditionalFormatting sqref="J495">
    <cfRule type="notContainsErrors" dxfId="0" priority="393">
      <formula>NOT(ISERROR(J495))</formula>
    </cfRule>
  </conditionalFormatting>
  <conditionalFormatting sqref="J496">
    <cfRule type="notContainsErrors" dxfId="0" priority="394">
      <formula>NOT(ISERROR(J496))</formula>
    </cfRule>
  </conditionalFormatting>
  <conditionalFormatting sqref="J497">
    <cfRule type="notContainsErrors" dxfId="0" priority="395">
      <formula>NOT(ISERROR(J497))</formula>
    </cfRule>
  </conditionalFormatting>
  <conditionalFormatting sqref="J498">
    <cfRule type="notContainsErrors" dxfId="0" priority="396">
      <formula>NOT(ISERROR(J498))</formula>
    </cfRule>
  </conditionalFormatting>
  <conditionalFormatting sqref="J499">
    <cfRule type="notContainsErrors" dxfId="0" priority="397">
      <formula>NOT(ISERROR(J499))</formula>
    </cfRule>
  </conditionalFormatting>
  <conditionalFormatting sqref="J5">
    <cfRule type="notContainsErrors" dxfId="0" priority="4">
      <formula>NOT(ISERROR(J5))</formula>
    </cfRule>
  </conditionalFormatting>
  <conditionalFormatting sqref="J50">
    <cfRule type="notContainsErrors" dxfId="0" priority="45">
      <formula>NOT(ISERROR(J50))</formula>
    </cfRule>
  </conditionalFormatting>
  <conditionalFormatting sqref="J500">
    <cfRule type="notContainsErrors" dxfId="0" priority="398">
      <formula>NOT(ISERROR(J500))</formula>
    </cfRule>
  </conditionalFormatting>
  <conditionalFormatting sqref="J501">
    <cfRule type="notContainsErrors" dxfId="0" priority="399">
      <formula>NOT(ISERROR(J501))</formula>
    </cfRule>
  </conditionalFormatting>
  <conditionalFormatting sqref="J502">
    <cfRule type="notContainsErrors" dxfId="0" priority="400">
      <formula>NOT(ISERROR(J502))</formula>
    </cfRule>
  </conditionalFormatting>
  <conditionalFormatting sqref="J503">
    <cfRule type="notContainsErrors" dxfId="0" priority="401">
      <formula>NOT(ISERROR(J503))</formula>
    </cfRule>
  </conditionalFormatting>
  <conditionalFormatting sqref="J504">
    <cfRule type="notContainsErrors" dxfId="0" priority="402">
      <formula>NOT(ISERROR(J504))</formula>
    </cfRule>
  </conditionalFormatting>
  <conditionalFormatting sqref="J505">
    <cfRule type="notContainsErrors" dxfId="0" priority="403">
      <formula>NOT(ISERROR(J505))</formula>
    </cfRule>
  </conditionalFormatting>
  <conditionalFormatting sqref="J506">
    <cfRule type="notContainsErrors" dxfId="0" priority="404">
      <formula>NOT(ISERROR(J506))</formula>
    </cfRule>
  </conditionalFormatting>
  <conditionalFormatting sqref="J507">
    <cfRule type="notContainsErrors" dxfId="0" priority="405">
      <formula>NOT(ISERROR(J507))</formula>
    </cfRule>
  </conditionalFormatting>
  <conditionalFormatting sqref="J508">
    <cfRule type="notContainsErrors" dxfId="0" priority="406">
      <formula>NOT(ISERROR(J508))</formula>
    </cfRule>
  </conditionalFormatting>
  <conditionalFormatting sqref="J509">
    <cfRule type="notContainsErrors" dxfId="0" priority="407">
      <formula>NOT(ISERROR(J509))</formula>
    </cfRule>
  </conditionalFormatting>
  <conditionalFormatting sqref="J51">
    <cfRule type="notContainsErrors" dxfId="0" priority="46">
      <formula>NOT(ISERROR(J51))</formula>
    </cfRule>
  </conditionalFormatting>
  <conditionalFormatting sqref="J510">
    <cfRule type="notContainsErrors" dxfId="0" priority="408">
      <formula>NOT(ISERROR(J510))</formula>
    </cfRule>
  </conditionalFormatting>
  <conditionalFormatting sqref="J511">
    <cfRule type="notContainsErrors" dxfId="0" priority="409">
      <formula>NOT(ISERROR(J511))</formula>
    </cfRule>
  </conditionalFormatting>
  <conditionalFormatting sqref="J512">
    <cfRule type="notContainsErrors" dxfId="0" priority="410">
      <formula>NOT(ISERROR(J512))</formula>
    </cfRule>
  </conditionalFormatting>
  <conditionalFormatting sqref="J513">
    <cfRule type="notContainsErrors" dxfId="0" priority="411">
      <formula>NOT(ISERROR(J513))</formula>
    </cfRule>
  </conditionalFormatting>
  <conditionalFormatting sqref="J514">
    <cfRule type="notContainsErrors" dxfId="0" priority="412">
      <formula>NOT(ISERROR(J514))</formula>
    </cfRule>
  </conditionalFormatting>
  <conditionalFormatting sqref="J515">
    <cfRule type="notContainsErrors" dxfId="0" priority="413">
      <formula>NOT(ISERROR(J515))</formula>
    </cfRule>
  </conditionalFormatting>
  <conditionalFormatting sqref="J516">
    <cfRule type="notContainsErrors" dxfId="0" priority="414">
      <formula>NOT(ISERROR(J516))</formula>
    </cfRule>
  </conditionalFormatting>
  <conditionalFormatting sqref="J517">
    <cfRule type="notContainsErrors" dxfId="0" priority="415">
      <formula>NOT(ISERROR(J517))</formula>
    </cfRule>
  </conditionalFormatting>
  <conditionalFormatting sqref="J518">
    <cfRule type="notContainsErrors" dxfId="0" priority="416">
      <formula>NOT(ISERROR(J518))</formula>
    </cfRule>
  </conditionalFormatting>
  <conditionalFormatting sqref="J519">
    <cfRule type="notContainsErrors" dxfId="0" priority="417">
      <formula>NOT(ISERROR(J519))</formula>
    </cfRule>
  </conditionalFormatting>
  <conditionalFormatting sqref="J52">
    <cfRule type="notContainsErrors" dxfId="0" priority="47">
      <formula>NOT(ISERROR(J52))</formula>
    </cfRule>
  </conditionalFormatting>
  <conditionalFormatting sqref="J520">
    <cfRule type="notContainsErrors" dxfId="0" priority="418">
      <formula>NOT(ISERROR(J520))</formula>
    </cfRule>
  </conditionalFormatting>
  <conditionalFormatting sqref="J521">
    <cfRule type="notContainsErrors" dxfId="0" priority="419">
      <formula>NOT(ISERROR(J521))</formula>
    </cfRule>
  </conditionalFormatting>
  <conditionalFormatting sqref="J522">
    <cfRule type="notContainsErrors" dxfId="0" priority="420">
      <formula>NOT(ISERROR(J522))</formula>
    </cfRule>
  </conditionalFormatting>
  <conditionalFormatting sqref="J523">
    <cfRule type="notContainsErrors" dxfId="0" priority="421">
      <formula>NOT(ISERROR(J523))</formula>
    </cfRule>
  </conditionalFormatting>
  <conditionalFormatting sqref="J524">
    <cfRule type="notContainsErrors" dxfId="0" priority="422">
      <formula>NOT(ISERROR(J524))</formula>
    </cfRule>
  </conditionalFormatting>
  <conditionalFormatting sqref="J525">
    <cfRule type="notContainsErrors" dxfId="0" priority="423">
      <formula>NOT(ISERROR(J525))</formula>
    </cfRule>
  </conditionalFormatting>
  <conditionalFormatting sqref="J526">
    <cfRule type="notContainsErrors" dxfId="0" priority="424">
      <formula>NOT(ISERROR(J526))</formula>
    </cfRule>
  </conditionalFormatting>
  <conditionalFormatting sqref="J527">
    <cfRule type="notContainsErrors" dxfId="0" priority="425">
      <formula>NOT(ISERROR(J527))</formula>
    </cfRule>
  </conditionalFormatting>
  <conditionalFormatting sqref="J528">
    <cfRule type="notContainsErrors" dxfId="0" priority="426">
      <formula>NOT(ISERROR(J528))</formula>
    </cfRule>
  </conditionalFormatting>
  <conditionalFormatting sqref="J529">
    <cfRule type="notContainsErrors" dxfId="0" priority="427">
      <formula>NOT(ISERROR(J529))</formula>
    </cfRule>
  </conditionalFormatting>
  <conditionalFormatting sqref="J53">
    <cfRule type="notContainsErrors" dxfId="0" priority="48">
      <formula>NOT(ISERROR(J53))</formula>
    </cfRule>
  </conditionalFormatting>
  <conditionalFormatting sqref="J530">
    <cfRule type="notContainsErrors" dxfId="0" priority="428">
      <formula>NOT(ISERROR(J530))</formula>
    </cfRule>
  </conditionalFormatting>
  <conditionalFormatting sqref="J531">
    <cfRule type="notContainsErrors" dxfId="0" priority="429">
      <formula>NOT(ISERROR(J531))</formula>
    </cfRule>
  </conditionalFormatting>
  <conditionalFormatting sqref="J532">
    <cfRule type="notContainsErrors" dxfId="0" priority="430">
      <formula>NOT(ISERROR(J532))</formula>
    </cfRule>
  </conditionalFormatting>
  <conditionalFormatting sqref="J533">
    <cfRule type="notContainsErrors" dxfId="0" priority="431">
      <formula>NOT(ISERROR(J533))</formula>
    </cfRule>
  </conditionalFormatting>
  <conditionalFormatting sqref="J534">
    <cfRule type="notContainsErrors" dxfId="0" priority="432">
      <formula>NOT(ISERROR(J534))</formula>
    </cfRule>
  </conditionalFormatting>
  <conditionalFormatting sqref="J535">
    <cfRule type="notContainsErrors" dxfId="0" priority="433">
      <formula>NOT(ISERROR(J535))</formula>
    </cfRule>
  </conditionalFormatting>
  <conditionalFormatting sqref="J536">
    <cfRule type="notContainsErrors" dxfId="0" priority="434">
      <formula>NOT(ISERROR(J536))</formula>
    </cfRule>
  </conditionalFormatting>
  <conditionalFormatting sqref="J537">
    <cfRule type="notContainsErrors" dxfId="0" priority="435">
      <formula>NOT(ISERROR(J537))</formula>
    </cfRule>
  </conditionalFormatting>
  <conditionalFormatting sqref="J538">
    <cfRule type="notContainsErrors" dxfId="0" priority="436">
      <formula>NOT(ISERROR(J538))</formula>
    </cfRule>
  </conditionalFormatting>
  <conditionalFormatting sqref="J539">
    <cfRule type="notContainsErrors" dxfId="0" priority="437">
      <formula>NOT(ISERROR(J539))</formula>
    </cfRule>
  </conditionalFormatting>
  <conditionalFormatting sqref="J54">
    <cfRule type="notContainsErrors" dxfId="0" priority="49">
      <formula>NOT(ISERROR(J54))</formula>
    </cfRule>
  </conditionalFormatting>
  <conditionalFormatting sqref="J540">
    <cfRule type="notContainsErrors" dxfId="0" priority="438">
      <formula>NOT(ISERROR(J540))</formula>
    </cfRule>
  </conditionalFormatting>
  <conditionalFormatting sqref="J541">
    <cfRule type="notContainsErrors" dxfId="0" priority="439">
      <formula>NOT(ISERROR(J541))</formula>
    </cfRule>
  </conditionalFormatting>
  <conditionalFormatting sqref="J542">
    <cfRule type="notContainsErrors" dxfId="0" priority="440">
      <formula>NOT(ISERROR(J542))</formula>
    </cfRule>
  </conditionalFormatting>
  <conditionalFormatting sqref="J543">
    <cfRule type="notContainsErrors" dxfId="0" priority="441">
      <formula>NOT(ISERROR(J543))</formula>
    </cfRule>
  </conditionalFormatting>
  <conditionalFormatting sqref="J544">
    <cfRule type="notContainsErrors" dxfId="0" priority="442">
      <formula>NOT(ISERROR(J544))</formula>
    </cfRule>
  </conditionalFormatting>
  <conditionalFormatting sqref="J545">
    <cfRule type="notContainsErrors" dxfId="0" priority="443">
      <formula>NOT(ISERROR(J545))</formula>
    </cfRule>
  </conditionalFormatting>
  <conditionalFormatting sqref="J546">
    <cfRule type="notContainsErrors" dxfId="0" priority="444">
      <formula>NOT(ISERROR(J546))</formula>
    </cfRule>
  </conditionalFormatting>
  <conditionalFormatting sqref="J547">
    <cfRule type="notContainsErrors" dxfId="0" priority="445">
      <formula>NOT(ISERROR(J547))</formula>
    </cfRule>
  </conditionalFormatting>
  <conditionalFormatting sqref="J548">
    <cfRule type="notContainsErrors" dxfId="0" priority="446">
      <formula>NOT(ISERROR(J548))</formula>
    </cfRule>
  </conditionalFormatting>
  <conditionalFormatting sqref="J549">
    <cfRule type="notContainsErrors" dxfId="0" priority="447">
      <formula>NOT(ISERROR(J549))</formula>
    </cfRule>
  </conditionalFormatting>
  <conditionalFormatting sqref="J55">
    <cfRule type="notContainsErrors" dxfId="0" priority="50">
      <formula>NOT(ISERROR(J55))</formula>
    </cfRule>
  </conditionalFormatting>
  <conditionalFormatting sqref="J550">
    <cfRule type="notContainsErrors" dxfId="0" priority="448">
      <formula>NOT(ISERROR(J550))</formula>
    </cfRule>
  </conditionalFormatting>
  <conditionalFormatting sqref="J551">
    <cfRule type="notContainsErrors" dxfId="0" priority="449">
      <formula>NOT(ISERROR(J551))</formula>
    </cfRule>
  </conditionalFormatting>
  <conditionalFormatting sqref="J552">
    <cfRule type="notContainsErrors" dxfId="0" priority="450">
      <formula>NOT(ISERROR(J552))</formula>
    </cfRule>
  </conditionalFormatting>
  <conditionalFormatting sqref="J553">
    <cfRule type="notContainsErrors" dxfId="0" priority="451">
      <formula>NOT(ISERROR(J553))</formula>
    </cfRule>
  </conditionalFormatting>
  <conditionalFormatting sqref="J554">
    <cfRule type="notContainsErrors" dxfId="0" priority="452">
      <formula>NOT(ISERROR(J554))</formula>
    </cfRule>
  </conditionalFormatting>
  <conditionalFormatting sqref="J555">
    <cfRule type="notContainsErrors" dxfId="0" priority="453">
      <formula>NOT(ISERROR(J555))</formula>
    </cfRule>
  </conditionalFormatting>
  <conditionalFormatting sqref="J556">
    <cfRule type="notContainsErrors" dxfId="0" priority="454">
      <formula>NOT(ISERROR(J556))</formula>
    </cfRule>
  </conditionalFormatting>
  <conditionalFormatting sqref="J557">
    <cfRule type="notContainsErrors" dxfId="0" priority="455">
      <formula>NOT(ISERROR(J557))</formula>
    </cfRule>
  </conditionalFormatting>
  <conditionalFormatting sqref="J558">
    <cfRule type="notContainsErrors" dxfId="0" priority="456">
      <formula>NOT(ISERROR(J558))</formula>
    </cfRule>
  </conditionalFormatting>
  <conditionalFormatting sqref="J559">
    <cfRule type="notContainsErrors" dxfId="0" priority="457">
      <formula>NOT(ISERROR(J559))</formula>
    </cfRule>
  </conditionalFormatting>
  <conditionalFormatting sqref="J56">
    <cfRule type="notContainsErrors" dxfId="0" priority="51">
      <formula>NOT(ISERROR(J56))</formula>
    </cfRule>
  </conditionalFormatting>
  <conditionalFormatting sqref="J560">
    <cfRule type="notContainsErrors" dxfId="0" priority="458">
      <formula>NOT(ISERROR(J560))</formula>
    </cfRule>
  </conditionalFormatting>
  <conditionalFormatting sqref="J561">
    <cfRule type="notContainsErrors" dxfId="0" priority="459">
      <formula>NOT(ISERROR(J561))</formula>
    </cfRule>
  </conditionalFormatting>
  <conditionalFormatting sqref="J562">
    <cfRule type="notContainsErrors" dxfId="0" priority="460">
      <formula>NOT(ISERROR(J562))</formula>
    </cfRule>
  </conditionalFormatting>
  <conditionalFormatting sqref="J563">
    <cfRule type="notContainsErrors" dxfId="0" priority="461">
      <formula>NOT(ISERROR(J563))</formula>
    </cfRule>
  </conditionalFormatting>
  <conditionalFormatting sqref="J564">
    <cfRule type="notContainsErrors" dxfId="0" priority="462">
      <formula>NOT(ISERROR(J564))</formula>
    </cfRule>
  </conditionalFormatting>
  <conditionalFormatting sqref="J565">
    <cfRule type="notContainsErrors" dxfId="0" priority="463">
      <formula>NOT(ISERROR(J565))</formula>
    </cfRule>
  </conditionalFormatting>
  <conditionalFormatting sqref="J566">
    <cfRule type="notContainsErrors" dxfId="0" priority="464">
      <formula>NOT(ISERROR(J566))</formula>
    </cfRule>
  </conditionalFormatting>
  <conditionalFormatting sqref="J567">
    <cfRule type="notContainsErrors" dxfId="0" priority="465">
      <formula>NOT(ISERROR(J567))</formula>
    </cfRule>
  </conditionalFormatting>
  <conditionalFormatting sqref="J568">
    <cfRule type="notContainsErrors" dxfId="0" priority="466">
      <formula>NOT(ISERROR(J568))</formula>
    </cfRule>
  </conditionalFormatting>
  <conditionalFormatting sqref="J569">
    <cfRule type="notContainsErrors" dxfId="0" priority="467">
      <formula>NOT(ISERROR(J569))</formula>
    </cfRule>
  </conditionalFormatting>
  <conditionalFormatting sqref="J57">
    <cfRule type="notContainsErrors" dxfId="0" priority="52">
      <formula>NOT(ISERROR(J57))</formula>
    </cfRule>
  </conditionalFormatting>
  <conditionalFormatting sqref="J570">
    <cfRule type="notContainsErrors" dxfId="0" priority="468">
      <formula>NOT(ISERROR(J570))</formula>
    </cfRule>
  </conditionalFormatting>
  <conditionalFormatting sqref="J571">
    <cfRule type="notContainsErrors" dxfId="0" priority="469">
      <formula>NOT(ISERROR(J571))</formula>
    </cfRule>
  </conditionalFormatting>
  <conditionalFormatting sqref="J572">
    <cfRule type="notContainsErrors" dxfId="0" priority="470">
      <formula>NOT(ISERROR(J572))</formula>
    </cfRule>
  </conditionalFormatting>
  <conditionalFormatting sqref="J573">
    <cfRule type="notContainsErrors" dxfId="0" priority="471">
      <formula>NOT(ISERROR(J573))</formula>
    </cfRule>
  </conditionalFormatting>
  <conditionalFormatting sqref="J574">
    <cfRule type="notContainsErrors" dxfId="0" priority="472">
      <formula>NOT(ISERROR(J574))</formula>
    </cfRule>
  </conditionalFormatting>
  <conditionalFormatting sqref="J575">
    <cfRule type="notContainsErrors" dxfId="0" priority="473">
      <formula>NOT(ISERROR(J575))</formula>
    </cfRule>
  </conditionalFormatting>
  <conditionalFormatting sqref="J576">
    <cfRule type="notContainsErrors" dxfId="0" priority="474">
      <formula>NOT(ISERROR(J576))</formula>
    </cfRule>
  </conditionalFormatting>
  <conditionalFormatting sqref="J577">
    <cfRule type="notContainsErrors" dxfId="0" priority="475">
      <formula>NOT(ISERROR(J577))</formula>
    </cfRule>
  </conditionalFormatting>
  <conditionalFormatting sqref="J578">
    <cfRule type="notContainsErrors" dxfId="0" priority="476">
      <formula>NOT(ISERROR(J578))</formula>
    </cfRule>
  </conditionalFormatting>
  <conditionalFormatting sqref="J579">
    <cfRule type="notContainsErrors" dxfId="0" priority="477">
      <formula>NOT(ISERROR(J579))</formula>
    </cfRule>
  </conditionalFormatting>
  <conditionalFormatting sqref="J58">
    <cfRule type="notContainsErrors" dxfId="0" priority="53">
      <formula>NOT(ISERROR(J58))</formula>
    </cfRule>
  </conditionalFormatting>
  <conditionalFormatting sqref="J580">
    <cfRule type="notContainsErrors" dxfId="0" priority="478">
      <formula>NOT(ISERROR(J580))</formula>
    </cfRule>
  </conditionalFormatting>
  <conditionalFormatting sqref="J581">
    <cfRule type="notContainsErrors" dxfId="0" priority="479">
      <formula>NOT(ISERROR(J581))</formula>
    </cfRule>
  </conditionalFormatting>
  <conditionalFormatting sqref="J582">
    <cfRule type="notContainsErrors" dxfId="0" priority="480">
      <formula>NOT(ISERROR(J582))</formula>
    </cfRule>
  </conditionalFormatting>
  <conditionalFormatting sqref="J583">
    <cfRule type="notContainsErrors" dxfId="0" priority="481">
      <formula>NOT(ISERROR(J583))</formula>
    </cfRule>
  </conditionalFormatting>
  <conditionalFormatting sqref="J584">
    <cfRule type="notContainsErrors" dxfId="0" priority="482">
      <formula>NOT(ISERROR(J584))</formula>
    </cfRule>
  </conditionalFormatting>
  <conditionalFormatting sqref="J585">
    <cfRule type="notContainsErrors" dxfId="0" priority="483">
      <formula>NOT(ISERROR(J585))</formula>
    </cfRule>
  </conditionalFormatting>
  <conditionalFormatting sqref="J586">
    <cfRule type="notContainsErrors" dxfId="0" priority="484">
      <formula>NOT(ISERROR(J586))</formula>
    </cfRule>
  </conditionalFormatting>
  <conditionalFormatting sqref="J587">
    <cfRule type="notContainsErrors" dxfId="0" priority="485">
      <formula>NOT(ISERROR(J587))</formula>
    </cfRule>
  </conditionalFormatting>
  <conditionalFormatting sqref="J59">
    <cfRule type="notContainsErrors" dxfId="0" priority="54">
      <formula>NOT(ISERROR(J59))</formula>
    </cfRule>
  </conditionalFormatting>
  <conditionalFormatting sqref="J6">
    <cfRule type="notContainsErrors" dxfId="0" priority="5">
      <formula>NOT(ISERROR(J6))</formula>
    </cfRule>
  </conditionalFormatting>
  <conditionalFormatting sqref="J60">
    <cfRule type="notContainsErrors" dxfId="0" priority="55">
      <formula>NOT(ISERROR(J60))</formula>
    </cfRule>
  </conditionalFormatting>
  <conditionalFormatting sqref="J61">
    <cfRule type="notContainsErrors" dxfId="0" priority="56">
      <formula>NOT(ISERROR(J61))</formula>
    </cfRule>
  </conditionalFormatting>
  <conditionalFormatting sqref="J62">
    <cfRule type="notContainsErrors" dxfId="0" priority="57">
      <formula>NOT(ISERROR(J62))</formula>
    </cfRule>
  </conditionalFormatting>
  <conditionalFormatting sqref="J63">
    <cfRule type="notContainsErrors" dxfId="0" priority="58">
      <formula>NOT(ISERROR(J63))</formula>
    </cfRule>
  </conditionalFormatting>
  <conditionalFormatting sqref="J64">
    <cfRule type="notContainsErrors" dxfId="0" priority="59">
      <formula>NOT(ISERROR(J64))</formula>
    </cfRule>
  </conditionalFormatting>
  <conditionalFormatting sqref="J65">
    <cfRule type="notContainsErrors" dxfId="0" priority="60">
      <formula>NOT(ISERROR(J65))</formula>
    </cfRule>
  </conditionalFormatting>
  <conditionalFormatting sqref="J66">
    <cfRule type="notContainsErrors" dxfId="0" priority="61">
      <formula>NOT(ISERROR(J66))</formula>
    </cfRule>
  </conditionalFormatting>
  <conditionalFormatting sqref="J67">
    <cfRule type="notContainsErrors" dxfId="0" priority="62">
      <formula>NOT(ISERROR(J67))</formula>
    </cfRule>
  </conditionalFormatting>
  <conditionalFormatting sqref="J68">
    <cfRule type="notContainsErrors" dxfId="0" priority="63">
      <formula>NOT(ISERROR(J68))</formula>
    </cfRule>
  </conditionalFormatting>
  <conditionalFormatting sqref="J7">
    <cfRule type="notContainsErrors" dxfId="0" priority="6">
      <formula>NOT(ISERROR(J7))</formula>
    </cfRule>
  </conditionalFormatting>
  <conditionalFormatting sqref="J71">
    <cfRule type="notContainsErrors" dxfId="0" priority="64">
      <formula>NOT(ISERROR(J71))</formula>
    </cfRule>
  </conditionalFormatting>
  <conditionalFormatting sqref="J72">
    <cfRule type="notContainsErrors" dxfId="0" priority="65">
      <formula>NOT(ISERROR(J72))</formula>
    </cfRule>
  </conditionalFormatting>
  <conditionalFormatting sqref="J73">
    <cfRule type="notContainsErrors" dxfId="0" priority="66">
      <formula>NOT(ISERROR(J73))</formula>
    </cfRule>
  </conditionalFormatting>
  <conditionalFormatting sqref="J74">
    <cfRule type="notContainsErrors" dxfId="0" priority="67">
      <formula>NOT(ISERROR(J74))</formula>
    </cfRule>
  </conditionalFormatting>
  <conditionalFormatting sqref="J75">
    <cfRule type="notContainsErrors" dxfId="0" priority="68">
      <formula>NOT(ISERROR(J75))</formula>
    </cfRule>
  </conditionalFormatting>
  <conditionalFormatting sqref="J76">
    <cfRule type="notContainsErrors" dxfId="0" priority="69">
      <formula>NOT(ISERROR(J76))</formula>
    </cfRule>
  </conditionalFormatting>
  <conditionalFormatting sqref="J77">
    <cfRule type="notContainsErrors" dxfId="0" priority="70">
      <formula>NOT(ISERROR(J77))</formula>
    </cfRule>
  </conditionalFormatting>
  <conditionalFormatting sqref="J78">
    <cfRule type="notContainsErrors" dxfId="0" priority="71">
      <formula>NOT(ISERROR(J78))</formula>
    </cfRule>
  </conditionalFormatting>
  <conditionalFormatting sqref="J79">
    <cfRule type="notContainsErrors" dxfId="0" priority="72">
      <formula>NOT(ISERROR(J79))</formula>
    </cfRule>
  </conditionalFormatting>
  <conditionalFormatting sqref="J8">
    <cfRule type="notContainsErrors" dxfId="0" priority="7">
      <formula>NOT(ISERROR(J8))</formula>
    </cfRule>
  </conditionalFormatting>
  <conditionalFormatting sqref="J80">
    <cfRule type="notContainsErrors" dxfId="0" priority="73">
      <formula>NOT(ISERROR(J80))</formula>
    </cfRule>
  </conditionalFormatting>
  <conditionalFormatting sqref="J81">
    <cfRule type="notContainsErrors" dxfId="0" priority="74">
      <formula>NOT(ISERROR(J81))</formula>
    </cfRule>
  </conditionalFormatting>
  <conditionalFormatting sqref="J82">
    <cfRule type="notContainsErrors" dxfId="0" priority="75">
      <formula>NOT(ISERROR(J82))</formula>
    </cfRule>
  </conditionalFormatting>
  <conditionalFormatting sqref="J83">
    <cfRule type="notContainsErrors" dxfId="0" priority="76">
      <formula>NOT(ISERROR(J83))</formula>
    </cfRule>
  </conditionalFormatting>
  <conditionalFormatting sqref="J84">
    <cfRule type="notContainsErrors" dxfId="0" priority="77">
      <formula>NOT(ISERROR(J84))</formula>
    </cfRule>
  </conditionalFormatting>
  <conditionalFormatting sqref="J85">
    <cfRule type="notContainsErrors" dxfId="0" priority="78">
      <formula>NOT(ISERROR(J85))</formula>
    </cfRule>
  </conditionalFormatting>
  <conditionalFormatting sqref="J86">
    <cfRule type="notContainsErrors" dxfId="0" priority="79">
      <formula>NOT(ISERROR(J86))</formula>
    </cfRule>
  </conditionalFormatting>
  <conditionalFormatting sqref="J87">
    <cfRule type="notContainsErrors" dxfId="0" priority="80">
      <formula>NOT(ISERROR(J87))</formula>
    </cfRule>
  </conditionalFormatting>
  <conditionalFormatting sqref="J88">
    <cfRule type="notContainsErrors" dxfId="0" priority="81">
      <formula>NOT(ISERROR(J88))</formula>
    </cfRule>
  </conditionalFormatting>
  <conditionalFormatting sqref="J89">
    <cfRule type="notContainsErrors" dxfId="0" priority="82">
      <formula>NOT(ISERROR(J89))</formula>
    </cfRule>
  </conditionalFormatting>
  <conditionalFormatting sqref="J9">
    <cfRule type="notContainsErrors" dxfId="0" priority="8">
      <formula>NOT(ISERROR(J9))</formula>
    </cfRule>
  </conditionalFormatting>
  <conditionalFormatting sqref="J90">
    <cfRule type="notContainsErrors" dxfId="0" priority="83">
      <formula>NOT(ISERROR(J90))</formula>
    </cfRule>
  </conditionalFormatting>
  <conditionalFormatting sqref="J91">
    <cfRule type="notContainsErrors" dxfId="0" priority="84">
      <formula>NOT(ISERROR(J91))</formula>
    </cfRule>
  </conditionalFormatting>
  <conditionalFormatting sqref="J92">
    <cfRule type="notContainsErrors" dxfId="0" priority="85">
      <formula>NOT(ISERROR(J92))</formula>
    </cfRule>
  </conditionalFormatting>
  <conditionalFormatting sqref="J93">
    <cfRule type="notContainsErrors" dxfId="0" priority="86">
      <formula>NOT(ISERROR(J93))</formula>
    </cfRule>
  </conditionalFormatting>
  <conditionalFormatting sqref="J94">
    <cfRule type="notContainsErrors" dxfId="0" priority="87">
      <formula>NOT(ISERROR(J94))</formula>
    </cfRule>
  </conditionalFormatting>
  <conditionalFormatting sqref="J95">
    <cfRule type="notContainsErrors" dxfId="0" priority="88">
      <formula>NOT(ISERROR(J95))</formula>
    </cfRule>
  </conditionalFormatting>
  <conditionalFormatting sqref="J96">
    <cfRule type="notContainsErrors" dxfId="0" priority="89">
      <formula>NOT(ISERROR(J96))</formula>
    </cfRule>
  </conditionalFormatting>
  <conditionalFormatting sqref="J97">
    <cfRule type="notContainsErrors" dxfId="0" priority="90">
      <formula>NOT(ISERROR(J97))</formula>
    </cfRule>
  </conditionalFormatting>
  <conditionalFormatting sqref="J98">
    <cfRule type="notContainsErrors" dxfId="0" priority="91">
      <formula>NOT(ISERROR(J98))</formula>
    </cfRule>
  </conditionalFormatting>
  <conditionalFormatting sqref="J99">
    <cfRule type="notContainsErrors" dxfId="0" priority="92">
      <formula>NOT(ISERROR(J99))</formula>
    </cfRule>
  </conditionalFormatting>
  <conditionalFormatting sqref="Q2:Q587">
    <cfRule type="cellIs" dxfId="1" priority="486" operator="equal">
      <formula>-999999</formula>
    </cfRule>
  </conditionalFormatting>
  <conditionalFormatting sqref="R2:R587">
    <cfRule type="cellIs" dxfId="1" priority="487" operator="equal">
      <formula>-999999</formula>
    </cfRule>
  </conditionalFormatting>
  <conditionalFormatting sqref="U103">
    <cfRule type="notContainsErrors" dxfId="2" priority="573">
      <formula>NOT(ISERROR(U103))</formula>
    </cfRule>
  </conditionalFormatting>
  <conditionalFormatting sqref="U113">
    <cfRule type="notContainsErrors" dxfId="2" priority="578">
      <formula>NOT(ISERROR(U113))</formula>
    </cfRule>
  </conditionalFormatting>
  <conditionalFormatting sqref="U171">
    <cfRule type="notContainsErrors" dxfId="2" priority="583">
      <formula>NOT(ISERROR(U171))</formula>
    </cfRule>
  </conditionalFormatting>
  <conditionalFormatting sqref="U175">
    <cfRule type="notContainsErrors" dxfId="2" priority="588">
      <formula>NOT(ISERROR(U175))</formula>
    </cfRule>
  </conditionalFormatting>
  <conditionalFormatting sqref="U176">
    <cfRule type="notContainsErrors" dxfId="2" priority="593">
      <formula>NOT(ISERROR(U176))</formula>
    </cfRule>
  </conditionalFormatting>
  <conditionalFormatting sqref="U19">
    <cfRule type="notContainsErrors" dxfId="2" priority="498">
      <formula>NOT(ISERROR(U19))</formula>
    </cfRule>
  </conditionalFormatting>
  <conditionalFormatting sqref="U230">
    <cfRule type="notContainsErrors" dxfId="2" priority="598">
      <formula>NOT(ISERROR(U230))</formula>
    </cfRule>
  </conditionalFormatting>
  <conditionalFormatting sqref="U241">
    <cfRule type="notContainsErrors" dxfId="2" priority="603">
      <formula>NOT(ISERROR(U241))</formula>
    </cfRule>
  </conditionalFormatting>
  <conditionalFormatting sqref="U259">
    <cfRule type="notContainsErrors" dxfId="2" priority="608">
      <formula>NOT(ISERROR(U259))</formula>
    </cfRule>
  </conditionalFormatting>
  <conditionalFormatting sqref="U260">
    <cfRule type="notContainsErrors" dxfId="2" priority="613">
      <formula>NOT(ISERROR(U260))</formula>
    </cfRule>
  </conditionalFormatting>
  <conditionalFormatting sqref="U261">
    <cfRule type="notContainsErrors" dxfId="2" priority="618">
      <formula>NOT(ISERROR(U261))</formula>
    </cfRule>
  </conditionalFormatting>
  <conditionalFormatting sqref="U262">
    <cfRule type="notContainsErrors" dxfId="2" priority="623">
      <formula>NOT(ISERROR(U262))</formula>
    </cfRule>
  </conditionalFormatting>
  <conditionalFormatting sqref="U263">
    <cfRule type="notContainsErrors" dxfId="2" priority="628">
      <formula>NOT(ISERROR(U263))</formula>
    </cfRule>
  </conditionalFormatting>
  <conditionalFormatting sqref="U264">
    <cfRule type="notContainsErrors" dxfId="2" priority="633">
      <formula>NOT(ISERROR(U264))</formula>
    </cfRule>
  </conditionalFormatting>
  <conditionalFormatting sqref="U265">
    <cfRule type="notContainsErrors" dxfId="2" priority="638">
      <formula>NOT(ISERROR(U265))</formula>
    </cfRule>
  </conditionalFormatting>
  <conditionalFormatting sqref="U274">
    <cfRule type="notContainsErrors" dxfId="2" priority="643">
      <formula>NOT(ISERROR(U274))</formula>
    </cfRule>
  </conditionalFormatting>
  <conditionalFormatting sqref="U287">
    <cfRule type="notContainsErrors" dxfId="2" priority="648">
      <formula>NOT(ISERROR(U287))</formula>
    </cfRule>
  </conditionalFormatting>
  <conditionalFormatting sqref="U289">
    <cfRule type="notContainsErrors" dxfId="2" priority="653">
      <formula>NOT(ISERROR(U289))</formula>
    </cfRule>
  </conditionalFormatting>
  <conditionalFormatting sqref="U290">
    <cfRule type="notContainsErrors" dxfId="2" priority="658">
      <formula>NOT(ISERROR(U290))</formula>
    </cfRule>
  </conditionalFormatting>
  <conditionalFormatting sqref="U291">
    <cfRule type="notContainsErrors" dxfId="2" priority="663">
      <formula>NOT(ISERROR(U291))</formula>
    </cfRule>
  </conditionalFormatting>
  <conditionalFormatting sqref="U293">
    <cfRule type="notContainsErrors" dxfId="2" priority="668">
      <formula>NOT(ISERROR(U293))</formula>
    </cfRule>
  </conditionalFormatting>
  <conditionalFormatting sqref="U296">
    <cfRule type="notContainsErrors" dxfId="2" priority="673">
      <formula>NOT(ISERROR(U296))</formula>
    </cfRule>
  </conditionalFormatting>
  <conditionalFormatting sqref="U31">
    <cfRule type="notContainsErrors" dxfId="2" priority="503">
      <formula>NOT(ISERROR(U31))</formula>
    </cfRule>
  </conditionalFormatting>
  <conditionalFormatting sqref="U320">
    <cfRule type="notContainsErrors" dxfId="2" priority="678">
      <formula>NOT(ISERROR(U320))</formula>
    </cfRule>
  </conditionalFormatting>
  <conditionalFormatting sqref="U321">
    <cfRule type="notContainsErrors" dxfId="2" priority="683">
      <formula>NOT(ISERROR(U321))</formula>
    </cfRule>
  </conditionalFormatting>
  <conditionalFormatting sqref="U331">
    <cfRule type="notContainsErrors" dxfId="2" priority="688">
      <formula>NOT(ISERROR(U331))</formula>
    </cfRule>
  </conditionalFormatting>
  <conditionalFormatting sqref="U337">
    <cfRule type="notContainsErrors" dxfId="2" priority="693">
      <formula>NOT(ISERROR(U337))</formula>
    </cfRule>
  </conditionalFormatting>
  <conditionalFormatting sqref="U340">
    <cfRule type="notContainsErrors" dxfId="2" priority="698">
      <formula>NOT(ISERROR(U340))</formula>
    </cfRule>
  </conditionalFormatting>
  <conditionalFormatting sqref="U341">
    <cfRule type="notContainsErrors" dxfId="2" priority="703">
      <formula>NOT(ISERROR(U341))</formula>
    </cfRule>
  </conditionalFormatting>
  <conditionalFormatting sqref="U342">
    <cfRule type="notContainsErrors" dxfId="2" priority="708">
      <formula>NOT(ISERROR(U342))</formula>
    </cfRule>
  </conditionalFormatting>
  <conditionalFormatting sqref="U344">
    <cfRule type="notContainsErrors" dxfId="2" priority="713">
      <formula>NOT(ISERROR(U344))</formula>
    </cfRule>
  </conditionalFormatting>
  <conditionalFormatting sqref="U346">
    <cfRule type="notContainsErrors" dxfId="2" priority="718">
      <formula>NOT(ISERROR(U346))</formula>
    </cfRule>
  </conditionalFormatting>
  <conditionalFormatting sqref="U347">
    <cfRule type="notContainsErrors" dxfId="2" priority="723">
      <formula>NOT(ISERROR(U347))</formula>
    </cfRule>
  </conditionalFormatting>
  <conditionalFormatting sqref="U348">
    <cfRule type="notContainsErrors" dxfId="2" priority="728">
      <formula>NOT(ISERROR(U348))</formula>
    </cfRule>
  </conditionalFormatting>
  <conditionalFormatting sqref="U357">
    <cfRule type="notContainsErrors" dxfId="2" priority="733">
      <formula>NOT(ISERROR(U357))</formula>
    </cfRule>
  </conditionalFormatting>
  <conditionalFormatting sqref="U365">
    <cfRule type="notContainsErrors" dxfId="2" priority="738">
      <formula>NOT(ISERROR(U365))</formula>
    </cfRule>
  </conditionalFormatting>
  <conditionalFormatting sqref="U367">
    <cfRule type="notContainsErrors" dxfId="2" priority="743">
      <formula>NOT(ISERROR(U367))</formula>
    </cfRule>
  </conditionalFormatting>
  <conditionalFormatting sqref="U369">
    <cfRule type="notContainsErrors" dxfId="2" priority="748">
      <formula>NOT(ISERROR(U369))</formula>
    </cfRule>
  </conditionalFormatting>
  <conditionalFormatting sqref="U37">
    <cfRule type="notContainsErrors" dxfId="2" priority="508">
      <formula>NOT(ISERROR(U37))</formula>
    </cfRule>
  </conditionalFormatting>
  <conditionalFormatting sqref="U370">
    <cfRule type="notContainsErrors" dxfId="2" priority="753">
      <formula>NOT(ISERROR(U370))</formula>
    </cfRule>
  </conditionalFormatting>
  <conditionalFormatting sqref="U371">
    <cfRule type="notContainsErrors" dxfId="2" priority="758">
      <formula>NOT(ISERROR(U371))</formula>
    </cfRule>
  </conditionalFormatting>
  <conditionalFormatting sqref="U373">
    <cfRule type="notContainsErrors" dxfId="2" priority="763">
      <formula>NOT(ISERROR(U373))</formula>
    </cfRule>
  </conditionalFormatting>
  <conditionalFormatting sqref="U374">
    <cfRule type="notContainsErrors" dxfId="2" priority="768">
      <formula>NOT(ISERROR(U374))</formula>
    </cfRule>
  </conditionalFormatting>
  <conditionalFormatting sqref="U375">
    <cfRule type="notContainsErrors" dxfId="2" priority="773">
      <formula>NOT(ISERROR(U375))</formula>
    </cfRule>
  </conditionalFormatting>
  <conditionalFormatting sqref="U376">
    <cfRule type="notContainsErrors" dxfId="2" priority="778">
      <formula>NOT(ISERROR(U376))</formula>
    </cfRule>
  </conditionalFormatting>
  <conditionalFormatting sqref="U377">
    <cfRule type="notContainsErrors" dxfId="2" priority="783">
      <formula>NOT(ISERROR(U377))</formula>
    </cfRule>
  </conditionalFormatting>
  <conditionalFormatting sqref="U379">
    <cfRule type="notContainsErrors" dxfId="2" priority="788">
      <formula>NOT(ISERROR(U379))</formula>
    </cfRule>
  </conditionalFormatting>
  <conditionalFormatting sqref="U38">
    <cfRule type="notContainsErrors" dxfId="2" priority="513">
      <formula>NOT(ISERROR(U38))</formula>
    </cfRule>
  </conditionalFormatting>
  <conditionalFormatting sqref="U382">
    <cfRule type="notContainsErrors" dxfId="2" priority="793">
      <formula>NOT(ISERROR(U382))</formula>
    </cfRule>
  </conditionalFormatting>
  <conditionalFormatting sqref="U384">
    <cfRule type="notContainsErrors" dxfId="2" priority="798">
      <formula>NOT(ISERROR(U384))</formula>
    </cfRule>
  </conditionalFormatting>
  <conditionalFormatting sqref="U385">
    <cfRule type="notContainsErrors" dxfId="2" priority="803">
      <formula>NOT(ISERROR(U385))</formula>
    </cfRule>
  </conditionalFormatting>
  <conditionalFormatting sqref="U386">
    <cfRule type="notContainsErrors" dxfId="2" priority="808">
      <formula>NOT(ISERROR(U386))</formula>
    </cfRule>
  </conditionalFormatting>
  <conditionalFormatting sqref="U388">
    <cfRule type="notContainsErrors" dxfId="2" priority="813">
      <formula>NOT(ISERROR(U388))</formula>
    </cfRule>
  </conditionalFormatting>
  <conditionalFormatting sqref="U391">
    <cfRule type="notContainsErrors" dxfId="2" priority="818">
      <formula>NOT(ISERROR(U391))</formula>
    </cfRule>
  </conditionalFormatting>
  <conditionalFormatting sqref="U393">
    <cfRule type="notContainsErrors" dxfId="2" priority="823">
      <formula>NOT(ISERROR(U393))</formula>
    </cfRule>
  </conditionalFormatting>
  <conditionalFormatting sqref="U395">
    <cfRule type="notContainsErrors" dxfId="2" priority="828">
      <formula>NOT(ISERROR(U395))</formula>
    </cfRule>
  </conditionalFormatting>
  <conditionalFormatting sqref="U397">
    <cfRule type="notContainsErrors" dxfId="2" priority="833">
      <formula>NOT(ISERROR(U397))</formula>
    </cfRule>
  </conditionalFormatting>
  <conditionalFormatting sqref="U399">
    <cfRule type="notContainsErrors" dxfId="2" priority="838">
      <formula>NOT(ISERROR(U399))</formula>
    </cfRule>
  </conditionalFormatting>
  <conditionalFormatting sqref="U4">
    <cfRule type="notContainsErrors" dxfId="2" priority="488">
      <formula>NOT(ISERROR(U4))</formula>
    </cfRule>
  </conditionalFormatting>
  <conditionalFormatting sqref="U40">
    <cfRule type="notContainsErrors" dxfId="2" priority="518">
      <formula>NOT(ISERROR(U40))</formula>
    </cfRule>
  </conditionalFormatting>
  <conditionalFormatting sqref="U400">
    <cfRule type="notContainsErrors" dxfId="2" priority="843">
      <formula>NOT(ISERROR(U400))</formula>
    </cfRule>
  </conditionalFormatting>
  <conditionalFormatting sqref="U401">
    <cfRule type="notContainsErrors" dxfId="2" priority="848">
      <formula>NOT(ISERROR(U401))</formula>
    </cfRule>
  </conditionalFormatting>
  <conditionalFormatting sqref="U402">
    <cfRule type="notContainsErrors" dxfId="2" priority="853">
      <formula>NOT(ISERROR(U402))</formula>
    </cfRule>
  </conditionalFormatting>
  <conditionalFormatting sqref="U403">
    <cfRule type="notContainsErrors" dxfId="2" priority="858">
      <formula>NOT(ISERROR(U403))</formula>
    </cfRule>
  </conditionalFormatting>
  <conditionalFormatting sqref="U404">
    <cfRule type="notContainsErrors" dxfId="2" priority="863">
      <formula>NOT(ISERROR(U404))</formula>
    </cfRule>
  </conditionalFormatting>
  <conditionalFormatting sqref="U406">
    <cfRule type="notContainsErrors" dxfId="2" priority="868">
      <formula>NOT(ISERROR(U406))</formula>
    </cfRule>
  </conditionalFormatting>
  <conditionalFormatting sqref="U407">
    <cfRule type="notContainsErrors" dxfId="2" priority="873">
      <formula>NOT(ISERROR(U407))</formula>
    </cfRule>
  </conditionalFormatting>
  <conditionalFormatting sqref="U408">
    <cfRule type="notContainsErrors" dxfId="2" priority="878">
      <formula>NOT(ISERROR(U408))</formula>
    </cfRule>
  </conditionalFormatting>
  <conditionalFormatting sqref="U409">
    <cfRule type="notContainsErrors" dxfId="2" priority="883">
      <formula>NOT(ISERROR(U409))</formula>
    </cfRule>
  </conditionalFormatting>
  <conditionalFormatting sqref="U410">
    <cfRule type="notContainsErrors" dxfId="2" priority="888">
      <formula>NOT(ISERROR(U410))</formula>
    </cfRule>
  </conditionalFormatting>
  <conditionalFormatting sqref="U413">
    <cfRule type="notContainsErrors" dxfId="2" priority="893">
      <formula>NOT(ISERROR(U413))</formula>
    </cfRule>
  </conditionalFormatting>
  <conditionalFormatting sqref="U414">
    <cfRule type="notContainsErrors" dxfId="2" priority="898">
      <formula>NOT(ISERROR(U414))</formula>
    </cfRule>
  </conditionalFormatting>
  <conditionalFormatting sqref="U415">
    <cfRule type="notContainsErrors" dxfId="2" priority="903">
      <formula>NOT(ISERROR(U415))</formula>
    </cfRule>
  </conditionalFormatting>
  <conditionalFormatting sqref="U416">
    <cfRule type="notContainsErrors" dxfId="2" priority="908">
      <formula>NOT(ISERROR(U416))</formula>
    </cfRule>
  </conditionalFormatting>
  <conditionalFormatting sqref="U417">
    <cfRule type="notContainsErrors" dxfId="2" priority="913">
      <formula>NOT(ISERROR(U417))</formula>
    </cfRule>
  </conditionalFormatting>
  <conditionalFormatting sqref="U418">
    <cfRule type="notContainsErrors" dxfId="2" priority="918">
      <formula>NOT(ISERROR(U418))</formula>
    </cfRule>
  </conditionalFormatting>
  <conditionalFormatting sqref="U419">
    <cfRule type="notContainsErrors" dxfId="2" priority="923">
      <formula>NOT(ISERROR(U419))</formula>
    </cfRule>
  </conditionalFormatting>
  <conditionalFormatting sqref="U420">
    <cfRule type="notContainsErrors" dxfId="2" priority="928">
      <formula>NOT(ISERROR(U420))</formula>
    </cfRule>
  </conditionalFormatting>
  <conditionalFormatting sqref="U421">
    <cfRule type="notContainsErrors" dxfId="2" priority="933">
      <formula>NOT(ISERROR(U421))</formula>
    </cfRule>
  </conditionalFormatting>
  <conditionalFormatting sqref="U422">
    <cfRule type="notContainsErrors" dxfId="2" priority="938">
      <formula>NOT(ISERROR(U422))</formula>
    </cfRule>
  </conditionalFormatting>
  <conditionalFormatting sqref="U423">
    <cfRule type="notContainsErrors" dxfId="2" priority="943">
      <formula>NOT(ISERROR(U423))</formula>
    </cfRule>
  </conditionalFormatting>
  <conditionalFormatting sqref="U424">
    <cfRule type="notContainsErrors" dxfId="2" priority="948">
      <formula>NOT(ISERROR(U424))</formula>
    </cfRule>
  </conditionalFormatting>
  <conditionalFormatting sqref="U425">
    <cfRule type="notContainsErrors" dxfId="2" priority="953">
      <formula>NOT(ISERROR(U425))</formula>
    </cfRule>
  </conditionalFormatting>
  <conditionalFormatting sqref="U426">
    <cfRule type="notContainsErrors" dxfId="2" priority="958">
      <formula>NOT(ISERROR(U426))</formula>
    </cfRule>
  </conditionalFormatting>
  <conditionalFormatting sqref="U427">
    <cfRule type="notContainsErrors" dxfId="2" priority="963">
      <formula>NOT(ISERROR(U427))</formula>
    </cfRule>
  </conditionalFormatting>
  <conditionalFormatting sqref="U428">
    <cfRule type="notContainsErrors" dxfId="2" priority="968">
      <formula>NOT(ISERROR(U428))</formula>
    </cfRule>
  </conditionalFormatting>
  <conditionalFormatting sqref="U429">
    <cfRule type="notContainsErrors" dxfId="2" priority="973">
      <formula>NOT(ISERROR(U429))</formula>
    </cfRule>
  </conditionalFormatting>
  <conditionalFormatting sqref="U43">
    <cfRule type="notContainsErrors" dxfId="2" priority="523">
      <formula>NOT(ISERROR(U43))</formula>
    </cfRule>
  </conditionalFormatting>
  <conditionalFormatting sqref="U431">
    <cfRule type="notContainsErrors" dxfId="2" priority="978">
      <formula>NOT(ISERROR(U431))</formula>
    </cfRule>
  </conditionalFormatting>
  <conditionalFormatting sqref="U435">
    <cfRule type="notContainsErrors" dxfId="2" priority="983">
      <formula>NOT(ISERROR(U435))</formula>
    </cfRule>
  </conditionalFormatting>
  <conditionalFormatting sqref="U437">
    <cfRule type="notContainsErrors" dxfId="2" priority="988">
      <formula>NOT(ISERROR(U437))</formula>
    </cfRule>
  </conditionalFormatting>
  <conditionalFormatting sqref="U441">
    <cfRule type="notContainsErrors" dxfId="2" priority="993">
      <formula>NOT(ISERROR(U441))</formula>
    </cfRule>
  </conditionalFormatting>
  <conditionalFormatting sqref="U443">
    <cfRule type="notContainsErrors" dxfId="2" priority="998">
      <formula>NOT(ISERROR(U443))</formula>
    </cfRule>
  </conditionalFormatting>
  <conditionalFormatting sqref="U446">
    <cfRule type="notContainsErrors" dxfId="2" priority="1003">
      <formula>NOT(ISERROR(U446))</formula>
    </cfRule>
  </conditionalFormatting>
  <conditionalFormatting sqref="U449">
    <cfRule type="notContainsErrors" dxfId="2" priority="1008">
      <formula>NOT(ISERROR(U449))</formula>
    </cfRule>
  </conditionalFormatting>
  <conditionalFormatting sqref="U450">
    <cfRule type="notContainsErrors" dxfId="2" priority="1013">
      <formula>NOT(ISERROR(U450))</formula>
    </cfRule>
  </conditionalFormatting>
  <conditionalFormatting sqref="U453">
    <cfRule type="notContainsErrors" dxfId="2" priority="1018">
      <formula>NOT(ISERROR(U453))</formula>
    </cfRule>
  </conditionalFormatting>
  <conditionalFormatting sqref="U454">
    <cfRule type="notContainsErrors" dxfId="2" priority="1023">
      <formula>NOT(ISERROR(U454))</formula>
    </cfRule>
  </conditionalFormatting>
  <conditionalFormatting sqref="U455">
    <cfRule type="notContainsErrors" dxfId="2" priority="1028">
      <formula>NOT(ISERROR(U455))</formula>
    </cfRule>
  </conditionalFormatting>
  <conditionalFormatting sqref="U456">
    <cfRule type="notContainsErrors" dxfId="2" priority="1033">
      <formula>NOT(ISERROR(U456))</formula>
    </cfRule>
  </conditionalFormatting>
  <conditionalFormatting sqref="U457">
    <cfRule type="notContainsErrors" dxfId="2" priority="1038">
      <formula>NOT(ISERROR(U457))</formula>
    </cfRule>
  </conditionalFormatting>
  <conditionalFormatting sqref="U461">
    <cfRule type="notContainsErrors" dxfId="2" priority="1043">
      <formula>NOT(ISERROR(U461))</formula>
    </cfRule>
  </conditionalFormatting>
  <conditionalFormatting sqref="U464">
    <cfRule type="notContainsErrors" dxfId="2" priority="1048">
      <formula>NOT(ISERROR(U464))</formula>
    </cfRule>
  </conditionalFormatting>
  <conditionalFormatting sqref="U466">
    <cfRule type="notContainsErrors" dxfId="2" priority="1053">
      <formula>NOT(ISERROR(U466))</formula>
    </cfRule>
  </conditionalFormatting>
  <conditionalFormatting sqref="U469">
    <cfRule type="notContainsErrors" dxfId="2" priority="1058">
      <formula>NOT(ISERROR(U469))</formula>
    </cfRule>
  </conditionalFormatting>
  <conditionalFormatting sqref="U470">
    <cfRule type="notContainsErrors" dxfId="2" priority="1063">
      <formula>NOT(ISERROR(U470))</formula>
    </cfRule>
  </conditionalFormatting>
  <conditionalFormatting sqref="U481">
    <cfRule type="notContainsErrors" dxfId="2" priority="1068">
      <formula>NOT(ISERROR(U481))</formula>
    </cfRule>
  </conditionalFormatting>
  <conditionalFormatting sqref="U482">
    <cfRule type="notContainsErrors" dxfId="2" priority="1073">
      <formula>NOT(ISERROR(U482))</formula>
    </cfRule>
  </conditionalFormatting>
  <conditionalFormatting sqref="U483">
    <cfRule type="notContainsErrors" dxfId="2" priority="1078">
      <formula>NOT(ISERROR(U483))</formula>
    </cfRule>
  </conditionalFormatting>
  <conditionalFormatting sqref="U486">
    <cfRule type="notContainsErrors" dxfId="2" priority="1083">
      <formula>NOT(ISERROR(U486))</formula>
    </cfRule>
  </conditionalFormatting>
  <conditionalFormatting sqref="U487">
    <cfRule type="notContainsErrors" dxfId="2" priority="1088">
      <formula>NOT(ISERROR(U487))</formula>
    </cfRule>
  </conditionalFormatting>
  <conditionalFormatting sqref="U496">
    <cfRule type="notContainsErrors" dxfId="2" priority="1093">
      <formula>NOT(ISERROR(U496))</formula>
    </cfRule>
  </conditionalFormatting>
  <conditionalFormatting sqref="U498">
    <cfRule type="notContainsErrors" dxfId="2" priority="1098">
      <formula>NOT(ISERROR(U498))</formula>
    </cfRule>
  </conditionalFormatting>
  <conditionalFormatting sqref="U561">
    <cfRule type="notContainsErrors" dxfId="2" priority="1103">
      <formula>NOT(ISERROR(U561))</formula>
    </cfRule>
  </conditionalFormatting>
  <conditionalFormatting sqref="U570">
    <cfRule type="notContainsErrors" dxfId="2" priority="1108">
      <formula>NOT(ISERROR(U570))</formula>
    </cfRule>
  </conditionalFormatting>
  <conditionalFormatting sqref="U6">
    <cfRule type="notContainsErrors" dxfId="2" priority="493">
      <formula>NOT(ISERROR(U6))</formula>
    </cfRule>
  </conditionalFormatting>
  <conditionalFormatting sqref="U64">
    <cfRule type="notContainsErrors" dxfId="2" priority="528">
      <formula>NOT(ISERROR(U64))</formula>
    </cfRule>
  </conditionalFormatting>
  <conditionalFormatting sqref="U70">
    <cfRule type="notContainsErrors" dxfId="2" priority="533">
      <formula>NOT(ISERROR(U70))</formula>
    </cfRule>
  </conditionalFormatting>
  <conditionalFormatting sqref="U71">
    <cfRule type="notContainsErrors" dxfId="2" priority="538">
      <formula>NOT(ISERROR(U71))</formula>
    </cfRule>
  </conditionalFormatting>
  <conditionalFormatting sqref="U77">
    <cfRule type="notContainsErrors" dxfId="2" priority="543">
      <formula>NOT(ISERROR(U77))</formula>
    </cfRule>
  </conditionalFormatting>
  <conditionalFormatting sqref="U78">
    <cfRule type="notContainsErrors" dxfId="2" priority="548">
      <formula>NOT(ISERROR(U78))</formula>
    </cfRule>
  </conditionalFormatting>
  <conditionalFormatting sqref="U85">
    <cfRule type="notContainsErrors" dxfId="2" priority="553">
      <formula>NOT(ISERROR(U85))</formula>
    </cfRule>
  </conditionalFormatting>
  <conditionalFormatting sqref="U95">
    <cfRule type="notContainsErrors" dxfId="2" priority="558">
      <formula>NOT(ISERROR(U95))</formula>
    </cfRule>
  </conditionalFormatting>
  <conditionalFormatting sqref="U96">
    <cfRule type="notContainsErrors" dxfId="2" priority="563">
      <formula>NOT(ISERROR(U96))</formula>
    </cfRule>
  </conditionalFormatting>
  <conditionalFormatting sqref="U98">
    <cfRule type="notContainsErrors" dxfId="2" priority="568">
      <formula>NOT(ISERROR(U98))</formula>
    </cfRule>
  </conditionalFormatting>
  <conditionalFormatting sqref="V103">
    <cfRule type="notContainsErrors" dxfId="2" priority="574">
      <formula>NOT(ISERROR(V103))</formula>
    </cfRule>
  </conditionalFormatting>
  <conditionalFormatting sqref="V113">
    <cfRule type="notContainsErrors" dxfId="2" priority="579">
      <formula>NOT(ISERROR(V113))</formula>
    </cfRule>
  </conditionalFormatting>
  <conditionalFormatting sqref="V171">
    <cfRule type="notContainsErrors" dxfId="2" priority="584">
      <formula>NOT(ISERROR(V171))</formula>
    </cfRule>
  </conditionalFormatting>
  <conditionalFormatting sqref="V175">
    <cfRule type="notContainsErrors" dxfId="2" priority="589">
      <formula>NOT(ISERROR(V175))</formula>
    </cfRule>
  </conditionalFormatting>
  <conditionalFormatting sqref="V176">
    <cfRule type="notContainsErrors" dxfId="2" priority="594">
      <formula>NOT(ISERROR(V176))</formula>
    </cfRule>
  </conditionalFormatting>
  <conditionalFormatting sqref="V19">
    <cfRule type="notContainsErrors" dxfId="2" priority="499">
      <formula>NOT(ISERROR(V19))</formula>
    </cfRule>
  </conditionalFormatting>
  <conditionalFormatting sqref="V230">
    <cfRule type="notContainsErrors" dxfId="2" priority="599">
      <formula>NOT(ISERROR(V230))</formula>
    </cfRule>
  </conditionalFormatting>
  <conditionalFormatting sqref="V241">
    <cfRule type="notContainsErrors" dxfId="2" priority="604">
      <formula>NOT(ISERROR(V241))</formula>
    </cfRule>
  </conditionalFormatting>
  <conditionalFormatting sqref="V259">
    <cfRule type="notContainsErrors" dxfId="2" priority="609">
      <formula>NOT(ISERROR(V259))</formula>
    </cfRule>
  </conditionalFormatting>
  <conditionalFormatting sqref="V260">
    <cfRule type="notContainsErrors" dxfId="2" priority="614">
      <formula>NOT(ISERROR(V260))</formula>
    </cfRule>
  </conditionalFormatting>
  <conditionalFormatting sqref="V261">
    <cfRule type="notContainsErrors" dxfId="2" priority="619">
      <formula>NOT(ISERROR(V261))</formula>
    </cfRule>
  </conditionalFormatting>
  <conditionalFormatting sqref="V262">
    <cfRule type="notContainsErrors" dxfId="2" priority="624">
      <formula>NOT(ISERROR(V262))</formula>
    </cfRule>
  </conditionalFormatting>
  <conditionalFormatting sqref="V263">
    <cfRule type="notContainsErrors" dxfId="2" priority="629">
      <formula>NOT(ISERROR(V263))</formula>
    </cfRule>
  </conditionalFormatting>
  <conditionalFormatting sqref="V264">
    <cfRule type="notContainsErrors" dxfId="2" priority="634">
      <formula>NOT(ISERROR(V264))</formula>
    </cfRule>
  </conditionalFormatting>
  <conditionalFormatting sqref="V265">
    <cfRule type="notContainsErrors" dxfId="2" priority="639">
      <formula>NOT(ISERROR(V265))</formula>
    </cfRule>
  </conditionalFormatting>
  <conditionalFormatting sqref="V274">
    <cfRule type="notContainsErrors" dxfId="2" priority="644">
      <formula>NOT(ISERROR(V274))</formula>
    </cfRule>
  </conditionalFormatting>
  <conditionalFormatting sqref="V287">
    <cfRule type="notContainsErrors" dxfId="2" priority="649">
      <formula>NOT(ISERROR(V287))</formula>
    </cfRule>
  </conditionalFormatting>
  <conditionalFormatting sqref="V289">
    <cfRule type="notContainsErrors" dxfId="2" priority="654">
      <formula>NOT(ISERROR(V289))</formula>
    </cfRule>
  </conditionalFormatting>
  <conditionalFormatting sqref="V290">
    <cfRule type="notContainsErrors" dxfId="2" priority="659">
      <formula>NOT(ISERROR(V290))</formula>
    </cfRule>
  </conditionalFormatting>
  <conditionalFormatting sqref="V291">
    <cfRule type="notContainsErrors" dxfId="2" priority="664">
      <formula>NOT(ISERROR(V291))</formula>
    </cfRule>
  </conditionalFormatting>
  <conditionalFormatting sqref="V293">
    <cfRule type="notContainsErrors" dxfId="2" priority="669">
      <formula>NOT(ISERROR(V293))</formula>
    </cfRule>
  </conditionalFormatting>
  <conditionalFormatting sqref="V296">
    <cfRule type="notContainsErrors" dxfId="2" priority="674">
      <formula>NOT(ISERROR(V296))</formula>
    </cfRule>
  </conditionalFormatting>
  <conditionalFormatting sqref="V31">
    <cfRule type="notContainsErrors" dxfId="2" priority="504">
      <formula>NOT(ISERROR(V31))</formula>
    </cfRule>
  </conditionalFormatting>
  <conditionalFormatting sqref="V320">
    <cfRule type="notContainsErrors" dxfId="2" priority="679">
      <formula>NOT(ISERROR(V320))</formula>
    </cfRule>
  </conditionalFormatting>
  <conditionalFormatting sqref="V321">
    <cfRule type="notContainsErrors" dxfId="2" priority="684">
      <formula>NOT(ISERROR(V321))</formula>
    </cfRule>
  </conditionalFormatting>
  <conditionalFormatting sqref="V331">
    <cfRule type="notContainsErrors" dxfId="2" priority="689">
      <formula>NOT(ISERROR(V331))</formula>
    </cfRule>
  </conditionalFormatting>
  <conditionalFormatting sqref="V337">
    <cfRule type="notContainsErrors" dxfId="2" priority="694">
      <formula>NOT(ISERROR(V337))</formula>
    </cfRule>
  </conditionalFormatting>
  <conditionalFormatting sqref="V340">
    <cfRule type="notContainsErrors" dxfId="2" priority="699">
      <formula>NOT(ISERROR(V340))</formula>
    </cfRule>
  </conditionalFormatting>
  <conditionalFormatting sqref="V341">
    <cfRule type="notContainsErrors" dxfId="2" priority="704">
      <formula>NOT(ISERROR(V341))</formula>
    </cfRule>
  </conditionalFormatting>
  <conditionalFormatting sqref="V342">
    <cfRule type="notContainsErrors" dxfId="2" priority="709">
      <formula>NOT(ISERROR(V342))</formula>
    </cfRule>
  </conditionalFormatting>
  <conditionalFormatting sqref="V344">
    <cfRule type="notContainsErrors" dxfId="2" priority="714">
      <formula>NOT(ISERROR(V344))</formula>
    </cfRule>
  </conditionalFormatting>
  <conditionalFormatting sqref="V346">
    <cfRule type="notContainsErrors" dxfId="2" priority="719">
      <formula>NOT(ISERROR(V346))</formula>
    </cfRule>
  </conditionalFormatting>
  <conditionalFormatting sqref="V347">
    <cfRule type="notContainsErrors" dxfId="2" priority="724">
      <formula>NOT(ISERROR(V347))</formula>
    </cfRule>
  </conditionalFormatting>
  <conditionalFormatting sqref="V348">
    <cfRule type="notContainsErrors" dxfId="2" priority="729">
      <formula>NOT(ISERROR(V348))</formula>
    </cfRule>
  </conditionalFormatting>
  <conditionalFormatting sqref="V357">
    <cfRule type="notContainsErrors" dxfId="2" priority="734">
      <formula>NOT(ISERROR(V357))</formula>
    </cfRule>
  </conditionalFormatting>
  <conditionalFormatting sqref="V365">
    <cfRule type="notContainsErrors" dxfId="2" priority="739">
      <formula>NOT(ISERROR(V365))</formula>
    </cfRule>
  </conditionalFormatting>
  <conditionalFormatting sqref="V367">
    <cfRule type="notContainsErrors" dxfId="2" priority="744">
      <formula>NOT(ISERROR(V367))</formula>
    </cfRule>
  </conditionalFormatting>
  <conditionalFormatting sqref="V369">
    <cfRule type="notContainsErrors" dxfId="2" priority="749">
      <formula>NOT(ISERROR(V369))</formula>
    </cfRule>
  </conditionalFormatting>
  <conditionalFormatting sqref="V37">
    <cfRule type="notContainsErrors" dxfId="2" priority="509">
      <formula>NOT(ISERROR(V37))</formula>
    </cfRule>
  </conditionalFormatting>
  <conditionalFormatting sqref="V370">
    <cfRule type="notContainsErrors" dxfId="2" priority="754">
      <formula>NOT(ISERROR(V370))</formula>
    </cfRule>
  </conditionalFormatting>
  <conditionalFormatting sqref="V371">
    <cfRule type="notContainsErrors" dxfId="2" priority="759">
      <formula>NOT(ISERROR(V371))</formula>
    </cfRule>
  </conditionalFormatting>
  <conditionalFormatting sqref="V373">
    <cfRule type="notContainsErrors" dxfId="2" priority="764">
      <formula>NOT(ISERROR(V373))</formula>
    </cfRule>
  </conditionalFormatting>
  <conditionalFormatting sqref="V374">
    <cfRule type="notContainsErrors" dxfId="2" priority="769">
      <formula>NOT(ISERROR(V374))</formula>
    </cfRule>
  </conditionalFormatting>
  <conditionalFormatting sqref="V375">
    <cfRule type="notContainsErrors" dxfId="2" priority="774">
      <formula>NOT(ISERROR(V375))</formula>
    </cfRule>
  </conditionalFormatting>
  <conditionalFormatting sqref="V376">
    <cfRule type="notContainsErrors" dxfId="2" priority="779">
      <formula>NOT(ISERROR(V376))</formula>
    </cfRule>
  </conditionalFormatting>
  <conditionalFormatting sqref="V377">
    <cfRule type="notContainsErrors" dxfId="2" priority="784">
      <formula>NOT(ISERROR(V377))</formula>
    </cfRule>
  </conditionalFormatting>
  <conditionalFormatting sqref="V379">
    <cfRule type="notContainsErrors" dxfId="2" priority="789">
      <formula>NOT(ISERROR(V379))</formula>
    </cfRule>
  </conditionalFormatting>
  <conditionalFormatting sqref="V38">
    <cfRule type="notContainsErrors" dxfId="2" priority="514">
      <formula>NOT(ISERROR(V38))</formula>
    </cfRule>
  </conditionalFormatting>
  <conditionalFormatting sqref="V382">
    <cfRule type="notContainsErrors" dxfId="2" priority="794">
      <formula>NOT(ISERROR(V382))</formula>
    </cfRule>
  </conditionalFormatting>
  <conditionalFormatting sqref="V384">
    <cfRule type="notContainsErrors" dxfId="2" priority="799">
      <formula>NOT(ISERROR(V384))</formula>
    </cfRule>
  </conditionalFormatting>
  <conditionalFormatting sqref="V385">
    <cfRule type="notContainsErrors" dxfId="2" priority="804">
      <formula>NOT(ISERROR(V385))</formula>
    </cfRule>
  </conditionalFormatting>
  <conditionalFormatting sqref="V386">
    <cfRule type="notContainsErrors" dxfId="2" priority="809">
      <formula>NOT(ISERROR(V386))</formula>
    </cfRule>
  </conditionalFormatting>
  <conditionalFormatting sqref="V388">
    <cfRule type="notContainsErrors" dxfId="2" priority="814">
      <formula>NOT(ISERROR(V388))</formula>
    </cfRule>
  </conditionalFormatting>
  <conditionalFormatting sqref="V391">
    <cfRule type="notContainsErrors" dxfId="2" priority="819">
      <formula>NOT(ISERROR(V391))</formula>
    </cfRule>
  </conditionalFormatting>
  <conditionalFormatting sqref="V393">
    <cfRule type="notContainsErrors" dxfId="2" priority="824">
      <formula>NOT(ISERROR(V393))</formula>
    </cfRule>
  </conditionalFormatting>
  <conditionalFormatting sqref="V395">
    <cfRule type="notContainsErrors" dxfId="2" priority="829">
      <formula>NOT(ISERROR(V395))</formula>
    </cfRule>
  </conditionalFormatting>
  <conditionalFormatting sqref="V397">
    <cfRule type="notContainsErrors" dxfId="2" priority="834">
      <formula>NOT(ISERROR(V397))</formula>
    </cfRule>
  </conditionalFormatting>
  <conditionalFormatting sqref="V399">
    <cfRule type="notContainsErrors" dxfId="2" priority="839">
      <formula>NOT(ISERROR(V399))</formula>
    </cfRule>
  </conditionalFormatting>
  <conditionalFormatting sqref="V4">
    <cfRule type="notContainsErrors" dxfId="2" priority="489">
      <formula>NOT(ISERROR(V4))</formula>
    </cfRule>
  </conditionalFormatting>
  <conditionalFormatting sqref="V40">
    <cfRule type="notContainsErrors" dxfId="2" priority="519">
      <formula>NOT(ISERROR(V40))</formula>
    </cfRule>
  </conditionalFormatting>
  <conditionalFormatting sqref="V400">
    <cfRule type="notContainsErrors" dxfId="2" priority="844">
      <formula>NOT(ISERROR(V400))</formula>
    </cfRule>
  </conditionalFormatting>
  <conditionalFormatting sqref="V401">
    <cfRule type="notContainsErrors" dxfId="2" priority="849">
      <formula>NOT(ISERROR(V401))</formula>
    </cfRule>
  </conditionalFormatting>
  <conditionalFormatting sqref="V402">
    <cfRule type="notContainsErrors" dxfId="2" priority="854">
      <formula>NOT(ISERROR(V402))</formula>
    </cfRule>
  </conditionalFormatting>
  <conditionalFormatting sqref="V403">
    <cfRule type="notContainsErrors" dxfId="2" priority="859">
      <formula>NOT(ISERROR(V403))</formula>
    </cfRule>
  </conditionalFormatting>
  <conditionalFormatting sqref="V404">
    <cfRule type="notContainsErrors" dxfId="2" priority="864">
      <formula>NOT(ISERROR(V404))</formula>
    </cfRule>
  </conditionalFormatting>
  <conditionalFormatting sqref="V406">
    <cfRule type="notContainsErrors" dxfId="2" priority="869">
      <formula>NOT(ISERROR(V406))</formula>
    </cfRule>
  </conditionalFormatting>
  <conditionalFormatting sqref="V407">
    <cfRule type="notContainsErrors" dxfId="2" priority="874">
      <formula>NOT(ISERROR(V407))</formula>
    </cfRule>
  </conditionalFormatting>
  <conditionalFormatting sqref="V408">
    <cfRule type="notContainsErrors" dxfId="2" priority="879">
      <formula>NOT(ISERROR(V408))</formula>
    </cfRule>
  </conditionalFormatting>
  <conditionalFormatting sqref="V409">
    <cfRule type="notContainsErrors" dxfId="2" priority="884">
      <formula>NOT(ISERROR(V409))</formula>
    </cfRule>
  </conditionalFormatting>
  <conditionalFormatting sqref="V410">
    <cfRule type="notContainsErrors" dxfId="2" priority="889">
      <formula>NOT(ISERROR(V410))</formula>
    </cfRule>
  </conditionalFormatting>
  <conditionalFormatting sqref="V413">
    <cfRule type="notContainsErrors" dxfId="2" priority="894">
      <formula>NOT(ISERROR(V413))</formula>
    </cfRule>
  </conditionalFormatting>
  <conditionalFormatting sqref="V414">
    <cfRule type="notContainsErrors" dxfId="2" priority="899">
      <formula>NOT(ISERROR(V414))</formula>
    </cfRule>
  </conditionalFormatting>
  <conditionalFormatting sqref="V415">
    <cfRule type="notContainsErrors" dxfId="2" priority="904">
      <formula>NOT(ISERROR(V415))</formula>
    </cfRule>
  </conditionalFormatting>
  <conditionalFormatting sqref="V416">
    <cfRule type="notContainsErrors" dxfId="2" priority="909">
      <formula>NOT(ISERROR(V416))</formula>
    </cfRule>
  </conditionalFormatting>
  <conditionalFormatting sqref="V417">
    <cfRule type="notContainsErrors" dxfId="2" priority="914">
      <formula>NOT(ISERROR(V417))</formula>
    </cfRule>
  </conditionalFormatting>
  <conditionalFormatting sqref="V418">
    <cfRule type="notContainsErrors" dxfId="2" priority="919">
      <formula>NOT(ISERROR(V418))</formula>
    </cfRule>
  </conditionalFormatting>
  <conditionalFormatting sqref="V419">
    <cfRule type="notContainsErrors" dxfId="2" priority="924">
      <formula>NOT(ISERROR(V419))</formula>
    </cfRule>
  </conditionalFormatting>
  <conditionalFormatting sqref="V420">
    <cfRule type="notContainsErrors" dxfId="2" priority="929">
      <formula>NOT(ISERROR(V420))</formula>
    </cfRule>
  </conditionalFormatting>
  <conditionalFormatting sqref="V421">
    <cfRule type="notContainsErrors" dxfId="2" priority="934">
      <formula>NOT(ISERROR(V421))</formula>
    </cfRule>
  </conditionalFormatting>
  <conditionalFormatting sqref="V422">
    <cfRule type="notContainsErrors" dxfId="2" priority="939">
      <formula>NOT(ISERROR(V422))</formula>
    </cfRule>
  </conditionalFormatting>
  <conditionalFormatting sqref="V423">
    <cfRule type="notContainsErrors" dxfId="2" priority="944">
      <formula>NOT(ISERROR(V423))</formula>
    </cfRule>
  </conditionalFormatting>
  <conditionalFormatting sqref="V424">
    <cfRule type="notContainsErrors" dxfId="2" priority="949">
      <formula>NOT(ISERROR(V424))</formula>
    </cfRule>
  </conditionalFormatting>
  <conditionalFormatting sqref="V425">
    <cfRule type="notContainsErrors" dxfId="2" priority="954">
      <formula>NOT(ISERROR(V425))</formula>
    </cfRule>
  </conditionalFormatting>
  <conditionalFormatting sqref="V426">
    <cfRule type="notContainsErrors" dxfId="2" priority="959">
      <formula>NOT(ISERROR(V426))</formula>
    </cfRule>
  </conditionalFormatting>
  <conditionalFormatting sqref="V427">
    <cfRule type="notContainsErrors" dxfId="2" priority="964">
      <formula>NOT(ISERROR(V427))</formula>
    </cfRule>
  </conditionalFormatting>
  <conditionalFormatting sqref="V428">
    <cfRule type="notContainsErrors" dxfId="2" priority="969">
      <formula>NOT(ISERROR(V428))</formula>
    </cfRule>
  </conditionalFormatting>
  <conditionalFormatting sqref="V429">
    <cfRule type="notContainsErrors" dxfId="2" priority="974">
      <formula>NOT(ISERROR(V429))</formula>
    </cfRule>
  </conditionalFormatting>
  <conditionalFormatting sqref="V43">
    <cfRule type="notContainsErrors" dxfId="2" priority="524">
      <formula>NOT(ISERROR(V43))</formula>
    </cfRule>
  </conditionalFormatting>
  <conditionalFormatting sqref="V431">
    <cfRule type="notContainsErrors" dxfId="2" priority="979">
      <formula>NOT(ISERROR(V431))</formula>
    </cfRule>
  </conditionalFormatting>
  <conditionalFormatting sqref="V435">
    <cfRule type="notContainsErrors" dxfId="2" priority="984">
      <formula>NOT(ISERROR(V435))</formula>
    </cfRule>
  </conditionalFormatting>
  <conditionalFormatting sqref="V437">
    <cfRule type="notContainsErrors" dxfId="2" priority="989">
      <formula>NOT(ISERROR(V437))</formula>
    </cfRule>
  </conditionalFormatting>
  <conditionalFormatting sqref="V441">
    <cfRule type="notContainsErrors" dxfId="2" priority="994">
      <formula>NOT(ISERROR(V441))</formula>
    </cfRule>
  </conditionalFormatting>
  <conditionalFormatting sqref="V443">
    <cfRule type="notContainsErrors" dxfId="2" priority="999">
      <formula>NOT(ISERROR(V443))</formula>
    </cfRule>
  </conditionalFormatting>
  <conditionalFormatting sqref="V446">
    <cfRule type="notContainsErrors" dxfId="2" priority="1004">
      <formula>NOT(ISERROR(V446))</formula>
    </cfRule>
  </conditionalFormatting>
  <conditionalFormatting sqref="V449">
    <cfRule type="notContainsErrors" dxfId="2" priority="1009">
      <formula>NOT(ISERROR(V449))</formula>
    </cfRule>
  </conditionalFormatting>
  <conditionalFormatting sqref="V450">
    <cfRule type="notContainsErrors" dxfId="2" priority="1014">
      <formula>NOT(ISERROR(V450))</formula>
    </cfRule>
  </conditionalFormatting>
  <conditionalFormatting sqref="V453">
    <cfRule type="notContainsErrors" dxfId="2" priority="1019">
      <formula>NOT(ISERROR(V453))</formula>
    </cfRule>
  </conditionalFormatting>
  <conditionalFormatting sqref="V454">
    <cfRule type="notContainsErrors" dxfId="2" priority="1024">
      <formula>NOT(ISERROR(V454))</formula>
    </cfRule>
  </conditionalFormatting>
  <conditionalFormatting sqref="V455">
    <cfRule type="notContainsErrors" dxfId="2" priority="1029">
      <formula>NOT(ISERROR(V455))</formula>
    </cfRule>
  </conditionalFormatting>
  <conditionalFormatting sqref="V456">
    <cfRule type="notContainsErrors" dxfId="2" priority="1034">
      <formula>NOT(ISERROR(V456))</formula>
    </cfRule>
  </conditionalFormatting>
  <conditionalFormatting sqref="V457">
    <cfRule type="notContainsErrors" dxfId="2" priority="1039">
      <formula>NOT(ISERROR(V457))</formula>
    </cfRule>
  </conditionalFormatting>
  <conditionalFormatting sqref="V461">
    <cfRule type="notContainsErrors" dxfId="2" priority="1044">
      <formula>NOT(ISERROR(V461))</formula>
    </cfRule>
  </conditionalFormatting>
  <conditionalFormatting sqref="V464">
    <cfRule type="notContainsErrors" dxfId="2" priority="1049">
      <formula>NOT(ISERROR(V464))</formula>
    </cfRule>
  </conditionalFormatting>
  <conditionalFormatting sqref="V466">
    <cfRule type="notContainsErrors" dxfId="2" priority="1054">
      <formula>NOT(ISERROR(V466))</formula>
    </cfRule>
  </conditionalFormatting>
  <conditionalFormatting sqref="V469">
    <cfRule type="notContainsErrors" dxfId="2" priority="1059">
      <formula>NOT(ISERROR(V469))</formula>
    </cfRule>
  </conditionalFormatting>
  <conditionalFormatting sqref="V470">
    <cfRule type="notContainsErrors" dxfId="2" priority="1064">
      <formula>NOT(ISERROR(V470))</formula>
    </cfRule>
  </conditionalFormatting>
  <conditionalFormatting sqref="V481">
    <cfRule type="notContainsErrors" dxfId="2" priority="1069">
      <formula>NOT(ISERROR(V481))</formula>
    </cfRule>
  </conditionalFormatting>
  <conditionalFormatting sqref="V482">
    <cfRule type="notContainsErrors" dxfId="2" priority="1074">
      <formula>NOT(ISERROR(V482))</formula>
    </cfRule>
  </conditionalFormatting>
  <conditionalFormatting sqref="V483">
    <cfRule type="notContainsErrors" dxfId="2" priority="1079">
      <formula>NOT(ISERROR(V483))</formula>
    </cfRule>
  </conditionalFormatting>
  <conditionalFormatting sqref="V486">
    <cfRule type="notContainsErrors" dxfId="2" priority="1084">
      <formula>NOT(ISERROR(V486))</formula>
    </cfRule>
  </conditionalFormatting>
  <conditionalFormatting sqref="V487">
    <cfRule type="notContainsErrors" dxfId="2" priority="1089">
      <formula>NOT(ISERROR(V487))</formula>
    </cfRule>
  </conditionalFormatting>
  <conditionalFormatting sqref="V496">
    <cfRule type="notContainsErrors" dxfId="2" priority="1094">
      <formula>NOT(ISERROR(V496))</formula>
    </cfRule>
  </conditionalFormatting>
  <conditionalFormatting sqref="V498">
    <cfRule type="notContainsErrors" dxfId="2" priority="1099">
      <formula>NOT(ISERROR(V498))</formula>
    </cfRule>
  </conditionalFormatting>
  <conditionalFormatting sqref="V561">
    <cfRule type="notContainsErrors" dxfId="2" priority="1104">
      <formula>NOT(ISERROR(V561))</formula>
    </cfRule>
  </conditionalFormatting>
  <conditionalFormatting sqref="V570">
    <cfRule type="notContainsErrors" dxfId="2" priority="1109">
      <formula>NOT(ISERROR(V570))</formula>
    </cfRule>
  </conditionalFormatting>
  <conditionalFormatting sqref="V6">
    <cfRule type="notContainsErrors" dxfId="2" priority="494">
      <formula>NOT(ISERROR(V6))</formula>
    </cfRule>
  </conditionalFormatting>
  <conditionalFormatting sqref="V64">
    <cfRule type="notContainsErrors" dxfId="2" priority="529">
      <formula>NOT(ISERROR(V64))</formula>
    </cfRule>
  </conditionalFormatting>
  <conditionalFormatting sqref="V70">
    <cfRule type="notContainsErrors" dxfId="2" priority="534">
      <formula>NOT(ISERROR(V70))</formula>
    </cfRule>
  </conditionalFormatting>
  <conditionalFormatting sqref="V71">
    <cfRule type="notContainsErrors" dxfId="2" priority="539">
      <formula>NOT(ISERROR(V71))</formula>
    </cfRule>
  </conditionalFormatting>
  <conditionalFormatting sqref="V77">
    <cfRule type="notContainsErrors" dxfId="2" priority="544">
      <formula>NOT(ISERROR(V77))</formula>
    </cfRule>
  </conditionalFormatting>
  <conditionalFormatting sqref="V78">
    <cfRule type="notContainsErrors" dxfId="2" priority="549">
      <formula>NOT(ISERROR(V78))</formula>
    </cfRule>
  </conditionalFormatting>
  <conditionalFormatting sqref="V85">
    <cfRule type="notContainsErrors" dxfId="2" priority="554">
      <formula>NOT(ISERROR(V85))</formula>
    </cfRule>
  </conditionalFormatting>
  <conditionalFormatting sqref="V95">
    <cfRule type="notContainsErrors" dxfId="2" priority="559">
      <formula>NOT(ISERROR(V95))</formula>
    </cfRule>
  </conditionalFormatting>
  <conditionalFormatting sqref="V96">
    <cfRule type="notContainsErrors" dxfId="2" priority="564">
      <formula>NOT(ISERROR(V96))</formula>
    </cfRule>
  </conditionalFormatting>
  <conditionalFormatting sqref="V98">
    <cfRule type="notContainsErrors" dxfId="2" priority="569">
      <formula>NOT(ISERROR(V98))</formula>
    </cfRule>
  </conditionalFormatting>
  <conditionalFormatting sqref="W103">
    <cfRule type="notContainsErrors" dxfId="2" priority="575">
      <formula>NOT(ISERROR(W103))</formula>
    </cfRule>
  </conditionalFormatting>
  <conditionalFormatting sqref="W113">
    <cfRule type="notContainsErrors" dxfId="2" priority="580">
      <formula>NOT(ISERROR(W113))</formula>
    </cfRule>
  </conditionalFormatting>
  <conditionalFormatting sqref="W171">
    <cfRule type="notContainsErrors" dxfId="2" priority="585">
      <formula>NOT(ISERROR(W171))</formula>
    </cfRule>
  </conditionalFormatting>
  <conditionalFormatting sqref="W175">
    <cfRule type="notContainsErrors" dxfId="2" priority="590">
      <formula>NOT(ISERROR(W175))</formula>
    </cfRule>
  </conditionalFormatting>
  <conditionalFormatting sqref="W176">
    <cfRule type="notContainsErrors" dxfId="2" priority="595">
      <formula>NOT(ISERROR(W176))</formula>
    </cfRule>
  </conditionalFormatting>
  <conditionalFormatting sqref="W19">
    <cfRule type="notContainsErrors" dxfId="2" priority="500">
      <formula>NOT(ISERROR(W19))</formula>
    </cfRule>
  </conditionalFormatting>
  <conditionalFormatting sqref="W230">
    <cfRule type="notContainsErrors" dxfId="2" priority="600">
      <formula>NOT(ISERROR(W230))</formula>
    </cfRule>
  </conditionalFormatting>
  <conditionalFormatting sqref="W241">
    <cfRule type="notContainsErrors" dxfId="2" priority="605">
      <formula>NOT(ISERROR(W241))</formula>
    </cfRule>
  </conditionalFormatting>
  <conditionalFormatting sqref="W259">
    <cfRule type="notContainsErrors" dxfId="2" priority="610">
      <formula>NOT(ISERROR(W259))</formula>
    </cfRule>
  </conditionalFormatting>
  <conditionalFormatting sqref="W260">
    <cfRule type="notContainsErrors" dxfId="2" priority="615">
      <formula>NOT(ISERROR(W260))</formula>
    </cfRule>
  </conditionalFormatting>
  <conditionalFormatting sqref="W261">
    <cfRule type="notContainsErrors" dxfId="2" priority="620">
      <formula>NOT(ISERROR(W261))</formula>
    </cfRule>
  </conditionalFormatting>
  <conditionalFormatting sqref="W262">
    <cfRule type="notContainsErrors" dxfId="2" priority="625">
      <formula>NOT(ISERROR(W262))</formula>
    </cfRule>
  </conditionalFormatting>
  <conditionalFormatting sqref="W263">
    <cfRule type="notContainsErrors" dxfId="2" priority="630">
      <formula>NOT(ISERROR(W263))</formula>
    </cfRule>
  </conditionalFormatting>
  <conditionalFormatting sqref="W264">
    <cfRule type="notContainsErrors" dxfId="2" priority="635">
      <formula>NOT(ISERROR(W264))</formula>
    </cfRule>
  </conditionalFormatting>
  <conditionalFormatting sqref="W265">
    <cfRule type="notContainsErrors" dxfId="2" priority="640">
      <formula>NOT(ISERROR(W265))</formula>
    </cfRule>
  </conditionalFormatting>
  <conditionalFormatting sqref="W274">
    <cfRule type="notContainsErrors" dxfId="2" priority="645">
      <formula>NOT(ISERROR(W274))</formula>
    </cfRule>
  </conditionalFormatting>
  <conditionalFormatting sqref="W287">
    <cfRule type="notContainsErrors" dxfId="2" priority="650">
      <formula>NOT(ISERROR(W287))</formula>
    </cfRule>
  </conditionalFormatting>
  <conditionalFormatting sqref="W289">
    <cfRule type="notContainsErrors" dxfId="2" priority="655">
      <formula>NOT(ISERROR(W289))</formula>
    </cfRule>
  </conditionalFormatting>
  <conditionalFormatting sqref="W290">
    <cfRule type="notContainsErrors" dxfId="2" priority="660">
      <formula>NOT(ISERROR(W290))</formula>
    </cfRule>
  </conditionalFormatting>
  <conditionalFormatting sqref="W291">
    <cfRule type="notContainsErrors" dxfId="2" priority="665">
      <formula>NOT(ISERROR(W291))</formula>
    </cfRule>
  </conditionalFormatting>
  <conditionalFormatting sqref="W293">
    <cfRule type="notContainsErrors" dxfId="2" priority="670">
      <formula>NOT(ISERROR(W293))</formula>
    </cfRule>
  </conditionalFormatting>
  <conditionalFormatting sqref="W296">
    <cfRule type="notContainsErrors" dxfId="2" priority="675">
      <formula>NOT(ISERROR(W296))</formula>
    </cfRule>
  </conditionalFormatting>
  <conditionalFormatting sqref="W31">
    <cfRule type="notContainsErrors" dxfId="2" priority="505">
      <formula>NOT(ISERROR(W31))</formula>
    </cfRule>
  </conditionalFormatting>
  <conditionalFormatting sqref="W320">
    <cfRule type="notContainsErrors" dxfId="2" priority="680">
      <formula>NOT(ISERROR(W320))</formula>
    </cfRule>
  </conditionalFormatting>
  <conditionalFormatting sqref="W321">
    <cfRule type="notContainsErrors" dxfId="2" priority="685">
      <formula>NOT(ISERROR(W321))</formula>
    </cfRule>
  </conditionalFormatting>
  <conditionalFormatting sqref="W331">
    <cfRule type="notContainsErrors" dxfId="2" priority="690">
      <formula>NOT(ISERROR(W331))</formula>
    </cfRule>
  </conditionalFormatting>
  <conditionalFormatting sqref="W337">
    <cfRule type="notContainsErrors" dxfId="2" priority="695">
      <formula>NOT(ISERROR(W337))</formula>
    </cfRule>
  </conditionalFormatting>
  <conditionalFormatting sqref="W340">
    <cfRule type="notContainsErrors" dxfId="2" priority="700">
      <formula>NOT(ISERROR(W340))</formula>
    </cfRule>
  </conditionalFormatting>
  <conditionalFormatting sqref="W341">
    <cfRule type="notContainsErrors" dxfId="2" priority="705">
      <formula>NOT(ISERROR(W341))</formula>
    </cfRule>
  </conditionalFormatting>
  <conditionalFormatting sqref="W342">
    <cfRule type="notContainsErrors" dxfId="2" priority="710">
      <formula>NOT(ISERROR(W342))</formula>
    </cfRule>
  </conditionalFormatting>
  <conditionalFormatting sqref="W344">
    <cfRule type="notContainsErrors" dxfId="2" priority="715">
      <formula>NOT(ISERROR(W344))</formula>
    </cfRule>
  </conditionalFormatting>
  <conditionalFormatting sqref="W346">
    <cfRule type="notContainsErrors" dxfId="2" priority="720">
      <formula>NOT(ISERROR(W346))</formula>
    </cfRule>
  </conditionalFormatting>
  <conditionalFormatting sqref="W347">
    <cfRule type="notContainsErrors" dxfId="2" priority="725">
      <formula>NOT(ISERROR(W347))</formula>
    </cfRule>
  </conditionalFormatting>
  <conditionalFormatting sqref="W348">
    <cfRule type="notContainsErrors" dxfId="2" priority="730">
      <formula>NOT(ISERROR(W348))</formula>
    </cfRule>
  </conditionalFormatting>
  <conditionalFormatting sqref="W357">
    <cfRule type="notContainsErrors" dxfId="2" priority="735">
      <formula>NOT(ISERROR(W357))</formula>
    </cfRule>
  </conditionalFormatting>
  <conditionalFormatting sqref="W365">
    <cfRule type="notContainsErrors" dxfId="2" priority="740">
      <formula>NOT(ISERROR(W365))</formula>
    </cfRule>
  </conditionalFormatting>
  <conditionalFormatting sqref="W367">
    <cfRule type="notContainsErrors" dxfId="2" priority="745">
      <formula>NOT(ISERROR(W367))</formula>
    </cfRule>
  </conditionalFormatting>
  <conditionalFormatting sqref="W369">
    <cfRule type="notContainsErrors" dxfId="2" priority="750">
      <formula>NOT(ISERROR(W369))</formula>
    </cfRule>
  </conditionalFormatting>
  <conditionalFormatting sqref="W37">
    <cfRule type="notContainsErrors" dxfId="2" priority="510">
      <formula>NOT(ISERROR(W37))</formula>
    </cfRule>
  </conditionalFormatting>
  <conditionalFormatting sqref="W370">
    <cfRule type="notContainsErrors" dxfId="2" priority="755">
      <formula>NOT(ISERROR(W370))</formula>
    </cfRule>
  </conditionalFormatting>
  <conditionalFormatting sqref="W371">
    <cfRule type="notContainsErrors" dxfId="2" priority="760">
      <formula>NOT(ISERROR(W371))</formula>
    </cfRule>
  </conditionalFormatting>
  <conditionalFormatting sqref="W373">
    <cfRule type="notContainsErrors" dxfId="2" priority="765">
      <formula>NOT(ISERROR(W373))</formula>
    </cfRule>
  </conditionalFormatting>
  <conditionalFormatting sqref="W374">
    <cfRule type="notContainsErrors" dxfId="2" priority="770">
      <formula>NOT(ISERROR(W374))</formula>
    </cfRule>
  </conditionalFormatting>
  <conditionalFormatting sqref="W375">
    <cfRule type="notContainsErrors" dxfId="2" priority="775">
      <formula>NOT(ISERROR(W375))</formula>
    </cfRule>
  </conditionalFormatting>
  <conditionalFormatting sqref="W376">
    <cfRule type="notContainsErrors" dxfId="2" priority="780">
      <formula>NOT(ISERROR(W376))</formula>
    </cfRule>
  </conditionalFormatting>
  <conditionalFormatting sqref="W377">
    <cfRule type="notContainsErrors" dxfId="2" priority="785">
      <formula>NOT(ISERROR(W377))</formula>
    </cfRule>
  </conditionalFormatting>
  <conditionalFormatting sqref="W379">
    <cfRule type="notContainsErrors" dxfId="2" priority="790">
      <formula>NOT(ISERROR(W379))</formula>
    </cfRule>
  </conditionalFormatting>
  <conditionalFormatting sqref="W38">
    <cfRule type="notContainsErrors" dxfId="2" priority="515">
      <formula>NOT(ISERROR(W38))</formula>
    </cfRule>
  </conditionalFormatting>
  <conditionalFormatting sqref="W382">
    <cfRule type="notContainsErrors" dxfId="2" priority="795">
      <formula>NOT(ISERROR(W382))</formula>
    </cfRule>
  </conditionalFormatting>
  <conditionalFormatting sqref="W384">
    <cfRule type="notContainsErrors" dxfId="2" priority="800">
      <formula>NOT(ISERROR(W384))</formula>
    </cfRule>
  </conditionalFormatting>
  <conditionalFormatting sqref="W385">
    <cfRule type="notContainsErrors" dxfId="2" priority="805">
      <formula>NOT(ISERROR(W385))</formula>
    </cfRule>
  </conditionalFormatting>
  <conditionalFormatting sqref="W386">
    <cfRule type="notContainsErrors" dxfId="2" priority="810">
      <formula>NOT(ISERROR(W386))</formula>
    </cfRule>
  </conditionalFormatting>
  <conditionalFormatting sqref="W388">
    <cfRule type="notContainsErrors" dxfId="2" priority="815">
      <formula>NOT(ISERROR(W388))</formula>
    </cfRule>
  </conditionalFormatting>
  <conditionalFormatting sqref="W391">
    <cfRule type="notContainsErrors" dxfId="2" priority="820">
      <formula>NOT(ISERROR(W391))</formula>
    </cfRule>
  </conditionalFormatting>
  <conditionalFormatting sqref="W393">
    <cfRule type="notContainsErrors" dxfId="2" priority="825">
      <formula>NOT(ISERROR(W393))</formula>
    </cfRule>
  </conditionalFormatting>
  <conditionalFormatting sqref="W395">
    <cfRule type="notContainsErrors" dxfId="2" priority="830">
      <formula>NOT(ISERROR(W395))</formula>
    </cfRule>
  </conditionalFormatting>
  <conditionalFormatting sqref="W397">
    <cfRule type="notContainsErrors" dxfId="2" priority="835">
      <formula>NOT(ISERROR(W397))</formula>
    </cfRule>
  </conditionalFormatting>
  <conditionalFormatting sqref="W399">
    <cfRule type="notContainsErrors" dxfId="2" priority="840">
      <formula>NOT(ISERROR(W399))</formula>
    </cfRule>
  </conditionalFormatting>
  <conditionalFormatting sqref="W4">
    <cfRule type="notContainsErrors" dxfId="2" priority="490">
      <formula>NOT(ISERROR(W4))</formula>
    </cfRule>
  </conditionalFormatting>
  <conditionalFormatting sqref="W40">
    <cfRule type="notContainsErrors" dxfId="2" priority="520">
      <formula>NOT(ISERROR(W40))</formula>
    </cfRule>
  </conditionalFormatting>
  <conditionalFormatting sqref="W400">
    <cfRule type="notContainsErrors" dxfId="2" priority="845">
      <formula>NOT(ISERROR(W400))</formula>
    </cfRule>
  </conditionalFormatting>
  <conditionalFormatting sqref="W401">
    <cfRule type="notContainsErrors" dxfId="2" priority="850">
      <formula>NOT(ISERROR(W401))</formula>
    </cfRule>
  </conditionalFormatting>
  <conditionalFormatting sqref="W402">
    <cfRule type="notContainsErrors" dxfId="2" priority="855">
      <formula>NOT(ISERROR(W402))</formula>
    </cfRule>
  </conditionalFormatting>
  <conditionalFormatting sqref="W403">
    <cfRule type="notContainsErrors" dxfId="2" priority="860">
      <formula>NOT(ISERROR(W403))</formula>
    </cfRule>
  </conditionalFormatting>
  <conditionalFormatting sqref="W404">
    <cfRule type="notContainsErrors" dxfId="2" priority="865">
      <formula>NOT(ISERROR(W404))</formula>
    </cfRule>
  </conditionalFormatting>
  <conditionalFormatting sqref="W406">
    <cfRule type="notContainsErrors" dxfId="2" priority="870">
      <formula>NOT(ISERROR(W406))</formula>
    </cfRule>
  </conditionalFormatting>
  <conditionalFormatting sqref="W407">
    <cfRule type="notContainsErrors" dxfId="2" priority="875">
      <formula>NOT(ISERROR(W407))</formula>
    </cfRule>
  </conditionalFormatting>
  <conditionalFormatting sqref="W408">
    <cfRule type="notContainsErrors" dxfId="2" priority="880">
      <formula>NOT(ISERROR(W408))</formula>
    </cfRule>
  </conditionalFormatting>
  <conditionalFormatting sqref="W409">
    <cfRule type="notContainsErrors" dxfId="2" priority="885">
      <formula>NOT(ISERROR(W409))</formula>
    </cfRule>
  </conditionalFormatting>
  <conditionalFormatting sqref="W410">
    <cfRule type="notContainsErrors" dxfId="2" priority="890">
      <formula>NOT(ISERROR(W410))</formula>
    </cfRule>
  </conditionalFormatting>
  <conditionalFormatting sqref="W413">
    <cfRule type="notContainsErrors" dxfId="2" priority="895">
      <formula>NOT(ISERROR(W413))</formula>
    </cfRule>
  </conditionalFormatting>
  <conditionalFormatting sqref="W414">
    <cfRule type="notContainsErrors" dxfId="2" priority="900">
      <formula>NOT(ISERROR(W414))</formula>
    </cfRule>
  </conditionalFormatting>
  <conditionalFormatting sqref="W415">
    <cfRule type="notContainsErrors" dxfId="2" priority="905">
      <formula>NOT(ISERROR(W415))</formula>
    </cfRule>
  </conditionalFormatting>
  <conditionalFormatting sqref="W416">
    <cfRule type="notContainsErrors" dxfId="2" priority="910">
      <formula>NOT(ISERROR(W416))</formula>
    </cfRule>
  </conditionalFormatting>
  <conditionalFormatting sqref="W417">
    <cfRule type="notContainsErrors" dxfId="2" priority="915">
      <formula>NOT(ISERROR(W417))</formula>
    </cfRule>
  </conditionalFormatting>
  <conditionalFormatting sqref="W418">
    <cfRule type="notContainsErrors" dxfId="2" priority="920">
      <formula>NOT(ISERROR(W418))</formula>
    </cfRule>
  </conditionalFormatting>
  <conditionalFormatting sqref="W419">
    <cfRule type="notContainsErrors" dxfId="2" priority="925">
      <formula>NOT(ISERROR(W419))</formula>
    </cfRule>
  </conditionalFormatting>
  <conditionalFormatting sqref="W420">
    <cfRule type="notContainsErrors" dxfId="2" priority="930">
      <formula>NOT(ISERROR(W420))</formula>
    </cfRule>
  </conditionalFormatting>
  <conditionalFormatting sqref="W421">
    <cfRule type="notContainsErrors" dxfId="2" priority="935">
      <formula>NOT(ISERROR(W421))</formula>
    </cfRule>
  </conditionalFormatting>
  <conditionalFormatting sqref="W422">
    <cfRule type="notContainsErrors" dxfId="2" priority="940">
      <formula>NOT(ISERROR(W422))</formula>
    </cfRule>
  </conditionalFormatting>
  <conditionalFormatting sqref="W423">
    <cfRule type="notContainsErrors" dxfId="2" priority="945">
      <formula>NOT(ISERROR(W423))</formula>
    </cfRule>
  </conditionalFormatting>
  <conditionalFormatting sqref="W424">
    <cfRule type="notContainsErrors" dxfId="2" priority="950">
      <formula>NOT(ISERROR(W424))</formula>
    </cfRule>
  </conditionalFormatting>
  <conditionalFormatting sqref="W425">
    <cfRule type="notContainsErrors" dxfId="2" priority="955">
      <formula>NOT(ISERROR(W425))</formula>
    </cfRule>
  </conditionalFormatting>
  <conditionalFormatting sqref="W426">
    <cfRule type="notContainsErrors" dxfId="2" priority="960">
      <formula>NOT(ISERROR(W426))</formula>
    </cfRule>
  </conditionalFormatting>
  <conditionalFormatting sqref="W427">
    <cfRule type="notContainsErrors" dxfId="2" priority="965">
      <formula>NOT(ISERROR(W427))</formula>
    </cfRule>
  </conditionalFormatting>
  <conditionalFormatting sqref="W428">
    <cfRule type="notContainsErrors" dxfId="2" priority="970">
      <formula>NOT(ISERROR(W428))</formula>
    </cfRule>
  </conditionalFormatting>
  <conditionalFormatting sqref="W429">
    <cfRule type="notContainsErrors" dxfId="2" priority="975">
      <formula>NOT(ISERROR(W429))</formula>
    </cfRule>
  </conditionalFormatting>
  <conditionalFormatting sqref="W43">
    <cfRule type="notContainsErrors" dxfId="2" priority="525">
      <formula>NOT(ISERROR(W43))</formula>
    </cfRule>
  </conditionalFormatting>
  <conditionalFormatting sqref="W431">
    <cfRule type="notContainsErrors" dxfId="2" priority="980">
      <formula>NOT(ISERROR(W431))</formula>
    </cfRule>
  </conditionalFormatting>
  <conditionalFormatting sqref="W435">
    <cfRule type="notContainsErrors" dxfId="2" priority="985">
      <formula>NOT(ISERROR(W435))</formula>
    </cfRule>
  </conditionalFormatting>
  <conditionalFormatting sqref="W437">
    <cfRule type="notContainsErrors" dxfId="2" priority="990">
      <formula>NOT(ISERROR(W437))</formula>
    </cfRule>
  </conditionalFormatting>
  <conditionalFormatting sqref="W441">
    <cfRule type="notContainsErrors" dxfId="2" priority="995">
      <formula>NOT(ISERROR(W441))</formula>
    </cfRule>
  </conditionalFormatting>
  <conditionalFormatting sqref="W443">
    <cfRule type="notContainsErrors" dxfId="2" priority="1000">
      <formula>NOT(ISERROR(W443))</formula>
    </cfRule>
  </conditionalFormatting>
  <conditionalFormatting sqref="W446">
    <cfRule type="notContainsErrors" dxfId="2" priority="1005">
      <formula>NOT(ISERROR(W446))</formula>
    </cfRule>
  </conditionalFormatting>
  <conditionalFormatting sqref="W449">
    <cfRule type="notContainsErrors" dxfId="2" priority="1010">
      <formula>NOT(ISERROR(W449))</formula>
    </cfRule>
  </conditionalFormatting>
  <conditionalFormatting sqref="W450">
    <cfRule type="notContainsErrors" dxfId="2" priority="1015">
      <formula>NOT(ISERROR(W450))</formula>
    </cfRule>
  </conditionalFormatting>
  <conditionalFormatting sqref="W453">
    <cfRule type="notContainsErrors" dxfId="2" priority="1020">
      <formula>NOT(ISERROR(W453))</formula>
    </cfRule>
  </conditionalFormatting>
  <conditionalFormatting sqref="W454">
    <cfRule type="notContainsErrors" dxfId="2" priority="1025">
      <formula>NOT(ISERROR(W454))</formula>
    </cfRule>
  </conditionalFormatting>
  <conditionalFormatting sqref="W455">
    <cfRule type="notContainsErrors" dxfId="2" priority="1030">
      <formula>NOT(ISERROR(W455))</formula>
    </cfRule>
  </conditionalFormatting>
  <conditionalFormatting sqref="W456">
    <cfRule type="notContainsErrors" dxfId="2" priority="1035">
      <formula>NOT(ISERROR(W456))</formula>
    </cfRule>
  </conditionalFormatting>
  <conditionalFormatting sqref="W457">
    <cfRule type="notContainsErrors" dxfId="2" priority="1040">
      <formula>NOT(ISERROR(W457))</formula>
    </cfRule>
  </conditionalFormatting>
  <conditionalFormatting sqref="W461">
    <cfRule type="notContainsErrors" dxfId="2" priority="1045">
      <formula>NOT(ISERROR(W461))</formula>
    </cfRule>
  </conditionalFormatting>
  <conditionalFormatting sqref="W464">
    <cfRule type="notContainsErrors" dxfId="2" priority="1050">
      <formula>NOT(ISERROR(W464))</formula>
    </cfRule>
  </conditionalFormatting>
  <conditionalFormatting sqref="W466">
    <cfRule type="notContainsErrors" dxfId="2" priority="1055">
      <formula>NOT(ISERROR(W466))</formula>
    </cfRule>
  </conditionalFormatting>
  <conditionalFormatting sqref="W469">
    <cfRule type="notContainsErrors" dxfId="2" priority="1060">
      <formula>NOT(ISERROR(W469))</formula>
    </cfRule>
  </conditionalFormatting>
  <conditionalFormatting sqref="W470">
    <cfRule type="notContainsErrors" dxfId="2" priority="1065">
      <formula>NOT(ISERROR(W470))</formula>
    </cfRule>
  </conditionalFormatting>
  <conditionalFormatting sqref="W481">
    <cfRule type="notContainsErrors" dxfId="2" priority="1070">
      <formula>NOT(ISERROR(W481))</formula>
    </cfRule>
  </conditionalFormatting>
  <conditionalFormatting sqref="W482">
    <cfRule type="notContainsErrors" dxfId="2" priority="1075">
      <formula>NOT(ISERROR(W482))</formula>
    </cfRule>
  </conditionalFormatting>
  <conditionalFormatting sqref="W483">
    <cfRule type="notContainsErrors" dxfId="2" priority="1080">
      <formula>NOT(ISERROR(W483))</formula>
    </cfRule>
  </conditionalFormatting>
  <conditionalFormatting sqref="W486">
    <cfRule type="notContainsErrors" dxfId="2" priority="1085">
      <formula>NOT(ISERROR(W486))</formula>
    </cfRule>
  </conditionalFormatting>
  <conditionalFormatting sqref="W487">
    <cfRule type="notContainsErrors" dxfId="2" priority="1090">
      <formula>NOT(ISERROR(W487))</formula>
    </cfRule>
  </conditionalFormatting>
  <conditionalFormatting sqref="W496">
    <cfRule type="notContainsErrors" dxfId="2" priority="1095">
      <formula>NOT(ISERROR(W496))</formula>
    </cfRule>
  </conditionalFormatting>
  <conditionalFormatting sqref="W498">
    <cfRule type="notContainsErrors" dxfId="2" priority="1100">
      <formula>NOT(ISERROR(W498))</formula>
    </cfRule>
  </conditionalFormatting>
  <conditionalFormatting sqref="W561">
    <cfRule type="notContainsErrors" dxfId="2" priority="1105">
      <formula>NOT(ISERROR(W561))</formula>
    </cfRule>
  </conditionalFormatting>
  <conditionalFormatting sqref="W570">
    <cfRule type="notContainsErrors" dxfId="2" priority="1110">
      <formula>NOT(ISERROR(W570))</formula>
    </cfRule>
  </conditionalFormatting>
  <conditionalFormatting sqref="W6">
    <cfRule type="notContainsErrors" dxfId="2" priority="495">
      <formula>NOT(ISERROR(W6))</formula>
    </cfRule>
  </conditionalFormatting>
  <conditionalFormatting sqref="W64">
    <cfRule type="notContainsErrors" dxfId="2" priority="530">
      <formula>NOT(ISERROR(W64))</formula>
    </cfRule>
  </conditionalFormatting>
  <conditionalFormatting sqref="W70">
    <cfRule type="notContainsErrors" dxfId="2" priority="535">
      <formula>NOT(ISERROR(W70))</formula>
    </cfRule>
  </conditionalFormatting>
  <conditionalFormatting sqref="W71">
    <cfRule type="notContainsErrors" dxfId="2" priority="540">
      <formula>NOT(ISERROR(W71))</formula>
    </cfRule>
  </conditionalFormatting>
  <conditionalFormatting sqref="W77">
    <cfRule type="notContainsErrors" dxfId="2" priority="545">
      <formula>NOT(ISERROR(W77))</formula>
    </cfRule>
  </conditionalFormatting>
  <conditionalFormatting sqref="W78">
    <cfRule type="notContainsErrors" dxfId="2" priority="550">
      <formula>NOT(ISERROR(W78))</formula>
    </cfRule>
  </conditionalFormatting>
  <conditionalFormatting sqref="W85">
    <cfRule type="notContainsErrors" dxfId="2" priority="555">
      <formula>NOT(ISERROR(W85))</formula>
    </cfRule>
  </conditionalFormatting>
  <conditionalFormatting sqref="W95">
    <cfRule type="notContainsErrors" dxfId="2" priority="560">
      <formula>NOT(ISERROR(W95))</formula>
    </cfRule>
  </conditionalFormatting>
  <conditionalFormatting sqref="W96">
    <cfRule type="notContainsErrors" dxfId="2" priority="565">
      <formula>NOT(ISERROR(W96))</formula>
    </cfRule>
  </conditionalFormatting>
  <conditionalFormatting sqref="W98">
    <cfRule type="notContainsErrors" dxfId="2" priority="570">
      <formula>NOT(ISERROR(W98))</formula>
    </cfRule>
  </conditionalFormatting>
  <conditionalFormatting sqref="X103">
    <cfRule type="notContainsErrors" dxfId="2" priority="576">
      <formula>NOT(ISERROR(X103))</formula>
    </cfRule>
  </conditionalFormatting>
  <conditionalFormatting sqref="X113">
    <cfRule type="notContainsErrors" dxfId="2" priority="581">
      <formula>NOT(ISERROR(X113))</formula>
    </cfRule>
  </conditionalFormatting>
  <conditionalFormatting sqref="X171">
    <cfRule type="notContainsErrors" dxfId="2" priority="586">
      <formula>NOT(ISERROR(X171))</formula>
    </cfRule>
  </conditionalFormatting>
  <conditionalFormatting sqref="X175">
    <cfRule type="notContainsErrors" dxfId="2" priority="591">
      <formula>NOT(ISERROR(X175))</formula>
    </cfRule>
  </conditionalFormatting>
  <conditionalFormatting sqref="X176">
    <cfRule type="notContainsErrors" dxfId="2" priority="596">
      <formula>NOT(ISERROR(X176))</formula>
    </cfRule>
  </conditionalFormatting>
  <conditionalFormatting sqref="X19">
    <cfRule type="notContainsErrors" dxfId="2" priority="501">
      <formula>NOT(ISERROR(X19))</formula>
    </cfRule>
  </conditionalFormatting>
  <conditionalFormatting sqref="X230">
    <cfRule type="notContainsErrors" dxfId="2" priority="601">
      <formula>NOT(ISERROR(X230))</formula>
    </cfRule>
  </conditionalFormatting>
  <conditionalFormatting sqref="X241">
    <cfRule type="notContainsErrors" dxfId="2" priority="606">
      <formula>NOT(ISERROR(X241))</formula>
    </cfRule>
  </conditionalFormatting>
  <conditionalFormatting sqref="X259">
    <cfRule type="notContainsErrors" dxfId="2" priority="611">
      <formula>NOT(ISERROR(X259))</formula>
    </cfRule>
  </conditionalFormatting>
  <conditionalFormatting sqref="X260">
    <cfRule type="notContainsErrors" dxfId="2" priority="616">
      <formula>NOT(ISERROR(X260))</formula>
    </cfRule>
  </conditionalFormatting>
  <conditionalFormatting sqref="X261">
    <cfRule type="notContainsErrors" dxfId="2" priority="621">
      <formula>NOT(ISERROR(X261))</formula>
    </cfRule>
  </conditionalFormatting>
  <conditionalFormatting sqref="X262">
    <cfRule type="notContainsErrors" dxfId="2" priority="626">
      <formula>NOT(ISERROR(X262))</formula>
    </cfRule>
  </conditionalFormatting>
  <conditionalFormatting sqref="X263">
    <cfRule type="notContainsErrors" dxfId="2" priority="631">
      <formula>NOT(ISERROR(X263))</formula>
    </cfRule>
  </conditionalFormatting>
  <conditionalFormatting sqref="X264">
    <cfRule type="notContainsErrors" dxfId="2" priority="636">
      <formula>NOT(ISERROR(X264))</formula>
    </cfRule>
  </conditionalFormatting>
  <conditionalFormatting sqref="X265">
    <cfRule type="notContainsErrors" dxfId="2" priority="641">
      <formula>NOT(ISERROR(X265))</formula>
    </cfRule>
  </conditionalFormatting>
  <conditionalFormatting sqref="X274">
    <cfRule type="notContainsErrors" dxfId="2" priority="646">
      <formula>NOT(ISERROR(X274))</formula>
    </cfRule>
  </conditionalFormatting>
  <conditionalFormatting sqref="X287">
    <cfRule type="notContainsErrors" dxfId="2" priority="651">
      <formula>NOT(ISERROR(X287))</formula>
    </cfRule>
  </conditionalFormatting>
  <conditionalFormatting sqref="X289">
    <cfRule type="notContainsErrors" dxfId="2" priority="656">
      <formula>NOT(ISERROR(X289))</formula>
    </cfRule>
  </conditionalFormatting>
  <conditionalFormatting sqref="X290">
    <cfRule type="notContainsErrors" dxfId="2" priority="661">
      <formula>NOT(ISERROR(X290))</formula>
    </cfRule>
  </conditionalFormatting>
  <conditionalFormatting sqref="X291">
    <cfRule type="notContainsErrors" dxfId="2" priority="666">
      <formula>NOT(ISERROR(X291))</formula>
    </cfRule>
  </conditionalFormatting>
  <conditionalFormatting sqref="X293">
    <cfRule type="notContainsErrors" dxfId="2" priority="671">
      <formula>NOT(ISERROR(X293))</formula>
    </cfRule>
  </conditionalFormatting>
  <conditionalFormatting sqref="X296">
    <cfRule type="notContainsErrors" dxfId="2" priority="676">
      <formula>NOT(ISERROR(X296))</formula>
    </cfRule>
  </conditionalFormatting>
  <conditionalFormatting sqref="X31">
    <cfRule type="notContainsErrors" dxfId="2" priority="506">
      <formula>NOT(ISERROR(X31))</formula>
    </cfRule>
  </conditionalFormatting>
  <conditionalFormatting sqref="X320">
    <cfRule type="notContainsErrors" dxfId="2" priority="681">
      <formula>NOT(ISERROR(X320))</formula>
    </cfRule>
  </conditionalFormatting>
  <conditionalFormatting sqref="X321">
    <cfRule type="notContainsErrors" dxfId="2" priority="686">
      <formula>NOT(ISERROR(X321))</formula>
    </cfRule>
  </conditionalFormatting>
  <conditionalFormatting sqref="X331">
    <cfRule type="notContainsErrors" dxfId="2" priority="691">
      <formula>NOT(ISERROR(X331))</formula>
    </cfRule>
  </conditionalFormatting>
  <conditionalFormatting sqref="X337">
    <cfRule type="notContainsErrors" dxfId="2" priority="696">
      <formula>NOT(ISERROR(X337))</formula>
    </cfRule>
  </conditionalFormatting>
  <conditionalFormatting sqref="X340">
    <cfRule type="notContainsErrors" dxfId="2" priority="701">
      <formula>NOT(ISERROR(X340))</formula>
    </cfRule>
  </conditionalFormatting>
  <conditionalFormatting sqref="X341">
    <cfRule type="notContainsErrors" dxfId="2" priority="706">
      <formula>NOT(ISERROR(X341))</formula>
    </cfRule>
  </conditionalFormatting>
  <conditionalFormatting sqref="X342">
    <cfRule type="notContainsErrors" dxfId="2" priority="711">
      <formula>NOT(ISERROR(X342))</formula>
    </cfRule>
  </conditionalFormatting>
  <conditionalFormatting sqref="X344">
    <cfRule type="notContainsErrors" dxfId="2" priority="716">
      <formula>NOT(ISERROR(X344))</formula>
    </cfRule>
  </conditionalFormatting>
  <conditionalFormatting sqref="X346">
    <cfRule type="notContainsErrors" dxfId="2" priority="721">
      <formula>NOT(ISERROR(X346))</formula>
    </cfRule>
  </conditionalFormatting>
  <conditionalFormatting sqref="X347">
    <cfRule type="notContainsErrors" dxfId="2" priority="726">
      <formula>NOT(ISERROR(X347))</formula>
    </cfRule>
  </conditionalFormatting>
  <conditionalFormatting sqref="X348">
    <cfRule type="notContainsErrors" dxfId="2" priority="731">
      <formula>NOT(ISERROR(X348))</formula>
    </cfRule>
  </conditionalFormatting>
  <conditionalFormatting sqref="X357">
    <cfRule type="notContainsErrors" dxfId="2" priority="736">
      <formula>NOT(ISERROR(X357))</formula>
    </cfRule>
  </conditionalFormatting>
  <conditionalFormatting sqref="X365">
    <cfRule type="notContainsErrors" dxfId="2" priority="741">
      <formula>NOT(ISERROR(X365))</formula>
    </cfRule>
  </conditionalFormatting>
  <conditionalFormatting sqref="X367">
    <cfRule type="notContainsErrors" dxfId="2" priority="746">
      <formula>NOT(ISERROR(X367))</formula>
    </cfRule>
  </conditionalFormatting>
  <conditionalFormatting sqref="X369">
    <cfRule type="notContainsErrors" dxfId="2" priority="751">
      <formula>NOT(ISERROR(X369))</formula>
    </cfRule>
  </conditionalFormatting>
  <conditionalFormatting sqref="X37">
    <cfRule type="notContainsErrors" dxfId="2" priority="511">
      <formula>NOT(ISERROR(X37))</formula>
    </cfRule>
  </conditionalFormatting>
  <conditionalFormatting sqref="X370">
    <cfRule type="notContainsErrors" dxfId="2" priority="756">
      <formula>NOT(ISERROR(X370))</formula>
    </cfRule>
  </conditionalFormatting>
  <conditionalFormatting sqref="X371">
    <cfRule type="notContainsErrors" dxfId="2" priority="761">
      <formula>NOT(ISERROR(X371))</formula>
    </cfRule>
  </conditionalFormatting>
  <conditionalFormatting sqref="X373">
    <cfRule type="notContainsErrors" dxfId="2" priority="766">
      <formula>NOT(ISERROR(X373))</formula>
    </cfRule>
  </conditionalFormatting>
  <conditionalFormatting sqref="X374">
    <cfRule type="notContainsErrors" dxfId="2" priority="771">
      <formula>NOT(ISERROR(X374))</formula>
    </cfRule>
  </conditionalFormatting>
  <conditionalFormatting sqref="X375">
    <cfRule type="notContainsErrors" dxfId="2" priority="776">
      <formula>NOT(ISERROR(X375))</formula>
    </cfRule>
  </conditionalFormatting>
  <conditionalFormatting sqref="X376">
    <cfRule type="notContainsErrors" dxfId="2" priority="781">
      <formula>NOT(ISERROR(X376))</formula>
    </cfRule>
  </conditionalFormatting>
  <conditionalFormatting sqref="X377">
    <cfRule type="notContainsErrors" dxfId="2" priority="786">
      <formula>NOT(ISERROR(X377))</formula>
    </cfRule>
  </conditionalFormatting>
  <conditionalFormatting sqref="X379">
    <cfRule type="notContainsErrors" dxfId="2" priority="791">
      <formula>NOT(ISERROR(X379))</formula>
    </cfRule>
  </conditionalFormatting>
  <conditionalFormatting sqref="X38">
    <cfRule type="notContainsErrors" dxfId="2" priority="516">
      <formula>NOT(ISERROR(X38))</formula>
    </cfRule>
  </conditionalFormatting>
  <conditionalFormatting sqref="X382">
    <cfRule type="notContainsErrors" dxfId="2" priority="796">
      <formula>NOT(ISERROR(X382))</formula>
    </cfRule>
  </conditionalFormatting>
  <conditionalFormatting sqref="X384">
    <cfRule type="notContainsErrors" dxfId="2" priority="801">
      <formula>NOT(ISERROR(X384))</formula>
    </cfRule>
  </conditionalFormatting>
  <conditionalFormatting sqref="X385">
    <cfRule type="notContainsErrors" dxfId="2" priority="806">
      <formula>NOT(ISERROR(X385))</formula>
    </cfRule>
  </conditionalFormatting>
  <conditionalFormatting sqref="X386">
    <cfRule type="notContainsErrors" dxfId="2" priority="811">
      <formula>NOT(ISERROR(X386))</formula>
    </cfRule>
  </conditionalFormatting>
  <conditionalFormatting sqref="X388">
    <cfRule type="notContainsErrors" dxfId="2" priority="816">
      <formula>NOT(ISERROR(X388))</formula>
    </cfRule>
  </conditionalFormatting>
  <conditionalFormatting sqref="X391">
    <cfRule type="notContainsErrors" dxfId="2" priority="821">
      <formula>NOT(ISERROR(X391))</formula>
    </cfRule>
  </conditionalFormatting>
  <conditionalFormatting sqref="X393">
    <cfRule type="notContainsErrors" dxfId="2" priority="826">
      <formula>NOT(ISERROR(X393))</formula>
    </cfRule>
  </conditionalFormatting>
  <conditionalFormatting sqref="X395">
    <cfRule type="notContainsErrors" dxfId="2" priority="831">
      <formula>NOT(ISERROR(X395))</formula>
    </cfRule>
  </conditionalFormatting>
  <conditionalFormatting sqref="X397">
    <cfRule type="notContainsErrors" dxfId="2" priority="836">
      <formula>NOT(ISERROR(X397))</formula>
    </cfRule>
  </conditionalFormatting>
  <conditionalFormatting sqref="X399">
    <cfRule type="notContainsErrors" dxfId="2" priority="841">
      <formula>NOT(ISERROR(X399))</formula>
    </cfRule>
  </conditionalFormatting>
  <conditionalFormatting sqref="X4">
    <cfRule type="notContainsErrors" dxfId="2" priority="491">
      <formula>NOT(ISERROR(X4))</formula>
    </cfRule>
  </conditionalFormatting>
  <conditionalFormatting sqref="X40">
    <cfRule type="notContainsErrors" dxfId="2" priority="521">
      <formula>NOT(ISERROR(X40))</formula>
    </cfRule>
  </conditionalFormatting>
  <conditionalFormatting sqref="X400">
    <cfRule type="notContainsErrors" dxfId="2" priority="846">
      <formula>NOT(ISERROR(X400))</formula>
    </cfRule>
  </conditionalFormatting>
  <conditionalFormatting sqref="X401">
    <cfRule type="notContainsErrors" dxfId="2" priority="851">
      <formula>NOT(ISERROR(X401))</formula>
    </cfRule>
  </conditionalFormatting>
  <conditionalFormatting sqref="X402">
    <cfRule type="notContainsErrors" dxfId="2" priority="856">
      <formula>NOT(ISERROR(X402))</formula>
    </cfRule>
  </conditionalFormatting>
  <conditionalFormatting sqref="X403">
    <cfRule type="notContainsErrors" dxfId="2" priority="861">
      <formula>NOT(ISERROR(X403))</formula>
    </cfRule>
  </conditionalFormatting>
  <conditionalFormatting sqref="X404">
    <cfRule type="notContainsErrors" dxfId="2" priority="866">
      <formula>NOT(ISERROR(X404))</formula>
    </cfRule>
  </conditionalFormatting>
  <conditionalFormatting sqref="X406">
    <cfRule type="notContainsErrors" dxfId="2" priority="871">
      <formula>NOT(ISERROR(X406))</formula>
    </cfRule>
  </conditionalFormatting>
  <conditionalFormatting sqref="X407">
    <cfRule type="notContainsErrors" dxfId="2" priority="876">
      <formula>NOT(ISERROR(X407))</formula>
    </cfRule>
  </conditionalFormatting>
  <conditionalFormatting sqref="X408">
    <cfRule type="notContainsErrors" dxfId="2" priority="881">
      <formula>NOT(ISERROR(X408))</formula>
    </cfRule>
  </conditionalFormatting>
  <conditionalFormatting sqref="X409">
    <cfRule type="notContainsErrors" dxfId="2" priority="886">
      <formula>NOT(ISERROR(X409))</formula>
    </cfRule>
  </conditionalFormatting>
  <conditionalFormatting sqref="X410">
    <cfRule type="notContainsErrors" dxfId="2" priority="891">
      <formula>NOT(ISERROR(X410))</formula>
    </cfRule>
  </conditionalFormatting>
  <conditionalFormatting sqref="X413">
    <cfRule type="notContainsErrors" dxfId="2" priority="896">
      <formula>NOT(ISERROR(X413))</formula>
    </cfRule>
  </conditionalFormatting>
  <conditionalFormatting sqref="X414">
    <cfRule type="notContainsErrors" dxfId="2" priority="901">
      <formula>NOT(ISERROR(X414))</formula>
    </cfRule>
  </conditionalFormatting>
  <conditionalFormatting sqref="X415">
    <cfRule type="notContainsErrors" dxfId="2" priority="906">
      <formula>NOT(ISERROR(X415))</formula>
    </cfRule>
  </conditionalFormatting>
  <conditionalFormatting sqref="X416">
    <cfRule type="notContainsErrors" dxfId="2" priority="911">
      <formula>NOT(ISERROR(X416))</formula>
    </cfRule>
  </conditionalFormatting>
  <conditionalFormatting sqref="X417">
    <cfRule type="notContainsErrors" dxfId="2" priority="916">
      <formula>NOT(ISERROR(X417))</formula>
    </cfRule>
  </conditionalFormatting>
  <conditionalFormatting sqref="X418">
    <cfRule type="notContainsErrors" dxfId="2" priority="921">
      <formula>NOT(ISERROR(X418))</formula>
    </cfRule>
  </conditionalFormatting>
  <conditionalFormatting sqref="X419">
    <cfRule type="notContainsErrors" dxfId="2" priority="926">
      <formula>NOT(ISERROR(X419))</formula>
    </cfRule>
  </conditionalFormatting>
  <conditionalFormatting sqref="X420">
    <cfRule type="notContainsErrors" dxfId="2" priority="931">
      <formula>NOT(ISERROR(X420))</formula>
    </cfRule>
  </conditionalFormatting>
  <conditionalFormatting sqref="X421">
    <cfRule type="notContainsErrors" dxfId="2" priority="936">
      <formula>NOT(ISERROR(X421))</formula>
    </cfRule>
  </conditionalFormatting>
  <conditionalFormatting sqref="X422">
    <cfRule type="notContainsErrors" dxfId="2" priority="941">
      <formula>NOT(ISERROR(X422))</formula>
    </cfRule>
  </conditionalFormatting>
  <conditionalFormatting sqref="X423">
    <cfRule type="notContainsErrors" dxfId="2" priority="946">
      <formula>NOT(ISERROR(X423))</formula>
    </cfRule>
  </conditionalFormatting>
  <conditionalFormatting sqref="X424">
    <cfRule type="notContainsErrors" dxfId="2" priority="951">
      <formula>NOT(ISERROR(X424))</formula>
    </cfRule>
  </conditionalFormatting>
  <conditionalFormatting sqref="X425">
    <cfRule type="notContainsErrors" dxfId="2" priority="956">
      <formula>NOT(ISERROR(X425))</formula>
    </cfRule>
  </conditionalFormatting>
  <conditionalFormatting sqref="X426">
    <cfRule type="notContainsErrors" dxfId="2" priority="961">
      <formula>NOT(ISERROR(X426))</formula>
    </cfRule>
  </conditionalFormatting>
  <conditionalFormatting sqref="X427">
    <cfRule type="notContainsErrors" dxfId="2" priority="966">
      <formula>NOT(ISERROR(X427))</formula>
    </cfRule>
  </conditionalFormatting>
  <conditionalFormatting sqref="X428">
    <cfRule type="notContainsErrors" dxfId="2" priority="971">
      <formula>NOT(ISERROR(X428))</formula>
    </cfRule>
  </conditionalFormatting>
  <conditionalFormatting sqref="X429">
    <cfRule type="notContainsErrors" dxfId="2" priority="976">
      <formula>NOT(ISERROR(X429))</formula>
    </cfRule>
  </conditionalFormatting>
  <conditionalFormatting sqref="X43">
    <cfRule type="notContainsErrors" dxfId="2" priority="526">
      <formula>NOT(ISERROR(X43))</formula>
    </cfRule>
  </conditionalFormatting>
  <conditionalFormatting sqref="X431">
    <cfRule type="notContainsErrors" dxfId="2" priority="981">
      <formula>NOT(ISERROR(X431))</formula>
    </cfRule>
  </conditionalFormatting>
  <conditionalFormatting sqref="X435">
    <cfRule type="notContainsErrors" dxfId="2" priority="986">
      <formula>NOT(ISERROR(X435))</formula>
    </cfRule>
  </conditionalFormatting>
  <conditionalFormatting sqref="X437">
    <cfRule type="notContainsErrors" dxfId="2" priority="991">
      <formula>NOT(ISERROR(X437))</formula>
    </cfRule>
  </conditionalFormatting>
  <conditionalFormatting sqref="X441">
    <cfRule type="notContainsErrors" dxfId="2" priority="996">
      <formula>NOT(ISERROR(X441))</formula>
    </cfRule>
  </conditionalFormatting>
  <conditionalFormatting sqref="X443">
    <cfRule type="notContainsErrors" dxfId="2" priority="1001">
      <formula>NOT(ISERROR(X443))</formula>
    </cfRule>
  </conditionalFormatting>
  <conditionalFormatting sqref="X446">
    <cfRule type="notContainsErrors" dxfId="2" priority="1006">
      <formula>NOT(ISERROR(X446))</formula>
    </cfRule>
  </conditionalFormatting>
  <conditionalFormatting sqref="X449">
    <cfRule type="notContainsErrors" dxfId="2" priority="1011">
      <formula>NOT(ISERROR(X449))</formula>
    </cfRule>
  </conditionalFormatting>
  <conditionalFormatting sqref="X450">
    <cfRule type="notContainsErrors" dxfId="2" priority="1016">
      <formula>NOT(ISERROR(X450))</formula>
    </cfRule>
  </conditionalFormatting>
  <conditionalFormatting sqref="X453">
    <cfRule type="notContainsErrors" dxfId="2" priority="1021">
      <formula>NOT(ISERROR(X453))</formula>
    </cfRule>
  </conditionalFormatting>
  <conditionalFormatting sqref="X454">
    <cfRule type="notContainsErrors" dxfId="2" priority="1026">
      <formula>NOT(ISERROR(X454))</formula>
    </cfRule>
  </conditionalFormatting>
  <conditionalFormatting sqref="X455">
    <cfRule type="notContainsErrors" dxfId="2" priority="1031">
      <formula>NOT(ISERROR(X455))</formula>
    </cfRule>
  </conditionalFormatting>
  <conditionalFormatting sqref="X456">
    <cfRule type="notContainsErrors" dxfId="2" priority="1036">
      <formula>NOT(ISERROR(X456))</formula>
    </cfRule>
  </conditionalFormatting>
  <conditionalFormatting sqref="X457">
    <cfRule type="notContainsErrors" dxfId="2" priority="1041">
      <formula>NOT(ISERROR(X457))</formula>
    </cfRule>
  </conditionalFormatting>
  <conditionalFormatting sqref="X461">
    <cfRule type="notContainsErrors" dxfId="2" priority="1046">
      <formula>NOT(ISERROR(X461))</formula>
    </cfRule>
  </conditionalFormatting>
  <conditionalFormatting sqref="X464">
    <cfRule type="notContainsErrors" dxfId="2" priority="1051">
      <formula>NOT(ISERROR(X464))</formula>
    </cfRule>
  </conditionalFormatting>
  <conditionalFormatting sqref="X466">
    <cfRule type="notContainsErrors" dxfId="2" priority="1056">
      <formula>NOT(ISERROR(X466))</formula>
    </cfRule>
  </conditionalFormatting>
  <conditionalFormatting sqref="X469">
    <cfRule type="notContainsErrors" dxfId="2" priority="1061">
      <formula>NOT(ISERROR(X469))</formula>
    </cfRule>
  </conditionalFormatting>
  <conditionalFormatting sqref="X470">
    <cfRule type="notContainsErrors" dxfId="2" priority="1066">
      <formula>NOT(ISERROR(X470))</formula>
    </cfRule>
  </conditionalFormatting>
  <conditionalFormatting sqref="X481">
    <cfRule type="notContainsErrors" dxfId="2" priority="1071">
      <formula>NOT(ISERROR(X481))</formula>
    </cfRule>
  </conditionalFormatting>
  <conditionalFormatting sqref="X482">
    <cfRule type="notContainsErrors" dxfId="2" priority="1076">
      <formula>NOT(ISERROR(X482))</formula>
    </cfRule>
  </conditionalFormatting>
  <conditionalFormatting sqref="X483">
    <cfRule type="notContainsErrors" dxfId="2" priority="1081">
      <formula>NOT(ISERROR(X483))</formula>
    </cfRule>
  </conditionalFormatting>
  <conditionalFormatting sqref="X486">
    <cfRule type="notContainsErrors" dxfId="2" priority="1086">
      <formula>NOT(ISERROR(X486))</formula>
    </cfRule>
  </conditionalFormatting>
  <conditionalFormatting sqref="X487">
    <cfRule type="notContainsErrors" dxfId="2" priority="1091">
      <formula>NOT(ISERROR(X487))</formula>
    </cfRule>
  </conditionalFormatting>
  <conditionalFormatting sqref="X496">
    <cfRule type="notContainsErrors" dxfId="2" priority="1096">
      <formula>NOT(ISERROR(X496))</formula>
    </cfRule>
  </conditionalFormatting>
  <conditionalFormatting sqref="X498">
    <cfRule type="notContainsErrors" dxfId="2" priority="1101">
      <formula>NOT(ISERROR(X498))</formula>
    </cfRule>
  </conditionalFormatting>
  <conditionalFormatting sqref="X561">
    <cfRule type="notContainsErrors" dxfId="2" priority="1106">
      <formula>NOT(ISERROR(X561))</formula>
    </cfRule>
  </conditionalFormatting>
  <conditionalFormatting sqref="X570">
    <cfRule type="notContainsErrors" dxfId="2" priority="1111">
      <formula>NOT(ISERROR(X570))</formula>
    </cfRule>
  </conditionalFormatting>
  <conditionalFormatting sqref="X6">
    <cfRule type="notContainsErrors" dxfId="2" priority="496">
      <formula>NOT(ISERROR(X6))</formula>
    </cfRule>
  </conditionalFormatting>
  <conditionalFormatting sqref="X64">
    <cfRule type="notContainsErrors" dxfId="2" priority="531">
      <formula>NOT(ISERROR(X64))</formula>
    </cfRule>
  </conditionalFormatting>
  <conditionalFormatting sqref="X70">
    <cfRule type="notContainsErrors" dxfId="2" priority="536">
      <formula>NOT(ISERROR(X70))</formula>
    </cfRule>
  </conditionalFormatting>
  <conditionalFormatting sqref="X71">
    <cfRule type="notContainsErrors" dxfId="2" priority="541">
      <formula>NOT(ISERROR(X71))</formula>
    </cfRule>
  </conditionalFormatting>
  <conditionalFormatting sqref="X77">
    <cfRule type="notContainsErrors" dxfId="2" priority="546">
      <formula>NOT(ISERROR(X77))</formula>
    </cfRule>
  </conditionalFormatting>
  <conditionalFormatting sqref="X78">
    <cfRule type="notContainsErrors" dxfId="2" priority="551">
      <formula>NOT(ISERROR(X78))</formula>
    </cfRule>
  </conditionalFormatting>
  <conditionalFormatting sqref="X85">
    <cfRule type="notContainsErrors" dxfId="2" priority="556">
      <formula>NOT(ISERROR(X85))</formula>
    </cfRule>
  </conditionalFormatting>
  <conditionalFormatting sqref="X95">
    <cfRule type="notContainsErrors" dxfId="2" priority="561">
      <formula>NOT(ISERROR(X95))</formula>
    </cfRule>
  </conditionalFormatting>
  <conditionalFormatting sqref="X96">
    <cfRule type="notContainsErrors" dxfId="2" priority="566">
      <formula>NOT(ISERROR(X96))</formula>
    </cfRule>
  </conditionalFormatting>
  <conditionalFormatting sqref="X98">
    <cfRule type="notContainsErrors" dxfId="2" priority="571">
      <formula>NOT(ISERROR(X98))</formula>
    </cfRule>
  </conditionalFormatting>
  <conditionalFormatting sqref="Y103">
    <cfRule type="notContainsErrors" dxfId="2" priority="577">
      <formula>NOT(ISERROR(Y103))</formula>
    </cfRule>
  </conditionalFormatting>
  <conditionalFormatting sqref="Y113">
    <cfRule type="notContainsErrors" dxfId="2" priority="582">
      <formula>NOT(ISERROR(Y113))</formula>
    </cfRule>
  </conditionalFormatting>
  <conditionalFormatting sqref="Y171">
    <cfRule type="notContainsErrors" dxfId="2" priority="587">
      <formula>NOT(ISERROR(Y171))</formula>
    </cfRule>
  </conditionalFormatting>
  <conditionalFormatting sqref="Y175">
    <cfRule type="notContainsErrors" dxfId="2" priority="592">
      <formula>NOT(ISERROR(Y175))</formula>
    </cfRule>
  </conditionalFormatting>
  <conditionalFormatting sqref="Y176">
    <cfRule type="notContainsErrors" dxfId="2" priority="597">
      <formula>NOT(ISERROR(Y176))</formula>
    </cfRule>
  </conditionalFormatting>
  <conditionalFormatting sqref="Y19">
    <cfRule type="notContainsErrors" dxfId="2" priority="502">
      <formula>NOT(ISERROR(Y19))</formula>
    </cfRule>
  </conditionalFormatting>
  <conditionalFormatting sqref="Y230">
    <cfRule type="notContainsErrors" dxfId="2" priority="602">
      <formula>NOT(ISERROR(Y230))</formula>
    </cfRule>
  </conditionalFormatting>
  <conditionalFormatting sqref="Y241">
    <cfRule type="notContainsErrors" dxfId="2" priority="607">
      <formula>NOT(ISERROR(Y241))</formula>
    </cfRule>
  </conditionalFormatting>
  <conditionalFormatting sqref="Y259">
    <cfRule type="notContainsErrors" dxfId="2" priority="612">
      <formula>NOT(ISERROR(Y259))</formula>
    </cfRule>
  </conditionalFormatting>
  <conditionalFormatting sqref="Y260">
    <cfRule type="notContainsErrors" dxfId="2" priority="617">
      <formula>NOT(ISERROR(Y260))</formula>
    </cfRule>
  </conditionalFormatting>
  <conditionalFormatting sqref="Y261">
    <cfRule type="notContainsErrors" dxfId="2" priority="622">
      <formula>NOT(ISERROR(Y261))</formula>
    </cfRule>
  </conditionalFormatting>
  <conditionalFormatting sqref="Y262">
    <cfRule type="notContainsErrors" dxfId="2" priority="627">
      <formula>NOT(ISERROR(Y262))</formula>
    </cfRule>
  </conditionalFormatting>
  <conditionalFormatting sqref="Y263">
    <cfRule type="notContainsErrors" dxfId="2" priority="632">
      <formula>NOT(ISERROR(Y263))</formula>
    </cfRule>
  </conditionalFormatting>
  <conditionalFormatting sqref="Y264">
    <cfRule type="notContainsErrors" dxfId="2" priority="637">
      <formula>NOT(ISERROR(Y264))</formula>
    </cfRule>
  </conditionalFormatting>
  <conditionalFormatting sqref="Y265">
    <cfRule type="notContainsErrors" dxfId="2" priority="642">
      <formula>NOT(ISERROR(Y265))</formula>
    </cfRule>
  </conditionalFormatting>
  <conditionalFormatting sqref="Y274">
    <cfRule type="notContainsErrors" dxfId="2" priority="647">
      <formula>NOT(ISERROR(Y274))</formula>
    </cfRule>
  </conditionalFormatting>
  <conditionalFormatting sqref="Y287">
    <cfRule type="notContainsErrors" dxfId="2" priority="652">
      <formula>NOT(ISERROR(Y287))</formula>
    </cfRule>
  </conditionalFormatting>
  <conditionalFormatting sqref="Y289">
    <cfRule type="notContainsErrors" dxfId="2" priority="657">
      <formula>NOT(ISERROR(Y289))</formula>
    </cfRule>
  </conditionalFormatting>
  <conditionalFormatting sqref="Y290">
    <cfRule type="notContainsErrors" dxfId="2" priority="662">
      <formula>NOT(ISERROR(Y290))</formula>
    </cfRule>
  </conditionalFormatting>
  <conditionalFormatting sqref="Y291">
    <cfRule type="notContainsErrors" dxfId="2" priority="667">
      <formula>NOT(ISERROR(Y291))</formula>
    </cfRule>
  </conditionalFormatting>
  <conditionalFormatting sqref="Y293">
    <cfRule type="notContainsErrors" dxfId="2" priority="672">
      <formula>NOT(ISERROR(Y293))</formula>
    </cfRule>
  </conditionalFormatting>
  <conditionalFormatting sqref="Y296">
    <cfRule type="notContainsErrors" dxfId="2" priority="677">
      <formula>NOT(ISERROR(Y296))</formula>
    </cfRule>
  </conditionalFormatting>
  <conditionalFormatting sqref="Y31">
    <cfRule type="notContainsErrors" dxfId="2" priority="507">
      <formula>NOT(ISERROR(Y31))</formula>
    </cfRule>
  </conditionalFormatting>
  <conditionalFormatting sqref="Y320">
    <cfRule type="notContainsErrors" dxfId="2" priority="682">
      <formula>NOT(ISERROR(Y320))</formula>
    </cfRule>
  </conditionalFormatting>
  <conditionalFormatting sqref="Y321">
    <cfRule type="notContainsErrors" dxfId="2" priority="687">
      <formula>NOT(ISERROR(Y321))</formula>
    </cfRule>
  </conditionalFormatting>
  <conditionalFormatting sqref="Y331">
    <cfRule type="notContainsErrors" dxfId="2" priority="692">
      <formula>NOT(ISERROR(Y331))</formula>
    </cfRule>
  </conditionalFormatting>
  <conditionalFormatting sqref="Y337">
    <cfRule type="notContainsErrors" dxfId="2" priority="697">
      <formula>NOT(ISERROR(Y337))</formula>
    </cfRule>
  </conditionalFormatting>
  <conditionalFormatting sqref="Y340">
    <cfRule type="notContainsErrors" dxfId="2" priority="702">
      <formula>NOT(ISERROR(Y340))</formula>
    </cfRule>
  </conditionalFormatting>
  <conditionalFormatting sqref="Y341">
    <cfRule type="notContainsErrors" dxfId="2" priority="707">
      <formula>NOT(ISERROR(Y341))</formula>
    </cfRule>
  </conditionalFormatting>
  <conditionalFormatting sqref="Y342">
    <cfRule type="notContainsErrors" dxfId="2" priority="712">
      <formula>NOT(ISERROR(Y342))</formula>
    </cfRule>
  </conditionalFormatting>
  <conditionalFormatting sqref="Y344">
    <cfRule type="notContainsErrors" dxfId="2" priority="717">
      <formula>NOT(ISERROR(Y344))</formula>
    </cfRule>
  </conditionalFormatting>
  <conditionalFormatting sqref="Y346">
    <cfRule type="notContainsErrors" dxfId="2" priority="722">
      <formula>NOT(ISERROR(Y346))</formula>
    </cfRule>
  </conditionalFormatting>
  <conditionalFormatting sqref="Y347">
    <cfRule type="notContainsErrors" dxfId="2" priority="727">
      <formula>NOT(ISERROR(Y347))</formula>
    </cfRule>
  </conditionalFormatting>
  <conditionalFormatting sqref="Y348">
    <cfRule type="notContainsErrors" dxfId="2" priority="732">
      <formula>NOT(ISERROR(Y348))</formula>
    </cfRule>
  </conditionalFormatting>
  <conditionalFormatting sqref="Y357">
    <cfRule type="notContainsErrors" dxfId="2" priority="737">
      <formula>NOT(ISERROR(Y357))</formula>
    </cfRule>
  </conditionalFormatting>
  <conditionalFormatting sqref="Y365">
    <cfRule type="notContainsErrors" dxfId="2" priority="742">
      <formula>NOT(ISERROR(Y365))</formula>
    </cfRule>
  </conditionalFormatting>
  <conditionalFormatting sqref="Y367">
    <cfRule type="notContainsErrors" dxfId="2" priority="747">
      <formula>NOT(ISERROR(Y367))</formula>
    </cfRule>
  </conditionalFormatting>
  <conditionalFormatting sqref="Y369">
    <cfRule type="notContainsErrors" dxfId="2" priority="752">
      <formula>NOT(ISERROR(Y369))</formula>
    </cfRule>
  </conditionalFormatting>
  <conditionalFormatting sqref="Y37">
    <cfRule type="notContainsErrors" dxfId="2" priority="512">
      <formula>NOT(ISERROR(Y37))</formula>
    </cfRule>
  </conditionalFormatting>
  <conditionalFormatting sqref="Y370">
    <cfRule type="notContainsErrors" dxfId="2" priority="757">
      <formula>NOT(ISERROR(Y370))</formula>
    </cfRule>
  </conditionalFormatting>
  <conditionalFormatting sqref="Y371">
    <cfRule type="notContainsErrors" dxfId="2" priority="762">
      <formula>NOT(ISERROR(Y371))</formula>
    </cfRule>
  </conditionalFormatting>
  <conditionalFormatting sqref="Y373">
    <cfRule type="notContainsErrors" dxfId="2" priority="767">
      <formula>NOT(ISERROR(Y373))</formula>
    </cfRule>
  </conditionalFormatting>
  <conditionalFormatting sqref="Y374">
    <cfRule type="notContainsErrors" dxfId="2" priority="772">
      <formula>NOT(ISERROR(Y374))</formula>
    </cfRule>
  </conditionalFormatting>
  <conditionalFormatting sqref="Y375">
    <cfRule type="notContainsErrors" dxfId="2" priority="777">
      <formula>NOT(ISERROR(Y375))</formula>
    </cfRule>
  </conditionalFormatting>
  <conditionalFormatting sqref="Y376">
    <cfRule type="notContainsErrors" dxfId="2" priority="782">
      <formula>NOT(ISERROR(Y376))</formula>
    </cfRule>
  </conditionalFormatting>
  <conditionalFormatting sqref="Y377">
    <cfRule type="notContainsErrors" dxfId="2" priority="787">
      <formula>NOT(ISERROR(Y377))</formula>
    </cfRule>
  </conditionalFormatting>
  <conditionalFormatting sqref="Y379">
    <cfRule type="notContainsErrors" dxfId="2" priority="792">
      <formula>NOT(ISERROR(Y379))</formula>
    </cfRule>
  </conditionalFormatting>
  <conditionalFormatting sqref="Y38">
    <cfRule type="notContainsErrors" dxfId="2" priority="517">
      <formula>NOT(ISERROR(Y38))</formula>
    </cfRule>
  </conditionalFormatting>
  <conditionalFormatting sqref="Y382">
    <cfRule type="notContainsErrors" dxfId="2" priority="797">
      <formula>NOT(ISERROR(Y382))</formula>
    </cfRule>
  </conditionalFormatting>
  <conditionalFormatting sqref="Y384">
    <cfRule type="notContainsErrors" dxfId="2" priority="802">
      <formula>NOT(ISERROR(Y384))</formula>
    </cfRule>
  </conditionalFormatting>
  <conditionalFormatting sqref="Y385">
    <cfRule type="notContainsErrors" dxfId="2" priority="807">
      <formula>NOT(ISERROR(Y385))</formula>
    </cfRule>
  </conditionalFormatting>
  <conditionalFormatting sqref="Y386">
    <cfRule type="notContainsErrors" dxfId="2" priority="812">
      <formula>NOT(ISERROR(Y386))</formula>
    </cfRule>
  </conditionalFormatting>
  <conditionalFormatting sqref="Y388">
    <cfRule type="notContainsErrors" dxfId="2" priority="817">
      <formula>NOT(ISERROR(Y388))</formula>
    </cfRule>
  </conditionalFormatting>
  <conditionalFormatting sqref="Y391">
    <cfRule type="notContainsErrors" dxfId="2" priority="822">
      <formula>NOT(ISERROR(Y391))</formula>
    </cfRule>
  </conditionalFormatting>
  <conditionalFormatting sqref="Y393">
    <cfRule type="notContainsErrors" dxfId="2" priority="827">
      <formula>NOT(ISERROR(Y393))</formula>
    </cfRule>
  </conditionalFormatting>
  <conditionalFormatting sqref="Y395">
    <cfRule type="notContainsErrors" dxfId="2" priority="832">
      <formula>NOT(ISERROR(Y395))</formula>
    </cfRule>
  </conditionalFormatting>
  <conditionalFormatting sqref="Y397">
    <cfRule type="notContainsErrors" dxfId="2" priority="837">
      <formula>NOT(ISERROR(Y397))</formula>
    </cfRule>
  </conditionalFormatting>
  <conditionalFormatting sqref="Y399">
    <cfRule type="notContainsErrors" dxfId="2" priority="842">
      <formula>NOT(ISERROR(Y399))</formula>
    </cfRule>
  </conditionalFormatting>
  <conditionalFormatting sqref="Y4">
    <cfRule type="notContainsErrors" dxfId="2" priority="492">
      <formula>NOT(ISERROR(Y4))</formula>
    </cfRule>
  </conditionalFormatting>
  <conditionalFormatting sqref="Y40">
    <cfRule type="notContainsErrors" dxfId="2" priority="522">
      <formula>NOT(ISERROR(Y40))</formula>
    </cfRule>
  </conditionalFormatting>
  <conditionalFormatting sqref="Y400">
    <cfRule type="notContainsErrors" dxfId="2" priority="847">
      <formula>NOT(ISERROR(Y400))</formula>
    </cfRule>
  </conditionalFormatting>
  <conditionalFormatting sqref="Y401">
    <cfRule type="notContainsErrors" dxfId="2" priority="852">
      <formula>NOT(ISERROR(Y401))</formula>
    </cfRule>
  </conditionalFormatting>
  <conditionalFormatting sqref="Y402">
    <cfRule type="notContainsErrors" dxfId="2" priority="857">
      <formula>NOT(ISERROR(Y402))</formula>
    </cfRule>
  </conditionalFormatting>
  <conditionalFormatting sqref="Y403">
    <cfRule type="notContainsErrors" dxfId="2" priority="862">
      <formula>NOT(ISERROR(Y403))</formula>
    </cfRule>
  </conditionalFormatting>
  <conditionalFormatting sqref="Y404">
    <cfRule type="notContainsErrors" dxfId="2" priority="867">
      <formula>NOT(ISERROR(Y404))</formula>
    </cfRule>
  </conditionalFormatting>
  <conditionalFormatting sqref="Y406">
    <cfRule type="notContainsErrors" dxfId="2" priority="872">
      <formula>NOT(ISERROR(Y406))</formula>
    </cfRule>
  </conditionalFormatting>
  <conditionalFormatting sqref="Y407">
    <cfRule type="notContainsErrors" dxfId="2" priority="877">
      <formula>NOT(ISERROR(Y407))</formula>
    </cfRule>
  </conditionalFormatting>
  <conditionalFormatting sqref="Y408">
    <cfRule type="notContainsErrors" dxfId="2" priority="882">
      <formula>NOT(ISERROR(Y408))</formula>
    </cfRule>
  </conditionalFormatting>
  <conditionalFormatting sqref="Y409">
    <cfRule type="notContainsErrors" dxfId="2" priority="887">
      <formula>NOT(ISERROR(Y409))</formula>
    </cfRule>
  </conditionalFormatting>
  <conditionalFormatting sqref="Y410">
    <cfRule type="notContainsErrors" dxfId="2" priority="892">
      <formula>NOT(ISERROR(Y410))</formula>
    </cfRule>
  </conditionalFormatting>
  <conditionalFormatting sqref="Y413">
    <cfRule type="notContainsErrors" dxfId="2" priority="897">
      <formula>NOT(ISERROR(Y413))</formula>
    </cfRule>
  </conditionalFormatting>
  <conditionalFormatting sqref="Y414">
    <cfRule type="notContainsErrors" dxfId="2" priority="902">
      <formula>NOT(ISERROR(Y414))</formula>
    </cfRule>
  </conditionalFormatting>
  <conditionalFormatting sqref="Y415">
    <cfRule type="notContainsErrors" dxfId="2" priority="907">
      <formula>NOT(ISERROR(Y415))</formula>
    </cfRule>
  </conditionalFormatting>
  <conditionalFormatting sqref="Y416">
    <cfRule type="notContainsErrors" dxfId="2" priority="912">
      <formula>NOT(ISERROR(Y416))</formula>
    </cfRule>
  </conditionalFormatting>
  <conditionalFormatting sqref="Y417">
    <cfRule type="notContainsErrors" dxfId="2" priority="917">
      <formula>NOT(ISERROR(Y417))</formula>
    </cfRule>
  </conditionalFormatting>
  <conditionalFormatting sqref="Y418">
    <cfRule type="notContainsErrors" dxfId="2" priority="922">
      <formula>NOT(ISERROR(Y418))</formula>
    </cfRule>
  </conditionalFormatting>
  <conditionalFormatting sqref="Y419">
    <cfRule type="notContainsErrors" dxfId="2" priority="927">
      <formula>NOT(ISERROR(Y419))</formula>
    </cfRule>
  </conditionalFormatting>
  <conditionalFormatting sqref="Y420">
    <cfRule type="notContainsErrors" dxfId="2" priority="932">
      <formula>NOT(ISERROR(Y420))</formula>
    </cfRule>
  </conditionalFormatting>
  <conditionalFormatting sqref="Y421">
    <cfRule type="notContainsErrors" dxfId="2" priority="937">
      <formula>NOT(ISERROR(Y421))</formula>
    </cfRule>
  </conditionalFormatting>
  <conditionalFormatting sqref="Y422">
    <cfRule type="notContainsErrors" dxfId="2" priority="942">
      <formula>NOT(ISERROR(Y422))</formula>
    </cfRule>
  </conditionalFormatting>
  <conditionalFormatting sqref="Y423">
    <cfRule type="notContainsErrors" dxfId="2" priority="947">
      <formula>NOT(ISERROR(Y423))</formula>
    </cfRule>
  </conditionalFormatting>
  <conditionalFormatting sqref="Y424">
    <cfRule type="notContainsErrors" dxfId="2" priority="952">
      <formula>NOT(ISERROR(Y424))</formula>
    </cfRule>
  </conditionalFormatting>
  <conditionalFormatting sqref="Y425">
    <cfRule type="notContainsErrors" dxfId="2" priority="957">
      <formula>NOT(ISERROR(Y425))</formula>
    </cfRule>
  </conditionalFormatting>
  <conditionalFormatting sqref="Y426">
    <cfRule type="notContainsErrors" dxfId="2" priority="962">
      <formula>NOT(ISERROR(Y426))</formula>
    </cfRule>
  </conditionalFormatting>
  <conditionalFormatting sqref="Y427">
    <cfRule type="notContainsErrors" dxfId="2" priority="967">
      <formula>NOT(ISERROR(Y427))</formula>
    </cfRule>
  </conditionalFormatting>
  <conditionalFormatting sqref="Y428">
    <cfRule type="notContainsErrors" dxfId="2" priority="972">
      <formula>NOT(ISERROR(Y428))</formula>
    </cfRule>
  </conditionalFormatting>
  <conditionalFormatting sqref="Y429">
    <cfRule type="notContainsErrors" dxfId="2" priority="977">
      <formula>NOT(ISERROR(Y429))</formula>
    </cfRule>
  </conditionalFormatting>
  <conditionalFormatting sqref="Y43">
    <cfRule type="notContainsErrors" dxfId="2" priority="527">
      <formula>NOT(ISERROR(Y43))</formula>
    </cfRule>
  </conditionalFormatting>
  <conditionalFormatting sqref="Y431">
    <cfRule type="notContainsErrors" dxfId="2" priority="982">
      <formula>NOT(ISERROR(Y431))</formula>
    </cfRule>
  </conditionalFormatting>
  <conditionalFormatting sqref="Y435">
    <cfRule type="notContainsErrors" dxfId="2" priority="987">
      <formula>NOT(ISERROR(Y435))</formula>
    </cfRule>
  </conditionalFormatting>
  <conditionalFormatting sqref="Y437">
    <cfRule type="notContainsErrors" dxfId="2" priority="992">
      <formula>NOT(ISERROR(Y437))</formula>
    </cfRule>
  </conditionalFormatting>
  <conditionalFormatting sqref="Y441">
    <cfRule type="notContainsErrors" dxfId="2" priority="997">
      <formula>NOT(ISERROR(Y441))</formula>
    </cfRule>
  </conditionalFormatting>
  <conditionalFormatting sqref="Y443">
    <cfRule type="notContainsErrors" dxfId="2" priority="1002">
      <formula>NOT(ISERROR(Y443))</formula>
    </cfRule>
  </conditionalFormatting>
  <conditionalFormatting sqref="Y446">
    <cfRule type="notContainsErrors" dxfId="2" priority="1007">
      <formula>NOT(ISERROR(Y446))</formula>
    </cfRule>
  </conditionalFormatting>
  <conditionalFormatting sqref="Y449">
    <cfRule type="notContainsErrors" dxfId="2" priority="1012">
      <formula>NOT(ISERROR(Y449))</formula>
    </cfRule>
  </conditionalFormatting>
  <conditionalFormatting sqref="Y450">
    <cfRule type="notContainsErrors" dxfId="2" priority="1017">
      <formula>NOT(ISERROR(Y450))</formula>
    </cfRule>
  </conditionalFormatting>
  <conditionalFormatting sqref="Y453">
    <cfRule type="notContainsErrors" dxfId="2" priority="1022">
      <formula>NOT(ISERROR(Y453))</formula>
    </cfRule>
  </conditionalFormatting>
  <conditionalFormatting sqref="Y454">
    <cfRule type="notContainsErrors" dxfId="2" priority="1027">
      <formula>NOT(ISERROR(Y454))</formula>
    </cfRule>
  </conditionalFormatting>
  <conditionalFormatting sqref="Y455">
    <cfRule type="notContainsErrors" dxfId="2" priority="1032">
      <formula>NOT(ISERROR(Y455))</formula>
    </cfRule>
  </conditionalFormatting>
  <conditionalFormatting sqref="Y456">
    <cfRule type="notContainsErrors" dxfId="2" priority="1037">
      <formula>NOT(ISERROR(Y456))</formula>
    </cfRule>
  </conditionalFormatting>
  <conditionalFormatting sqref="Y457">
    <cfRule type="notContainsErrors" dxfId="2" priority="1042">
      <formula>NOT(ISERROR(Y457))</formula>
    </cfRule>
  </conditionalFormatting>
  <conditionalFormatting sqref="Y461">
    <cfRule type="notContainsErrors" dxfId="2" priority="1047">
      <formula>NOT(ISERROR(Y461))</formula>
    </cfRule>
  </conditionalFormatting>
  <conditionalFormatting sqref="Y464">
    <cfRule type="notContainsErrors" dxfId="2" priority="1052">
      <formula>NOT(ISERROR(Y464))</formula>
    </cfRule>
  </conditionalFormatting>
  <conditionalFormatting sqref="Y466">
    <cfRule type="notContainsErrors" dxfId="2" priority="1057">
      <formula>NOT(ISERROR(Y466))</formula>
    </cfRule>
  </conditionalFormatting>
  <conditionalFormatting sqref="Y469">
    <cfRule type="notContainsErrors" dxfId="2" priority="1062">
      <formula>NOT(ISERROR(Y469))</formula>
    </cfRule>
  </conditionalFormatting>
  <conditionalFormatting sqref="Y470">
    <cfRule type="notContainsErrors" dxfId="2" priority="1067">
      <formula>NOT(ISERROR(Y470))</formula>
    </cfRule>
  </conditionalFormatting>
  <conditionalFormatting sqref="Y481">
    <cfRule type="notContainsErrors" dxfId="2" priority="1072">
      <formula>NOT(ISERROR(Y481))</formula>
    </cfRule>
  </conditionalFormatting>
  <conditionalFormatting sqref="Y482">
    <cfRule type="notContainsErrors" dxfId="2" priority="1077">
      <formula>NOT(ISERROR(Y482))</formula>
    </cfRule>
  </conditionalFormatting>
  <conditionalFormatting sqref="Y483">
    <cfRule type="notContainsErrors" dxfId="2" priority="1082">
      <formula>NOT(ISERROR(Y483))</formula>
    </cfRule>
  </conditionalFormatting>
  <conditionalFormatting sqref="Y486">
    <cfRule type="notContainsErrors" dxfId="2" priority="1087">
      <formula>NOT(ISERROR(Y486))</formula>
    </cfRule>
  </conditionalFormatting>
  <conditionalFormatting sqref="Y487">
    <cfRule type="notContainsErrors" dxfId="2" priority="1092">
      <formula>NOT(ISERROR(Y487))</formula>
    </cfRule>
  </conditionalFormatting>
  <conditionalFormatting sqref="Y496">
    <cfRule type="notContainsErrors" dxfId="2" priority="1097">
      <formula>NOT(ISERROR(Y496))</formula>
    </cfRule>
  </conditionalFormatting>
  <conditionalFormatting sqref="Y498">
    <cfRule type="notContainsErrors" dxfId="2" priority="1102">
      <formula>NOT(ISERROR(Y498))</formula>
    </cfRule>
  </conditionalFormatting>
  <conditionalFormatting sqref="Y561">
    <cfRule type="notContainsErrors" dxfId="2" priority="1107">
      <formula>NOT(ISERROR(Y561))</formula>
    </cfRule>
  </conditionalFormatting>
  <conditionalFormatting sqref="Y570">
    <cfRule type="notContainsErrors" dxfId="2" priority="1112">
      <formula>NOT(ISERROR(Y570))</formula>
    </cfRule>
  </conditionalFormatting>
  <conditionalFormatting sqref="Y6">
    <cfRule type="notContainsErrors" dxfId="2" priority="497">
      <formula>NOT(ISERROR(Y6))</formula>
    </cfRule>
  </conditionalFormatting>
  <conditionalFormatting sqref="Y64">
    <cfRule type="notContainsErrors" dxfId="2" priority="532">
      <formula>NOT(ISERROR(Y64))</formula>
    </cfRule>
  </conditionalFormatting>
  <conditionalFormatting sqref="Y70">
    <cfRule type="notContainsErrors" dxfId="2" priority="537">
      <formula>NOT(ISERROR(Y70))</formula>
    </cfRule>
  </conditionalFormatting>
  <conditionalFormatting sqref="Y71">
    <cfRule type="notContainsErrors" dxfId="2" priority="542">
      <formula>NOT(ISERROR(Y71))</formula>
    </cfRule>
  </conditionalFormatting>
  <conditionalFormatting sqref="Y77">
    <cfRule type="notContainsErrors" dxfId="2" priority="547">
      <formula>NOT(ISERROR(Y77))</formula>
    </cfRule>
  </conditionalFormatting>
  <conditionalFormatting sqref="Y78">
    <cfRule type="notContainsErrors" dxfId="2" priority="552">
      <formula>NOT(ISERROR(Y78))</formula>
    </cfRule>
  </conditionalFormatting>
  <conditionalFormatting sqref="Y85">
    <cfRule type="notContainsErrors" dxfId="2" priority="557">
      <formula>NOT(ISERROR(Y85))</formula>
    </cfRule>
  </conditionalFormatting>
  <conditionalFormatting sqref="Y95">
    <cfRule type="notContainsErrors" dxfId="2" priority="562">
      <formula>NOT(ISERROR(Y95))</formula>
    </cfRule>
  </conditionalFormatting>
  <conditionalFormatting sqref="Y96">
    <cfRule type="notContainsErrors" dxfId="2" priority="567">
      <formula>NOT(ISERROR(Y96))</formula>
    </cfRule>
  </conditionalFormatting>
  <conditionalFormatting sqref="Y98">
    <cfRule type="notContainsErrors" dxfId="2" priority="572">
      <formula>NOT(ISERROR(Y98))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7"/>
  <sheetViews>
    <sheetView workbookViewId="0"/>
  </sheetViews>
  <sheetFormatPr defaultRowHeight="15"/>
  <cols>
    <col min="1" max="1" width="10.7109375" style="1" customWidth="1"/>
    <col min="2" max="2" width="8.28515625" style="1" customWidth="1"/>
    <col min="3" max="3" width="8.28515625" style="1" customWidth="1"/>
    <col min="4" max="4" width="8.28515625" style="1" customWidth="1"/>
    <col min="5" max="5" width="18.7109375" style="1" customWidth="1"/>
    <col min="6" max="6" width="8.28515625" style="1" customWidth="1"/>
    <col min="7" max="7" width="8.28515625" style="1" customWidth="1"/>
    <col min="8" max="8" width="18.7109375" style="1" customWidth="1"/>
    <col min="9" max="9" width="15.7109375" style="1" customWidth="1"/>
    <col min="10" max="10" width="14.42578125" style="1" customWidth="1"/>
    <col min="11" max="11" width="8.28515625" style="1" customWidth="1"/>
    <col min="12" max="12" width="10.7109375" style="1" customWidth="1"/>
    <col min="13" max="13" width="18.7109375" style="1" customWidth="1"/>
    <col min="14" max="14" width="18.7109375" style="2" customWidth="1"/>
    <col min="15" max="15" width="10.7109375" style="1" customWidth="1"/>
    <col min="16" max="16" width="10.7109375" style="1" customWidth="1"/>
    <col min="17" max="17" width="10.7109375" style="1" customWidth="1"/>
    <col min="18" max="18" width="10.7109375" style="1" customWidth="1"/>
    <col min="19" max="19" width="10.7109375" style="1" customWidth="1"/>
    <col min="20" max="20" width="10.7109375" style="1" customWidth="1"/>
    <col min="21" max="21" width="10.7109375" style="1" customWidth="1"/>
    <col min="22" max="22" width="10.7109375" style="1" customWidth="1"/>
    <col min="23" max="23" width="10.7109375" style="1" customWidth="1"/>
    <col min="24" max="24" width="10.7109375" style="1" customWidth="1"/>
    <col min="25" max="25" width="10.7109375" style="1" customWidth="1"/>
    <col min="26" max="26" width="10.7109375" style="1" customWidth="1"/>
    <col min="27" max="27" width="12" style="1" customWidth="1"/>
    <col min="28" max="28" width="10.7109375" style="1" customWidth="1"/>
    <col min="29" max="29" width="10.7109375" style="1" customWidth="1"/>
    <col min="30" max="30" width="10.7109375" style="1" customWidth="1"/>
    <col min="31" max="31" width="10.7109375" style="1" customWidth="1"/>
    <col min="32" max="32" width="10.7109375" style="1" customWidth="1"/>
    <col min="33" max="33" width="10.7109375" style="1" customWidth="1"/>
    <col min="34" max="34" width="8.28515625" style="1" customWidth="1"/>
    <col min="35" max="35" width="8.28515625" style="1" customWidth="1"/>
    <col min="36" max="36" width="8.28515625" style="1" customWidth="1"/>
    <col min="37" max="37" width="8.28515625" style="1" customWidth="1"/>
    <col min="38" max="38" width="8.28515625" style="1" customWidth="1"/>
  </cols>
  <sheetData>
    <row r="1" spans="1:3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7</v>
      </c>
      <c r="J1" s="3" t="s">
        <v>8</v>
      </c>
      <c r="K1" s="3" t="s">
        <v>10</v>
      </c>
      <c r="L1" s="3" t="s">
        <v>11</v>
      </c>
      <c r="M1" s="3" t="s">
        <v>15</v>
      </c>
      <c r="N1" s="3" t="s">
        <v>878</v>
      </c>
      <c r="O1" s="3" t="s">
        <v>879</v>
      </c>
      <c r="P1" s="3" t="s">
        <v>880</v>
      </c>
      <c r="Q1" s="3" t="s">
        <v>881</v>
      </c>
      <c r="R1" s="3" t="s">
        <v>882</v>
      </c>
      <c r="S1" s="3" t="s">
        <v>883</v>
      </c>
      <c r="T1" s="3" t="s">
        <v>884</v>
      </c>
      <c r="U1" s="3" t="s">
        <v>885</v>
      </c>
      <c r="V1" s="3" t="s">
        <v>886</v>
      </c>
      <c r="W1" s="3" t="s">
        <v>887</v>
      </c>
      <c r="X1" s="3" t="s">
        <v>888</v>
      </c>
      <c r="Y1" s="3" t="s">
        <v>889</v>
      </c>
      <c r="Z1" s="3" t="s">
        <v>890</v>
      </c>
      <c r="AA1" s="3" t="s">
        <v>891</v>
      </c>
      <c r="AB1" s="3" t="s">
        <v>892</v>
      </c>
      <c r="AC1" s="3" t="s">
        <v>893</v>
      </c>
      <c r="AD1" s="3" t="s">
        <v>894</v>
      </c>
      <c r="AE1" s="3" t="s">
        <v>895</v>
      </c>
      <c r="AF1" s="3" t="s">
        <v>896</v>
      </c>
      <c r="AG1" s="3" t="s">
        <v>897</v>
      </c>
      <c r="AH1" s="3" t="s">
        <v>898</v>
      </c>
      <c r="AI1" s="3" t="s">
        <v>899</v>
      </c>
      <c r="AJ1" s="3" t="s">
        <v>900</v>
      </c>
      <c r="AK1" s="3" t="s">
        <v>901</v>
      </c>
      <c r="AL1" s="3" t="s">
        <v>902</v>
      </c>
    </row>
    <row r="2" spans="1:38">
      <c r="A2" s="1" t="s">
        <v>26</v>
      </c>
      <c r="B2" s="1" t="s">
        <v>612</v>
      </c>
      <c r="D2" s="1" t="s">
        <v>652</v>
      </c>
      <c r="E2" s="1" t="s">
        <v>656</v>
      </c>
      <c r="F2" s="1" t="s">
        <v>830</v>
      </c>
      <c r="G2" s="1" t="s">
        <v>854</v>
      </c>
      <c r="H2" s="1">
        <f>HYPERLINK("https://tidesandcurrents.noaa.gov/stationhome.html?id=8570283", "8570283")</f>
        <v>0</v>
      </c>
      <c r="I2" s="1">
        <v>-75.0911</v>
      </c>
      <c r="J2" s="1">
        <v>38.32827</v>
      </c>
      <c r="K2" s="1" t="s">
        <v>860</v>
      </c>
      <c r="L2" s="1" t="s">
        <v>866</v>
      </c>
      <c r="M2" s="1" t="s">
        <v>873</v>
      </c>
      <c r="N2" s="2">
        <f>HYPERLINK("https://tidesandcurrents.noaa.gov/datums.html?datum=MLLW&amp;units=0&amp;epoch=0&amp;id=8570283", "Datum Info")</f>
        <v>0</v>
      </c>
      <c r="O2" s="1" t="s">
        <v>886</v>
      </c>
      <c r="P2" s="1">
        <v>2.46</v>
      </c>
      <c r="Q2" s="1">
        <v>2.25</v>
      </c>
      <c r="R2" s="1">
        <v>1.2</v>
      </c>
      <c r="S2" s="1">
        <v>1.27</v>
      </c>
      <c r="T2" s="1">
        <v>1.23</v>
      </c>
      <c r="U2" s="1">
        <v>0.15</v>
      </c>
      <c r="V2" s="1">
        <v>0</v>
      </c>
      <c r="W2" s="1">
        <v>1.73</v>
      </c>
      <c r="X2" s="1">
        <v>-8.06</v>
      </c>
      <c r="Y2" s="1" t="s">
        <v>1077</v>
      </c>
      <c r="Z2" s="1" t="s">
        <v>1352</v>
      </c>
    </row>
    <row r="3" spans="1:38">
      <c r="A3" s="1" t="s">
        <v>27</v>
      </c>
      <c r="B3" s="1" t="s">
        <v>612</v>
      </c>
      <c r="D3" s="1" t="s">
        <v>652</v>
      </c>
      <c r="E3" s="1" t="s">
        <v>657</v>
      </c>
      <c r="F3" s="1" t="s">
        <v>830</v>
      </c>
      <c r="G3" s="1" t="s">
        <v>854</v>
      </c>
      <c r="H3" s="1">
        <f>HYPERLINK("https://tidesandcurrents.noaa.gov/stationhome.html?id=8571892", "8571892")</f>
        <v>0</v>
      </c>
      <c r="I3" s="1">
        <v>-76.0617</v>
      </c>
      <c r="J3" s="1">
        <v>38.5725</v>
      </c>
      <c r="K3" s="1" t="s">
        <v>860</v>
      </c>
      <c r="L3" s="1" t="s">
        <v>866</v>
      </c>
      <c r="M3" s="1" t="s">
        <v>873</v>
      </c>
      <c r="N3" s="2">
        <f>HYPERLINK("https://tidesandcurrents.noaa.gov/datums.html?datum=MLLW&amp;units=0&amp;epoch=0&amp;id=8571892", "Datum Info")</f>
        <v>0</v>
      </c>
      <c r="O3" s="1" t="s">
        <v>886</v>
      </c>
      <c r="P3" s="1">
        <v>2.04</v>
      </c>
      <c r="Q3" s="1">
        <v>1.83</v>
      </c>
      <c r="R3" s="1">
        <v>1.02</v>
      </c>
      <c r="S3" s="1">
        <v>1.02</v>
      </c>
      <c r="T3" s="1">
        <v>1.02</v>
      </c>
      <c r="U3" s="1">
        <v>0.21</v>
      </c>
      <c r="V3" s="1">
        <v>0</v>
      </c>
      <c r="W3" s="1">
        <v>1.11</v>
      </c>
      <c r="X3" s="1">
        <v>-2.46</v>
      </c>
      <c r="Y3" s="1" t="s">
        <v>1078</v>
      </c>
      <c r="Z3" s="1" t="s">
        <v>1093</v>
      </c>
    </row>
    <row r="4" spans="1:38">
      <c r="A4" s="1" t="s">
        <v>28</v>
      </c>
      <c r="B4" s="1" t="s">
        <v>612</v>
      </c>
      <c r="C4" s="1" t="s">
        <v>644</v>
      </c>
      <c r="D4" s="1" t="s">
        <v>652</v>
      </c>
      <c r="E4" s="1" t="s">
        <v>658</v>
      </c>
      <c r="F4" s="1" t="s">
        <v>831</v>
      </c>
      <c r="G4" s="1" t="s">
        <v>854</v>
      </c>
      <c r="H4" s="1">
        <f>HYPERLINK("https://tidesandcurrents.noaa.gov/stationhome.html?id=8578465", "8578465")</f>
        <v>0</v>
      </c>
      <c r="I4" s="1">
        <v>-76.748333</v>
      </c>
      <c r="J4" s="1">
        <v>38.00666</v>
      </c>
      <c r="K4" s="1" t="s">
        <v>861</v>
      </c>
      <c r="L4" s="1" t="s">
        <v>866</v>
      </c>
      <c r="M4" s="1" t="s">
        <v>873</v>
      </c>
      <c r="N4" s="2">
        <f>HYPERLINK("https://tidesandcurrents.noaa.gov/datums.html?datum=MLLW&amp;units=0&amp;epoch=0&amp;id=8578465", "Datum Info")</f>
        <v>0</v>
      </c>
    </row>
    <row r="5" spans="1:38">
      <c r="A5" s="1" t="s">
        <v>29</v>
      </c>
      <c r="B5" s="1" t="s">
        <v>612</v>
      </c>
      <c r="D5" s="1" t="s">
        <v>652</v>
      </c>
      <c r="E5" s="1" t="s">
        <v>659</v>
      </c>
      <c r="F5" s="1" t="s">
        <v>831</v>
      </c>
      <c r="G5" s="1" t="s">
        <v>854</v>
      </c>
      <c r="H5" s="1">
        <f>HYPERLINK("https://tidesandcurrents.noaa.gov/stationhome.html?id=8630440", "8630440")</f>
        <v>0</v>
      </c>
      <c r="I5" s="1">
        <v>-75.47833300000001</v>
      </c>
      <c r="J5" s="1">
        <v>37.841666</v>
      </c>
      <c r="K5" s="1" t="s">
        <v>860</v>
      </c>
      <c r="L5" s="1" t="s">
        <v>866</v>
      </c>
      <c r="M5" s="1" t="s">
        <v>873</v>
      </c>
      <c r="N5" s="2">
        <f>HYPERLINK("https://tidesandcurrents.noaa.gov/datums.html?datum=MLLW&amp;units=0&amp;epoch=0&amp;id=8630440", "Datum Info")</f>
        <v>0</v>
      </c>
      <c r="AA5" s="1" t="s">
        <v>887</v>
      </c>
      <c r="AB5" s="1">
        <v>0</v>
      </c>
      <c r="AC5" s="1" t="s">
        <v>1615</v>
      </c>
      <c r="AD5" s="1" t="s">
        <v>1681</v>
      </c>
      <c r="AE5" s="1" t="s">
        <v>1695</v>
      </c>
      <c r="AG5" s="1" t="s">
        <v>1681</v>
      </c>
      <c r="AH5" s="1">
        <v>3.5</v>
      </c>
      <c r="AI5" s="1">
        <v>4.5</v>
      </c>
      <c r="AJ5" s="1">
        <v>5</v>
      </c>
      <c r="AK5" s="1">
        <v>6</v>
      </c>
      <c r="AL5" s="1" t="s">
        <v>1744</v>
      </c>
    </row>
    <row r="6" spans="1:38">
      <c r="A6" s="1" t="s">
        <v>30</v>
      </c>
      <c r="B6" s="1" t="s">
        <v>612</v>
      </c>
      <c r="C6" s="1" t="s">
        <v>644</v>
      </c>
      <c r="D6" s="1" t="s">
        <v>652</v>
      </c>
      <c r="E6" s="1" t="s">
        <v>659</v>
      </c>
      <c r="F6" s="1" t="s">
        <v>831</v>
      </c>
      <c r="G6" s="1" t="s">
        <v>854</v>
      </c>
      <c r="H6" s="1">
        <f>HYPERLINK("https://tidesandcurrents.noaa.gov/stationhome.html?id=8631044", "8631044")</f>
        <v>0</v>
      </c>
      <c r="I6" s="1">
        <v>-75.6858</v>
      </c>
      <c r="J6" s="1">
        <v>37.60778</v>
      </c>
      <c r="K6" s="1" t="s">
        <v>860</v>
      </c>
      <c r="L6" s="1" t="s">
        <v>866</v>
      </c>
      <c r="M6" s="1" t="s">
        <v>873</v>
      </c>
      <c r="N6" s="2">
        <f>HYPERLINK("https://tidesandcurrents.noaa.gov/datums.html?datum=MLLW&amp;units=0&amp;epoch=0&amp;id=8631044", "Datum Info")</f>
        <v>0</v>
      </c>
      <c r="O6" s="1" t="s">
        <v>886</v>
      </c>
      <c r="P6" s="1">
        <v>4.48</v>
      </c>
      <c r="Q6" s="1">
        <v>4.15</v>
      </c>
      <c r="R6" s="1">
        <v>2.16</v>
      </c>
      <c r="S6" s="1">
        <v>2.26</v>
      </c>
      <c r="T6" s="1">
        <v>2.24</v>
      </c>
      <c r="U6" s="1">
        <v>0.17</v>
      </c>
      <c r="V6" s="1">
        <v>0</v>
      </c>
      <c r="W6" s="1">
        <v>2.61</v>
      </c>
      <c r="X6" s="1">
        <v>-2.32</v>
      </c>
    </row>
    <row r="7" spans="1:38">
      <c r="A7" s="1" t="s">
        <v>31</v>
      </c>
      <c r="B7" s="1" t="s">
        <v>612</v>
      </c>
      <c r="C7" s="1" t="s">
        <v>644</v>
      </c>
      <c r="D7" s="1" t="s">
        <v>652</v>
      </c>
      <c r="E7" s="1" t="s">
        <v>660</v>
      </c>
      <c r="F7" s="1" t="s">
        <v>831</v>
      </c>
      <c r="G7" s="1" t="s">
        <v>854</v>
      </c>
      <c r="H7" s="1">
        <f>HYPERLINK("https://tidesandcurrents.noaa.gov/stationhome.html?id=8631591", "8631591")</f>
        <v>0</v>
      </c>
      <c r="I7" s="1">
        <v>-75.925</v>
      </c>
      <c r="J7" s="1">
        <v>37.2883</v>
      </c>
      <c r="K7" s="1" t="s">
        <v>860</v>
      </c>
      <c r="L7" s="1" t="s">
        <v>866</v>
      </c>
      <c r="M7" s="1" t="s">
        <v>873</v>
      </c>
      <c r="N7" s="2">
        <f>HYPERLINK("https://tidesandcurrents.noaa.gov/datums.html?datum=MLLW&amp;units=0&amp;epoch=0&amp;id=8631591", "Datum Info")</f>
        <v>0</v>
      </c>
      <c r="O7" s="1" t="s">
        <v>886</v>
      </c>
      <c r="P7" s="1">
        <v>5.04</v>
      </c>
      <c r="Q7" s="1">
        <v>4.71</v>
      </c>
      <c r="R7" s="1">
        <v>2.44</v>
      </c>
      <c r="S7" s="1">
        <v>2.47</v>
      </c>
      <c r="T7" s="1">
        <v>2.52</v>
      </c>
      <c r="U7" s="1">
        <v>0.18</v>
      </c>
      <c r="V7" s="1">
        <v>0</v>
      </c>
      <c r="W7" s="1" t="s">
        <v>946</v>
      </c>
      <c r="X7" s="1">
        <v>-2.67</v>
      </c>
      <c r="Y7" s="1" t="s">
        <v>1079</v>
      </c>
      <c r="Z7" s="1" t="s">
        <v>1353</v>
      </c>
    </row>
    <row r="8" spans="1:38">
      <c r="A8" s="1" t="s">
        <v>32</v>
      </c>
      <c r="B8" s="1" t="s">
        <v>612</v>
      </c>
      <c r="D8" s="1" t="s">
        <v>652</v>
      </c>
      <c r="E8" s="1" t="s">
        <v>660</v>
      </c>
      <c r="F8" s="1" t="s">
        <v>831</v>
      </c>
      <c r="G8" s="1" t="s">
        <v>854</v>
      </c>
      <c r="H8" s="1">
        <f>HYPERLINK("https://tidesandcurrents.noaa.gov/stationhome.html?id=8632200", "8632200")</f>
        <v>0</v>
      </c>
      <c r="I8" s="1">
        <v>-75.9884</v>
      </c>
      <c r="J8" s="1">
        <v>37.16519</v>
      </c>
      <c r="K8" s="1" t="s">
        <v>860</v>
      </c>
      <c r="L8" s="1" t="s">
        <v>866</v>
      </c>
      <c r="M8" s="1" t="s">
        <v>873</v>
      </c>
      <c r="N8" s="2">
        <f>HYPERLINK("https://tidesandcurrents.noaa.gov/datums.html?datum=MLLW&amp;units=0&amp;epoch=0&amp;id=8632200", "Datum Info")</f>
        <v>0</v>
      </c>
      <c r="O8" s="1" t="s">
        <v>886</v>
      </c>
      <c r="P8" s="1">
        <v>2.95</v>
      </c>
      <c r="Q8" s="1">
        <v>2.72</v>
      </c>
      <c r="R8" s="1">
        <v>1.42</v>
      </c>
      <c r="S8" s="1">
        <v>1.43</v>
      </c>
      <c r="T8" s="1">
        <v>1.47</v>
      </c>
      <c r="U8" s="1">
        <v>0.12</v>
      </c>
      <c r="V8" s="1">
        <v>0</v>
      </c>
      <c r="W8" s="1">
        <v>1.91</v>
      </c>
      <c r="X8" s="1">
        <v>-3.62</v>
      </c>
      <c r="Y8" s="1" t="s">
        <v>1080</v>
      </c>
      <c r="Z8" s="1" t="s">
        <v>1354</v>
      </c>
    </row>
    <row r="9" spans="1:38">
      <c r="A9" s="1" t="s">
        <v>33</v>
      </c>
      <c r="B9" s="1" t="s">
        <v>612</v>
      </c>
      <c r="D9" s="1" t="s">
        <v>652</v>
      </c>
      <c r="H9" s="1">
        <f>HYPERLINK("https://tidesandcurrents.noaa.gov/stationhome.html?id=8632837", "8632837")</f>
        <v>0</v>
      </c>
      <c r="I9" s="1">
        <v>-76.015</v>
      </c>
      <c r="J9" s="1">
        <v>37.53833</v>
      </c>
      <c r="K9" s="1" t="s">
        <v>861</v>
      </c>
      <c r="L9" s="1" t="s">
        <v>866</v>
      </c>
      <c r="M9" s="1" t="s">
        <v>873</v>
      </c>
      <c r="N9" s="2">
        <f>HYPERLINK("https://tidesandcurrents.noaa.gov/datums.html?datum=MLLW&amp;units=0&amp;epoch=0&amp;id=8632837", "Datum Info")</f>
        <v>0</v>
      </c>
      <c r="O9" s="1" t="s">
        <v>886</v>
      </c>
      <c r="P9" s="1">
        <v>1.87</v>
      </c>
      <c r="Q9" s="1">
        <v>1.7</v>
      </c>
      <c r="R9" s="1">
        <v>0.91</v>
      </c>
      <c r="S9" s="1">
        <v>0.9399999999999999</v>
      </c>
      <c r="T9" s="1">
        <v>0.9399999999999999</v>
      </c>
      <c r="U9" s="1">
        <v>0.13</v>
      </c>
      <c r="V9" s="1">
        <v>0</v>
      </c>
      <c r="W9" s="1" t="s">
        <v>947</v>
      </c>
      <c r="X9" s="1">
        <v>-25.46</v>
      </c>
      <c r="Y9" s="1" t="s">
        <v>1081</v>
      </c>
      <c r="Z9" s="1" t="s">
        <v>1355</v>
      </c>
    </row>
    <row r="10" spans="1:38">
      <c r="A10" s="1" t="s">
        <v>34</v>
      </c>
      <c r="B10" s="1" t="s">
        <v>612</v>
      </c>
      <c r="D10" s="1" t="s">
        <v>652</v>
      </c>
      <c r="E10" s="1" t="s">
        <v>659</v>
      </c>
      <c r="F10" s="1" t="s">
        <v>831</v>
      </c>
      <c r="G10" s="1" t="s">
        <v>854</v>
      </c>
      <c r="H10" s="1">
        <f>HYPERLINK("https://tidesandcurrents.noaa.gov/stationhome.html?id=8632869", "8632869")</f>
        <v>0</v>
      </c>
      <c r="I10" s="1">
        <v>-75.91670000000001</v>
      </c>
      <c r="J10" s="1">
        <v>37.5567</v>
      </c>
      <c r="K10" s="1" t="s">
        <v>860</v>
      </c>
      <c r="L10" s="1" t="s">
        <v>866</v>
      </c>
      <c r="M10" s="1" t="s">
        <v>873</v>
      </c>
      <c r="N10" s="2">
        <f>HYPERLINK("https://tidesandcurrents.noaa.gov/datums.html?datum=MLLW&amp;units=0&amp;epoch=0&amp;id=8632869", "Datum Info")</f>
        <v>0</v>
      </c>
      <c r="O10" s="1" t="s">
        <v>886</v>
      </c>
      <c r="P10" s="1">
        <v>2.05</v>
      </c>
      <c r="Q10" s="1">
        <v>1.88</v>
      </c>
      <c r="R10" s="1">
        <v>1.01</v>
      </c>
      <c r="S10" s="1">
        <v>1.03</v>
      </c>
      <c r="T10" s="1">
        <v>1.03</v>
      </c>
      <c r="U10" s="1">
        <v>0.15</v>
      </c>
      <c r="V10" s="1">
        <v>0</v>
      </c>
      <c r="W10" s="1" t="s">
        <v>948</v>
      </c>
      <c r="X10" s="1">
        <v>-1.68</v>
      </c>
      <c r="Y10" s="1" t="s">
        <v>1082</v>
      </c>
      <c r="Z10" s="1" t="s">
        <v>1356</v>
      </c>
    </row>
    <row r="11" spans="1:38">
      <c r="A11" s="1" t="s">
        <v>35</v>
      </c>
      <c r="B11" s="1" t="s">
        <v>612</v>
      </c>
      <c r="D11" s="1" t="s">
        <v>652</v>
      </c>
      <c r="E11" s="1" t="s">
        <v>659</v>
      </c>
      <c r="F11" s="1" t="s">
        <v>831</v>
      </c>
      <c r="G11" s="1" t="s">
        <v>854</v>
      </c>
      <c r="H11" s="1">
        <f>HYPERLINK("https://tidesandcurrents.noaa.gov/stationhome.html?id=8633532", "8633532")</f>
        <v>0</v>
      </c>
      <c r="I11" s="1">
        <v>-75.9933</v>
      </c>
      <c r="J11" s="1">
        <v>37.8283</v>
      </c>
      <c r="K11" s="1" t="s">
        <v>861</v>
      </c>
      <c r="L11" s="1" t="s">
        <v>866</v>
      </c>
      <c r="M11" s="1" t="s">
        <v>873</v>
      </c>
      <c r="N11" s="2">
        <f>HYPERLINK("https://tidesandcurrents.noaa.gov/datums.html?datum=MLLW&amp;units=0&amp;epoch=0&amp;id=8633532", "Datum Info")</f>
        <v>0</v>
      </c>
      <c r="O11" s="1" t="s">
        <v>886</v>
      </c>
      <c r="P11" s="1">
        <v>1.76</v>
      </c>
      <c r="Q11" s="1">
        <v>1.6</v>
      </c>
      <c r="R11" s="1">
        <v>0.85</v>
      </c>
      <c r="S11" s="1">
        <v>0.85</v>
      </c>
      <c r="T11" s="1">
        <v>0.88</v>
      </c>
      <c r="U11" s="1">
        <v>0.09</v>
      </c>
      <c r="V11" s="1">
        <v>0</v>
      </c>
      <c r="W11" s="1" t="s">
        <v>949</v>
      </c>
      <c r="X11" s="1">
        <v>-2.72</v>
      </c>
      <c r="Y11" s="1" t="s">
        <v>1083</v>
      </c>
      <c r="Z11" s="1" t="s">
        <v>1357</v>
      </c>
    </row>
    <row r="12" spans="1:38">
      <c r="A12" s="1" t="s">
        <v>36</v>
      </c>
      <c r="B12" s="1" t="s">
        <v>612</v>
      </c>
      <c r="C12" s="1" t="s">
        <v>644</v>
      </c>
      <c r="D12" s="1" t="s">
        <v>652</v>
      </c>
      <c r="E12" s="1" t="s">
        <v>659</v>
      </c>
      <c r="F12" s="1" t="s">
        <v>831</v>
      </c>
      <c r="G12" s="1" t="s">
        <v>854</v>
      </c>
      <c r="H12" s="1">
        <f>HYPERLINK("https://tidesandcurrents.noaa.gov/stationhome.html?id=8633777", "8633777")</f>
        <v>0</v>
      </c>
      <c r="I12" s="1">
        <v>-75.7283</v>
      </c>
      <c r="J12" s="1">
        <v>37.9217</v>
      </c>
      <c r="K12" s="1" t="s">
        <v>860</v>
      </c>
      <c r="L12" s="1" t="s">
        <v>866</v>
      </c>
      <c r="M12" s="1" t="s">
        <v>873</v>
      </c>
      <c r="N12" s="2">
        <f>HYPERLINK("https://tidesandcurrents.noaa.gov/datums.html?datum=MLLW&amp;units=0&amp;epoch=0&amp;id=8633777", "Datum Info")</f>
        <v>0</v>
      </c>
      <c r="O12" s="1" t="s">
        <v>886</v>
      </c>
      <c r="P12" s="1">
        <v>2.54</v>
      </c>
      <c r="Q12" s="1">
        <v>2.37</v>
      </c>
      <c r="R12" s="1">
        <v>1.25</v>
      </c>
      <c r="S12" s="1">
        <v>1.25</v>
      </c>
      <c r="T12" s="1">
        <v>1.27</v>
      </c>
      <c r="U12" s="1">
        <v>0.14</v>
      </c>
      <c r="V12" s="1">
        <v>0</v>
      </c>
      <c r="W12" s="1" t="s">
        <v>950</v>
      </c>
      <c r="X12" s="1">
        <v>-3.7</v>
      </c>
      <c r="Y12" s="1" t="s">
        <v>1084</v>
      </c>
      <c r="Z12" s="1" t="s">
        <v>1358</v>
      </c>
    </row>
    <row r="13" spans="1:38">
      <c r="A13" s="1" t="s">
        <v>37</v>
      </c>
      <c r="B13" s="1" t="s">
        <v>612</v>
      </c>
      <c r="D13" s="1" t="s">
        <v>652</v>
      </c>
      <c r="E13" s="1" t="s">
        <v>658</v>
      </c>
      <c r="F13" s="1" t="s">
        <v>831</v>
      </c>
      <c r="G13" s="1" t="s">
        <v>854</v>
      </c>
      <c r="H13" s="1">
        <f>HYPERLINK("https://tidesandcurrents.noaa.gov/stationhome.html?id=8635485", "8635485")</f>
        <v>0</v>
      </c>
      <c r="I13" s="1">
        <v>-76.61</v>
      </c>
      <c r="J13" s="1">
        <v>38.14</v>
      </c>
      <c r="K13" s="1" t="s">
        <v>860</v>
      </c>
      <c r="L13" s="1" t="s">
        <v>866</v>
      </c>
      <c r="M13" s="1" t="s">
        <v>873</v>
      </c>
      <c r="N13" s="2">
        <f>HYPERLINK("https://tidesandcurrents.noaa.gov/datums.html?datum=MLLW&amp;units=0&amp;epoch=0&amp;id=8635485", "Datum Info")</f>
        <v>0</v>
      </c>
    </row>
    <row r="14" spans="1:38">
      <c r="A14" s="1" t="s">
        <v>38</v>
      </c>
      <c r="B14" s="1" t="s">
        <v>612</v>
      </c>
      <c r="D14" s="1" t="s">
        <v>652</v>
      </c>
      <c r="E14" s="1" t="s">
        <v>661</v>
      </c>
      <c r="F14" s="1" t="s">
        <v>831</v>
      </c>
      <c r="G14" s="1" t="s">
        <v>854</v>
      </c>
      <c r="H14" s="1">
        <f>HYPERLINK("https://tidesandcurrents.noaa.gov/stationhome.html?id=8635750", "8635750")</f>
        <v>0</v>
      </c>
      <c r="I14" s="1">
        <v>-76.46469999999999</v>
      </c>
      <c r="J14" s="1">
        <v>37.99528</v>
      </c>
      <c r="K14" s="1" t="s">
        <v>860</v>
      </c>
      <c r="L14" s="1" t="s">
        <v>866</v>
      </c>
      <c r="M14" s="1" t="s">
        <v>873</v>
      </c>
      <c r="N14" s="2">
        <f>HYPERLINK("https://tidesandcurrents.noaa.gov/datums.html?datum=MLLW&amp;units=0&amp;epoch=0&amp;id=8635750", "Datum Info")</f>
        <v>0</v>
      </c>
      <c r="O14" s="1" t="s">
        <v>886</v>
      </c>
      <c r="P14" s="1">
        <v>1.51</v>
      </c>
      <c r="Q14" s="1">
        <v>1.37</v>
      </c>
      <c r="R14" s="1">
        <v>0.74</v>
      </c>
      <c r="S14" s="1">
        <v>0.76</v>
      </c>
      <c r="T14" s="1">
        <v>0.75</v>
      </c>
      <c r="U14" s="1">
        <v>0.12</v>
      </c>
      <c r="V14" s="1">
        <v>0</v>
      </c>
      <c r="W14" s="1">
        <v>0.83</v>
      </c>
      <c r="X14" s="1">
        <v>-4.77</v>
      </c>
      <c r="Y14" s="1" t="s">
        <v>1085</v>
      </c>
      <c r="Z14" s="1" t="s">
        <v>1359</v>
      </c>
    </row>
    <row r="15" spans="1:38">
      <c r="A15" s="1" t="s">
        <v>39</v>
      </c>
      <c r="B15" s="1" t="s">
        <v>612</v>
      </c>
      <c r="C15" s="1" t="s">
        <v>644</v>
      </c>
      <c r="D15" s="1" t="s">
        <v>652</v>
      </c>
      <c r="H15" s="1">
        <f>HYPERLINK("https://tidesandcurrents.noaa.gov/stationhome.html?id=8636580", "8636580")</f>
        <v>0</v>
      </c>
      <c r="I15" s="1">
        <v>-76.29000000000001</v>
      </c>
      <c r="J15" s="1">
        <v>37.61611</v>
      </c>
      <c r="K15" s="1" t="s">
        <v>860</v>
      </c>
      <c r="L15" s="1" t="s">
        <v>866</v>
      </c>
      <c r="M15" s="1" t="s">
        <v>873</v>
      </c>
      <c r="N15" s="2">
        <f>HYPERLINK("https://tidesandcurrents.noaa.gov/datums.html?datum=MLLW&amp;units=0&amp;epoch=0&amp;id=8636580", "Datum Info")</f>
        <v>0</v>
      </c>
      <c r="O15" s="1" t="s">
        <v>886</v>
      </c>
      <c r="P15" s="1">
        <v>1.39</v>
      </c>
      <c r="Q15" s="1">
        <v>1.26</v>
      </c>
      <c r="R15" s="1">
        <v>0.68</v>
      </c>
      <c r="S15" s="1">
        <v>0.7</v>
      </c>
      <c r="T15" s="1">
        <v>0.7</v>
      </c>
      <c r="U15" s="1">
        <v>0.1</v>
      </c>
      <c r="V15" s="1">
        <v>0</v>
      </c>
      <c r="W15" s="1">
        <v>1.18</v>
      </c>
      <c r="X15" s="1">
        <v>-2.21</v>
      </c>
      <c r="Y15" s="1" t="s">
        <v>1086</v>
      </c>
      <c r="Z15" s="1" t="s">
        <v>1360</v>
      </c>
    </row>
    <row r="16" spans="1:38">
      <c r="A16" s="1" t="s">
        <v>40</v>
      </c>
      <c r="B16" s="1" t="s">
        <v>612</v>
      </c>
      <c r="C16" s="1" t="s">
        <v>644</v>
      </c>
      <c r="D16" s="1" t="s">
        <v>652</v>
      </c>
      <c r="E16" s="1" t="s">
        <v>662</v>
      </c>
      <c r="F16" s="1" t="s">
        <v>831</v>
      </c>
      <c r="G16" s="1" t="s">
        <v>854</v>
      </c>
      <c r="H16" s="1">
        <f>HYPERLINK("https://tidesandcurrents.noaa.gov/stationhome.html?id=8637444", "8637444")</f>
        <v>0</v>
      </c>
      <c r="I16" s="1">
        <v>-76.40000000000001</v>
      </c>
      <c r="J16" s="1">
        <v>37.3</v>
      </c>
      <c r="K16" s="1" t="s">
        <v>860</v>
      </c>
      <c r="L16" s="1" t="s">
        <v>866</v>
      </c>
      <c r="M16" s="1" t="s">
        <v>873</v>
      </c>
      <c r="N16" s="2">
        <f>HYPERLINK("https://tidesandcurrents.noaa.gov/datums.html?datum=MLLW&amp;units=0&amp;epoch=0&amp;id=8637444", "Datum Info")</f>
        <v>0</v>
      </c>
    </row>
    <row r="17" spans="1:38">
      <c r="A17" s="1" t="s">
        <v>41</v>
      </c>
      <c r="B17" s="1" t="s">
        <v>612</v>
      </c>
      <c r="D17" s="1" t="s">
        <v>652</v>
      </c>
      <c r="E17" s="1" t="s">
        <v>663</v>
      </c>
      <c r="F17" s="1" t="s">
        <v>831</v>
      </c>
      <c r="G17" s="1" t="s">
        <v>854</v>
      </c>
      <c r="H17" s="1">
        <f>HYPERLINK("https://tidesandcurrents.noaa.gov/stationhome.html?id=8637689", "8637689")</f>
        <v>0</v>
      </c>
      <c r="I17" s="1">
        <v>-76.47880000000001</v>
      </c>
      <c r="J17" s="1">
        <v>37.2265</v>
      </c>
      <c r="K17" s="1" t="s">
        <v>860</v>
      </c>
      <c r="L17" s="1" t="s">
        <v>866</v>
      </c>
      <c r="M17" s="1" t="s">
        <v>873</v>
      </c>
      <c r="N17" s="2">
        <f>HYPERLINK("https://tidesandcurrents.noaa.gov/datums.html?datum=MLLW&amp;units=0&amp;epoch=0&amp;id=8637689", "Datum Info")</f>
        <v>0</v>
      </c>
      <c r="O17" s="1" t="s">
        <v>886</v>
      </c>
      <c r="P17" s="1">
        <v>2.58</v>
      </c>
      <c r="Q17" s="1">
        <v>2.38</v>
      </c>
      <c r="R17" s="1">
        <v>1.25</v>
      </c>
      <c r="S17" s="1">
        <v>1.24</v>
      </c>
      <c r="T17" s="1">
        <v>1.29</v>
      </c>
      <c r="U17" s="1">
        <v>0.12</v>
      </c>
      <c r="V17" s="1">
        <v>0</v>
      </c>
      <c r="W17" s="1">
        <v>1.53</v>
      </c>
      <c r="X17" s="1">
        <v>-5.2</v>
      </c>
      <c r="Y17" s="1" t="s">
        <v>1087</v>
      </c>
      <c r="Z17" s="1" t="s">
        <v>1361</v>
      </c>
    </row>
    <row r="18" spans="1:38">
      <c r="A18" s="1" t="s">
        <v>42</v>
      </c>
      <c r="B18" s="1" t="s">
        <v>612</v>
      </c>
      <c r="C18" s="1" t="s">
        <v>644</v>
      </c>
      <c r="D18" s="1" t="s">
        <v>652</v>
      </c>
      <c r="E18" s="1" t="s">
        <v>664</v>
      </c>
      <c r="F18" s="1" t="s">
        <v>831</v>
      </c>
      <c r="G18" s="1" t="s">
        <v>854</v>
      </c>
      <c r="H18" s="1">
        <f>HYPERLINK("https://tidesandcurrents.noaa.gov/stationhome.html?id=8637712", "8637712")</f>
        <v>0</v>
      </c>
      <c r="I18" s="1">
        <v>-76.7914</v>
      </c>
      <c r="J18" s="1">
        <v>37.2201</v>
      </c>
      <c r="K18" s="1" t="s">
        <v>860</v>
      </c>
      <c r="L18" s="1" t="s">
        <v>866</v>
      </c>
      <c r="M18" s="1" t="s">
        <v>873</v>
      </c>
      <c r="N18" s="2">
        <f>HYPERLINK("https://tidesandcurrents.noaa.gov/datums.html?datum=MLLW&amp;units=0&amp;epoch=0&amp;id=8637712", "Datum Info")</f>
        <v>0</v>
      </c>
      <c r="O18" s="1" t="s">
        <v>886</v>
      </c>
      <c r="P18" s="1">
        <v>2.23</v>
      </c>
      <c r="Q18" s="1">
        <v>2.05</v>
      </c>
      <c r="R18" s="1">
        <v>1.09</v>
      </c>
      <c r="S18" s="1">
        <v>1.1</v>
      </c>
      <c r="T18" s="1">
        <v>1.11</v>
      </c>
      <c r="U18" s="1">
        <v>0.13</v>
      </c>
      <c r="V18" s="1">
        <v>0</v>
      </c>
      <c r="W18" s="1">
        <v>1.23</v>
      </c>
      <c r="X18" s="1">
        <v>1.05</v>
      </c>
      <c r="Y18" s="1" t="s">
        <v>1088</v>
      </c>
      <c r="Z18" s="1" t="s">
        <v>1362</v>
      </c>
      <c r="AA18" s="1" t="s">
        <v>887</v>
      </c>
      <c r="AB18" s="1">
        <v>0</v>
      </c>
      <c r="AC18" s="1" t="s">
        <v>1616</v>
      </c>
      <c r="AD18" s="1" t="s">
        <v>1682</v>
      </c>
      <c r="AE18" s="1" t="s">
        <v>1696</v>
      </c>
      <c r="AG18" s="1" t="s">
        <v>1682</v>
      </c>
      <c r="AH18" s="1">
        <v>3.5</v>
      </c>
      <c r="AI18" s="1">
        <v>4</v>
      </c>
      <c r="AJ18" s="1">
        <v>4.5</v>
      </c>
      <c r="AK18" s="1">
        <v>5</v>
      </c>
      <c r="AL18" s="1" t="s">
        <v>1744</v>
      </c>
    </row>
    <row r="19" spans="1:38">
      <c r="A19" s="1" t="s">
        <v>43</v>
      </c>
      <c r="B19" s="1" t="s">
        <v>612</v>
      </c>
      <c r="C19" s="1" t="s">
        <v>644</v>
      </c>
      <c r="D19" s="1" t="s">
        <v>652</v>
      </c>
      <c r="E19" s="1" t="s">
        <v>665</v>
      </c>
      <c r="F19" s="1" t="s">
        <v>831</v>
      </c>
      <c r="G19" s="1" t="s">
        <v>854</v>
      </c>
      <c r="H19" s="1">
        <f>HYPERLINK("https://tidesandcurrents.noaa.gov/stationhome.html?id=8638288", "8638288")</f>
        <v>0</v>
      </c>
      <c r="I19" s="1">
        <v>-76.315</v>
      </c>
      <c r="J19" s="1">
        <v>37.0333</v>
      </c>
      <c r="K19" s="1" t="s">
        <v>860</v>
      </c>
      <c r="L19" s="1" t="s">
        <v>866</v>
      </c>
      <c r="M19" s="1" t="s">
        <v>873</v>
      </c>
      <c r="N19" s="2">
        <f>HYPERLINK("https://tidesandcurrents.noaa.gov/datums.html?datum=MLLW&amp;units=0&amp;epoch=0&amp;id=8638288", "Datum Info")</f>
        <v>0</v>
      </c>
    </row>
    <row r="20" spans="1:38">
      <c r="A20" s="1" t="s">
        <v>44</v>
      </c>
      <c r="B20" s="1" t="s">
        <v>612</v>
      </c>
      <c r="C20" s="1" t="s">
        <v>644</v>
      </c>
      <c r="D20" s="1" t="s">
        <v>652</v>
      </c>
      <c r="E20" s="1" t="s">
        <v>666</v>
      </c>
      <c r="F20" s="1" t="s">
        <v>831</v>
      </c>
      <c r="G20" s="1" t="s">
        <v>854</v>
      </c>
      <c r="H20" s="1">
        <f>HYPERLINK("https://tidesandcurrents.noaa.gov/stationhome.html?id=8638339", "8638339")</f>
        <v>0</v>
      </c>
      <c r="I20" s="1">
        <v>-76.3991</v>
      </c>
      <c r="J20" s="1">
        <v>36.8232</v>
      </c>
      <c r="K20" s="1" t="s">
        <v>860</v>
      </c>
      <c r="L20" s="1" t="s">
        <v>866</v>
      </c>
      <c r="M20" s="1" t="s">
        <v>873</v>
      </c>
      <c r="N20" s="2">
        <f>HYPERLINK("https://tidesandcurrents.noaa.gov/datums.html?datum=MLLW&amp;units=0&amp;epoch=0&amp;id=8638339", "Datum Info")</f>
        <v>0</v>
      </c>
      <c r="O20" s="1" t="s">
        <v>886</v>
      </c>
      <c r="P20" s="1">
        <v>3.12</v>
      </c>
      <c r="Q20" s="1">
        <v>2.91</v>
      </c>
      <c r="R20" s="1">
        <v>1.53</v>
      </c>
      <c r="S20" s="1">
        <v>1.54</v>
      </c>
      <c r="T20" s="1">
        <v>1.56</v>
      </c>
      <c r="U20" s="1">
        <v>0.15</v>
      </c>
      <c r="V20" s="1">
        <v>0</v>
      </c>
      <c r="W20" s="1" t="s">
        <v>951</v>
      </c>
      <c r="X20" s="1">
        <v>-27.24</v>
      </c>
      <c r="Y20" s="1" t="s">
        <v>1089</v>
      </c>
      <c r="Z20" s="1" t="s">
        <v>1101</v>
      </c>
    </row>
    <row r="21" spans="1:38">
      <c r="A21" s="1" t="s">
        <v>45</v>
      </c>
      <c r="B21" s="1" t="s">
        <v>612</v>
      </c>
      <c r="C21" s="1" t="s">
        <v>644</v>
      </c>
      <c r="D21" s="1" t="s">
        <v>652</v>
      </c>
      <c r="E21" s="1" t="s">
        <v>667</v>
      </c>
      <c r="F21" s="1" t="s">
        <v>831</v>
      </c>
      <c r="G21" s="1" t="s">
        <v>854</v>
      </c>
      <c r="H21" s="1">
        <f>HYPERLINK("https://tidesandcurrents.noaa.gov/stationhome.html?id=8638409", "8638409")</f>
        <v>0</v>
      </c>
      <c r="I21" s="1">
        <v>-76.55</v>
      </c>
      <c r="J21" s="1">
        <v>36.838333</v>
      </c>
      <c r="K21" s="1" t="s">
        <v>860</v>
      </c>
      <c r="L21" s="1" t="s">
        <v>866</v>
      </c>
      <c r="M21" s="1" t="s">
        <v>873</v>
      </c>
      <c r="N21" s="2">
        <f>HYPERLINK("https://tidesandcurrents.noaa.gov/datums.html?datum=MLLW&amp;units=0&amp;epoch=0&amp;id=8638409", "Datum Info")</f>
        <v>0</v>
      </c>
    </row>
    <row r="22" spans="1:38">
      <c r="A22" s="1" t="s">
        <v>46</v>
      </c>
      <c r="B22" s="1" t="s">
        <v>612</v>
      </c>
      <c r="D22" s="1" t="s">
        <v>652</v>
      </c>
      <c r="E22" s="1" t="s">
        <v>668</v>
      </c>
      <c r="F22" s="1" t="s">
        <v>831</v>
      </c>
      <c r="G22" s="1" t="s">
        <v>854</v>
      </c>
      <c r="H22" s="1">
        <f>HYPERLINK("https://tidesandcurrents.noaa.gov/stationhome.html?id=8638610", "8638610")</f>
        <v>0</v>
      </c>
      <c r="I22" s="1">
        <v>-76.33</v>
      </c>
      <c r="J22" s="1">
        <v>36.9467</v>
      </c>
      <c r="K22" s="1" t="s">
        <v>860</v>
      </c>
      <c r="L22" s="1" t="s">
        <v>866</v>
      </c>
      <c r="M22" s="1" t="s">
        <v>873</v>
      </c>
      <c r="N22" s="2">
        <f>HYPERLINK("https://tidesandcurrents.noaa.gov/datums.html?datum=MLLW&amp;units=0&amp;epoch=0&amp;id=8638610", "Datum Info")</f>
        <v>0</v>
      </c>
      <c r="O22" s="1" t="s">
        <v>886</v>
      </c>
      <c r="P22" s="1">
        <v>2.76</v>
      </c>
      <c r="Q22" s="1">
        <v>2.56</v>
      </c>
      <c r="R22" s="1">
        <v>1.34</v>
      </c>
      <c r="S22" s="1">
        <v>1.36</v>
      </c>
      <c r="T22" s="1">
        <v>1.38</v>
      </c>
      <c r="U22" s="1">
        <v>0.13</v>
      </c>
      <c r="V22" s="1">
        <v>0</v>
      </c>
      <c r="W22" s="1">
        <v>1.61</v>
      </c>
      <c r="X22" s="1">
        <v>-4.38</v>
      </c>
      <c r="Y22" s="1" t="s">
        <v>1090</v>
      </c>
      <c r="Z22" s="1" t="s">
        <v>1040</v>
      </c>
    </row>
    <row r="23" spans="1:38">
      <c r="A23" s="1" t="s">
        <v>47</v>
      </c>
      <c r="B23" s="1" t="s">
        <v>612</v>
      </c>
      <c r="D23" s="1" t="s">
        <v>652</v>
      </c>
      <c r="H23" s="1">
        <f>HYPERLINK("https://tidesandcurrents.noaa.gov/stationhome.html?id=8638863", "8638863")</f>
        <v>0</v>
      </c>
      <c r="I23" s="1">
        <v>-76.1133</v>
      </c>
      <c r="J23" s="1">
        <v>36.9667</v>
      </c>
      <c r="K23" s="1" t="s">
        <v>860</v>
      </c>
      <c r="L23" s="1" t="s">
        <v>866</v>
      </c>
      <c r="M23" s="1" t="s">
        <v>873</v>
      </c>
      <c r="N23" s="2">
        <f>HYPERLINK("https://tidesandcurrents.noaa.gov/datums.html?datum=MLLW&amp;units=0&amp;epoch=0&amp;id=8638863", "Datum Info")</f>
        <v>0</v>
      </c>
      <c r="O23" s="1" t="s">
        <v>886</v>
      </c>
      <c r="P23" s="1">
        <v>2.91</v>
      </c>
      <c r="Q23" s="1">
        <v>2.68</v>
      </c>
      <c r="R23" s="1">
        <v>1.4</v>
      </c>
      <c r="S23" s="1">
        <v>1.42</v>
      </c>
      <c r="T23" s="1">
        <v>1.46</v>
      </c>
      <c r="U23" s="1">
        <v>0.13</v>
      </c>
      <c r="V23" s="1">
        <v>0</v>
      </c>
      <c r="W23" s="1" t="s">
        <v>952</v>
      </c>
      <c r="X23" s="1">
        <v>-25.27</v>
      </c>
      <c r="Y23" s="1" t="s">
        <v>1091</v>
      </c>
      <c r="Z23" s="1" t="s">
        <v>1363</v>
      </c>
    </row>
    <row r="24" spans="1:38">
      <c r="A24" s="1" t="s">
        <v>48</v>
      </c>
      <c r="B24" s="1" t="s">
        <v>612</v>
      </c>
      <c r="D24" s="1" t="s">
        <v>652</v>
      </c>
      <c r="H24" s="1">
        <f>HYPERLINK("https://tidesandcurrents.noaa.gov/stationhome.html?id=8638901", "8638901")</f>
        <v>0</v>
      </c>
      <c r="I24" s="1">
        <v>-76.08329999999999</v>
      </c>
      <c r="J24" s="1">
        <v>37.0329</v>
      </c>
      <c r="K24" s="1" t="s">
        <v>860</v>
      </c>
      <c r="L24" s="1" t="s">
        <v>866</v>
      </c>
      <c r="M24" s="1" t="s">
        <v>873</v>
      </c>
      <c r="N24" s="2">
        <f>HYPERLINK("https://tidesandcurrents.noaa.gov/datums.html?datum=MLLW&amp;units=0&amp;epoch=0&amp;id=8638901", "Datum Info")</f>
        <v>0</v>
      </c>
      <c r="O24" s="1" t="s">
        <v>886</v>
      </c>
      <c r="P24" s="1">
        <v>3.01</v>
      </c>
      <c r="Q24" s="1">
        <v>2.77</v>
      </c>
      <c r="R24" s="1">
        <v>1.44</v>
      </c>
      <c r="S24" s="1">
        <v>1.47</v>
      </c>
      <c r="T24" s="1">
        <v>1.5</v>
      </c>
      <c r="U24" s="1">
        <v>0.11</v>
      </c>
      <c r="V24" s="1">
        <v>0</v>
      </c>
      <c r="W24" s="1" t="s">
        <v>953</v>
      </c>
      <c r="X24" s="1">
        <v>-4.45</v>
      </c>
      <c r="Y24" s="1" t="s">
        <v>1092</v>
      </c>
      <c r="Z24" s="1" t="s">
        <v>1364</v>
      </c>
    </row>
    <row r="25" spans="1:38">
      <c r="A25" s="1" t="s">
        <v>49</v>
      </c>
      <c r="B25" s="1" t="s">
        <v>612</v>
      </c>
      <c r="C25" s="1" t="s">
        <v>644</v>
      </c>
      <c r="D25" s="1" t="s">
        <v>652</v>
      </c>
      <c r="E25" s="1" t="s">
        <v>666</v>
      </c>
      <c r="F25" s="1" t="s">
        <v>831</v>
      </c>
      <c r="G25" s="1" t="s">
        <v>854</v>
      </c>
      <c r="H25" s="1">
        <f>HYPERLINK("https://tidesandcurrents.noaa.gov/stationhome.html?id=8639348", "8639348")</f>
        <v>0</v>
      </c>
      <c r="I25" s="1">
        <v>-76.3017</v>
      </c>
      <c r="J25" s="1">
        <v>36.77831</v>
      </c>
      <c r="K25" s="1" t="s">
        <v>860</v>
      </c>
      <c r="L25" s="1" t="s">
        <v>866</v>
      </c>
      <c r="M25" s="1" t="s">
        <v>873</v>
      </c>
      <c r="N25" s="2">
        <f>HYPERLINK("https://tidesandcurrents.noaa.gov/datums.html?datum=MLLW&amp;units=0&amp;epoch=0&amp;id=8639348", "Datum Info")</f>
        <v>0</v>
      </c>
      <c r="O25" s="1" t="s">
        <v>886</v>
      </c>
      <c r="P25" s="1">
        <v>3.2</v>
      </c>
      <c r="Q25" s="1">
        <v>2.99</v>
      </c>
      <c r="R25" s="1">
        <v>1.57</v>
      </c>
      <c r="S25" s="1">
        <v>1.57</v>
      </c>
      <c r="T25" s="1">
        <v>1.6</v>
      </c>
      <c r="U25" s="1">
        <v>0.14</v>
      </c>
      <c r="V25" s="1">
        <v>0</v>
      </c>
      <c r="W25" s="1" t="s">
        <v>954</v>
      </c>
      <c r="X25" s="1">
        <v>-21.6</v>
      </c>
      <c r="Y25" s="1" t="s">
        <v>1093</v>
      </c>
      <c r="Z25" s="1" t="s">
        <v>1365</v>
      </c>
    </row>
    <row r="26" spans="1:38">
      <c r="A26" s="1" t="s">
        <v>50</v>
      </c>
      <c r="B26" s="1" t="s">
        <v>612</v>
      </c>
      <c r="C26" s="1" t="s">
        <v>644</v>
      </c>
      <c r="D26" s="1" t="s">
        <v>652</v>
      </c>
      <c r="E26" s="1" t="s">
        <v>665</v>
      </c>
      <c r="F26" s="1" t="s">
        <v>831</v>
      </c>
      <c r="G26" s="1" t="s">
        <v>854</v>
      </c>
      <c r="H26" s="1" t="s">
        <v>859</v>
      </c>
      <c r="I26" s="1">
        <v>-76.3</v>
      </c>
      <c r="J26" s="1">
        <v>37.09</v>
      </c>
      <c r="K26" s="1" t="s">
        <v>861</v>
      </c>
      <c r="L26" s="1" t="s">
        <v>859</v>
      </c>
      <c r="M26" s="1" t="s">
        <v>873</v>
      </c>
    </row>
    <row r="27" spans="1:38">
      <c r="A27" s="1" t="s">
        <v>51</v>
      </c>
      <c r="B27" s="1" t="s">
        <v>612</v>
      </c>
      <c r="C27" s="1" t="s">
        <v>645</v>
      </c>
      <c r="D27" s="1" t="s">
        <v>652</v>
      </c>
      <c r="E27" s="1" t="s">
        <v>669</v>
      </c>
      <c r="F27" s="1" t="s">
        <v>832</v>
      </c>
      <c r="G27" s="1" t="s">
        <v>854</v>
      </c>
      <c r="H27" s="1" t="s">
        <v>859</v>
      </c>
      <c r="I27" s="1">
        <v>-76.22</v>
      </c>
      <c r="J27" s="1">
        <v>36.3</v>
      </c>
      <c r="K27" s="1" t="s">
        <v>860</v>
      </c>
      <c r="L27" s="1" t="s">
        <v>859</v>
      </c>
      <c r="M27" s="1" t="s">
        <v>874</v>
      </c>
    </row>
    <row r="28" spans="1:38">
      <c r="A28" s="1" t="s">
        <v>52</v>
      </c>
      <c r="B28" s="1" t="s">
        <v>612</v>
      </c>
      <c r="C28" s="1" t="s">
        <v>645</v>
      </c>
      <c r="D28" s="1" t="s">
        <v>652</v>
      </c>
      <c r="E28" s="1" t="s">
        <v>670</v>
      </c>
      <c r="F28" s="1" t="s">
        <v>832</v>
      </c>
      <c r="G28" s="1" t="s">
        <v>854</v>
      </c>
      <c r="H28" s="1" t="s">
        <v>859</v>
      </c>
      <c r="I28" s="1">
        <v>-76.61056000000001</v>
      </c>
      <c r="J28" s="1">
        <v>36.05639</v>
      </c>
      <c r="K28" s="1" t="s">
        <v>860</v>
      </c>
      <c r="L28" s="1" t="s">
        <v>859</v>
      </c>
      <c r="M28" s="1" t="s">
        <v>874</v>
      </c>
    </row>
    <row r="29" spans="1:38">
      <c r="A29" s="1" t="s">
        <v>53</v>
      </c>
      <c r="B29" s="1" t="s">
        <v>612</v>
      </c>
      <c r="C29" s="1" t="s">
        <v>645</v>
      </c>
      <c r="D29" s="1" t="s">
        <v>652</v>
      </c>
      <c r="E29" s="1" t="s">
        <v>671</v>
      </c>
      <c r="F29" s="1" t="s">
        <v>832</v>
      </c>
      <c r="G29" s="1" t="s">
        <v>854</v>
      </c>
      <c r="H29" s="1" t="s">
        <v>859</v>
      </c>
      <c r="I29" s="1">
        <v>-75.98999999999999</v>
      </c>
      <c r="J29" s="1">
        <v>36.53</v>
      </c>
      <c r="K29" s="1" t="s">
        <v>860</v>
      </c>
      <c r="L29" s="1" t="s">
        <v>859</v>
      </c>
      <c r="M29" s="1" t="s">
        <v>874</v>
      </c>
    </row>
    <row r="30" spans="1:38">
      <c r="A30" s="1" t="s">
        <v>54</v>
      </c>
      <c r="B30" s="1" t="s">
        <v>612</v>
      </c>
      <c r="C30" s="1" t="s">
        <v>644</v>
      </c>
      <c r="D30" s="1" t="s">
        <v>652</v>
      </c>
      <c r="E30" s="1" t="s">
        <v>662</v>
      </c>
      <c r="F30" s="1" t="s">
        <v>831</v>
      </c>
      <c r="G30" s="1" t="s">
        <v>854</v>
      </c>
      <c r="H30" s="1">
        <f>HYPERLINK("https://waterdata.usgs.gov/nwis/nwismap/?site_no=01670060&amp;agency_cd=USGS", "US01670060")</f>
        <v>0</v>
      </c>
      <c r="I30" s="1">
        <v>-76.4254444</v>
      </c>
      <c r="J30" s="1">
        <v>37.3793611</v>
      </c>
      <c r="K30" s="1" t="s">
        <v>860</v>
      </c>
      <c r="L30" s="1" t="s">
        <v>867</v>
      </c>
      <c r="M30" s="1" t="s">
        <v>873</v>
      </c>
      <c r="N30" s="2">
        <f>HYPERLINK("https://waterservices.usgs.gov/nwis/site/?site=01670060&amp;format=rdb", "Datum Info")</f>
        <v>0</v>
      </c>
    </row>
    <row r="31" spans="1:38">
      <c r="A31" s="1" t="s">
        <v>55</v>
      </c>
      <c r="B31" s="1" t="s">
        <v>612</v>
      </c>
      <c r="C31" s="1" t="s">
        <v>644</v>
      </c>
      <c r="D31" s="1" t="s">
        <v>652</v>
      </c>
      <c r="E31" s="1" t="s">
        <v>672</v>
      </c>
      <c r="F31" s="1" t="s">
        <v>831</v>
      </c>
      <c r="G31" s="1" t="s">
        <v>854</v>
      </c>
      <c r="H31" s="1">
        <f>HYPERLINK("https://waterdata.usgs.gov/nwis/nwismap/?site_no=0167862550&amp;agency_cd=USGS", "US0167862550")</f>
        <v>0</v>
      </c>
      <c r="I31" s="1">
        <v>-76.38541669999999</v>
      </c>
      <c r="J31" s="1">
        <v>37.1049722</v>
      </c>
      <c r="K31" s="1" t="s">
        <v>860</v>
      </c>
      <c r="L31" s="1" t="s">
        <v>867</v>
      </c>
      <c r="M31" s="1" t="s">
        <v>873</v>
      </c>
      <c r="N31" s="2">
        <f>HYPERLINK("https://waterservices.usgs.gov/nwis/site/?site=0167862550&amp;format=rdb", "Datum Info")</f>
        <v>0</v>
      </c>
      <c r="O31" s="1" t="s">
        <v>887</v>
      </c>
      <c r="W31" s="1" t="s">
        <v>955</v>
      </c>
    </row>
    <row r="32" spans="1:38">
      <c r="A32" s="1" t="s">
        <v>56</v>
      </c>
      <c r="B32" s="1" t="s">
        <v>612</v>
      </c>
      <c r="C32" s="1" t="s">
        <v>644</v>
      </c>
      <c r="D32" s="1" t="s">
        <v>652</v>
      </c>
      <c r="E32" s="1" t="s">
        <v>665</v>
      </c>
      <c r="F32" s="1" t="s">
        <v>831</v>
      </c>
      <c r="G32" s="1" t="s">
        <v>854</v>
      </c>
      <c r="H32" s="1">
        <f>HYPERLINK("https://waterdata.usgs.gov/nwis/nwismap/?site_no=0167892964&amp;agency_cd=USGS", "US0167892964")</f>
        <v>0</v>
      </c>
      <c r="I32" s="1">
        <v>-76.36777778</v>
      </c>
      <c r="J32" s="1">
        <v>37.0449722</v>
      </c>
      <c r="K32" s="1" t="s">
        <v>860</v>
      </c>
      <c r="L32" s="1" t="s">
        <v>867</v>
      </c>
      <c r="M32" s="1" t="s">
        <v>873</v>
      </c>
      <c r="N32" s="2">
        <f>HYPERLINK("https://waterservices.usgs.gov/nwis/site/?site=0167892964&amp;format=rdb", "Datum Info")</f>
        <v>0</v>
      </c>
      <c r="O32" s="1" t="s">
        <v>887</v>
      </c>
      <c r="W32" s="1" t="s">
        <v>955</v>
      </c>
    </row>
    <row r="33" spans="1:38">
      <c r="A33" s="1" t="s">
        <v>57</v>
      </c>
      <c r="B33" s="1" t="s">
        <v>612</v>
      </c>
      <c r="C33" s="1" t="s">
        <v>644</v>
      </c>
      <c r="D33" s="1" t="s">
        <v>652</v>
      </c>
      <c r="E33" s="1" t="s">
        <v>673</v>
      </c>
      <c r="F33" s="1" t="s">
        <v>831</v>
      </c>
      <c r="G33" s="1" t="s">
        <v>854</v>
      </c>
      <c r="H33" s="1">
        <f>HYPERLINK("https://waterdata.usgs.gov/nwis/nwismap/?site_no=02037705&amp;agency_cd=USGS", "US02037705")</f>
        <v>0</v>
      </c>
      <c r="I33" s="1">
        <v>-77.4208158</v>
      </c>
      <c r="J33" s="1">
        <v>37.52514666</v>
      </c>
      <c r="K33" s="1" t="s">
        <v>861</v>
      </c>
      <c r="L33" s="1" t="s">
        <v>867</v>
      </c>
      <c r="M33" s="1" t="s">
        <v>873</v>
      </c>
      <c r="N33" s="2">
        <f>HYPERLINK("https://waterservices.usgs.gov/nwis/site/?site=02037705&amp;format=rdb", "Datum Info")</f>
        <v>0</v>
      </c>
      <c r="O33" s="1" t="s">
        <v>887</v>
      </c>
      <c r="W33" s="1" t="s">
        <v>956</v>
      </c>
      <c r="AA33" s="1" t="s">
        <v>1608</v>
      </c>
      <c r="AB33" s="1">
        <v>0</v>
      </c>
      <c r="AC33" s="1" t="s">
        <v>1617</v>
      </c>
      <c r="AH33" s="1">
        <v>6</v>
      </c>
      <c r="AI33" s="1">
        <v>8</v>
      </c>
      <c r="AJ33" s="1">
        <v>19</v>
      </c>
      <c r="AK33" s="1">
        <v>28</v>
      </c>
      <c r="AL33" s="1" t="s">
        <v>1744</v>
      </c>
    </row>
    <row r="34" spans="1:38">
      <c r="A34" s="1" t="s">
        <v>58</v>
      </c>
      <c r="B34" s="1" t="s">
        <v>612</v>
      </c>
      <c r="D34" s="1" t="s">
        <v>652</v>
      </c>
      <c r="E34" s="1" t="s">
        <v>668</v>
      </c>
      <c r="F34" s="1" t="s">
        <v>831</v>
      </c>
      <c r="G34" s="1" t="s">
        <v>854</v>
      </c>
      <c r="H34" s="1">
        <f>HYPERLINK("https://waterdata.usgs.gov/nwis/nwismap/?site_no=0204288831&amp;agency_cd=USGS", "US0204288831")</f>
        <v>0</v>
      </c>
      <c r="I34" s="1">
        <v>-76.3095</v>
      </c>
      <c r="J34" s="1">
        <v>36.862</v>
      </c>
      <c r="K34" s="1" t="s">
        <v>860</v>
      </c>
      <c r="L34" s="1" t="s">
        <v>867</v>
      </c>
      <c r="M34" s="1" t="s">
        <v>873</v>
      </c>
      <c r="N34" s="2">
        <f>HYPERLINK("https://waterservices.usgs.gov/nwis/site/?site=0204288831&amp;format=rdb", "Datum Info")</f>
        <v>0</v>
      </c>
      <c r="O34" s="1" t="s">
        <v>887</v>
      </c>
      <c r="W34" s="1" t="s">
        <v>957</v>
      </c>
    </row>
    <row r="35" spans="1:38">
      <c r="A35" s="1" t="s">
        <v>59</v>
      </c>
      <c r="B35" s="1" t="s">
        <v>612</v>
      </c>
      <c r="C35" s="1" t="s">
        <v>644</v>
      </c>
      <c r="D35" s="1" t="s">
        <v>652</v>
      </c>
      <c r="H35" s="1">
        <f>HYPERLINK("https://waterdata.usgs.gov/nwis/nwismap/?site_no=0204289985&amp;agency_cd=USGS", "US0204289985")</f>
        <v>0</v>
      </c>
      <c r="I35" s="1">
        <v>-76.33674999999999</v>
      </c>
      <c r="J35" s="1">
        <v>37.03238889</v>
      </c>
      <c r="K35" s="1" t="s">
        <v>860</v>
      </c>
      <c r="L35" s="1" t="s">
        <v>867</v>
      </c>
      <c r="M35" s="1" t="s">
        <v>873</v>
      </c>
      <c r="N35" s="2">
        <f>HYPERLINK("https://waterservices.usgs.gov/nwis/site/?site=0204289985&amp;format=rdb", "Datum Info")</f>
        <v>0</v>
      </c>
      <c r="O35" s="1" t="s">
        <v>887</v>
      </c>
      <c r="W35" s="1" t="s">
        <v>955</v>
      </c>
    </row>
    <row r="36" spans="1:38">
      <c r="A36" s="1" t="s">
        <v>60</v>
      </c>
      <c r="B36" s="1" t="s">
        <v>612</v>
      </c>
      <c r="C36" s="1" t="s">
        <v>644</v>
      </c>
      <c r="D36" s="1" t="s">
        <v>652</v>
      </c>
      <c r="H36" s="1">
        <f>HYPERLINK("https://waterdata.usgs.gov/nwis/nwismap/?site_no=0204292275&amp;agency_cd=USGS", "US0204292275")</f>
        <v>0</v>
      </c>
      <c r="I36" s="1">
        <v>-76.0955833</v>
      </c>
      <c r="J36" s="1">
        <v>36.9066111</v>
      </c>
      <c r="K36" s="1" t="s">
        <v>860</v>
      </c>
      <c r="L36" s="1" t="s">
        <v>867</v>
      </c>
      <c r="M36" s="1" t="s">
        <v>873</v>
      </c>
      <c r="N36" s="2">
        <f>HYPERLINK("https://waterservices.usgs.gov/nwis/site/?site=0204292275&amp;format=rdb", "Datum Info")</f>
        <v>0</v>
      </c>
      <c r="O36" s="1" t="s">
        <v>887</v>
      </c>
      <c r="W36" s="1" t="s">
        <v>955</v>
      </c>
    </row>
    <row r="37" spans="1:38">
      <c r="A37" s="1" t="s">
        <v>61</v>
      </c>
      <c r="B37" s="1" t="s">
        <v>612</v>
      </c>
      <c r="C37" s="1" t="s">
        <v>645</v>
      </c>
      <c r="D37" s="1" t="s">
        <v>652</v>
      </c>
      <c r="E37" s="1" t="s">
        <v>674</v>
      </c>
      <c r="F37" s="1" t="s">
        <v>831</v>
      </c>
      <c r="G37" s="1" t="s">
        <v>854</v>
      </c>
      <c r="H37" s="1">
        <f>HYPERLINK("https://waterdata.usgs.gov/nwis/nwismap/?site_no=0204300267&amp;agency_cd=USGS", "US0204300267")</f>
        <v>0</v>
      </c>
      <c r="I37" s="1">
        <v>-75.98399999999999</v>
      </c>
      <c r="J37" s="1">
        <v>36.67980556</v>
      </c>
      <c r="K37" s="1" t="s">
        <v>860</v>
      </c>
      <c r="L37" s="1" t="s">
        <v>867</v>
      </c>
      <c r="M37" s="1" t="s">
        <v>874</v>
      </c>
      <c r="N37" s="2">
        <f>HYPERLINK("https://waterservices.usgs.gov/nwis/site/?site=0204300267&amp;format=rdb", "Datum Info")</f>
        <v>0</v>
      </c>
      <c r="O37" s="1" t="s">
        <v>887</v>
      </c>
      <c r="W37" s="1" t="s">
        <v>956</v>
      </c>
    </row>
    <row r="38" spans="1:38">
      <c r="A38" s="1" t="s">
        <v>62</v>
      </c>
      <c r="B38" s="1" t="s">
        <v>612</v>
      </c>
      <c r="C38" s="1" t="s">
        <v>645</v>
      </c>
      <c r="D38" s="1" t="s">
        <v>652</v>
      </c>
      <c r="E38" s="1" t="s">
        <v>674</v>
      </c>
      <c r="F38" s="1" t="s">
        <v>831</v>
      </c>
      <c r="G38" s="1" t="s">
        <v>854</v>
      </c>
      <c r="H38" s="1">
        <f>HYPERLINK("https://waterdata.usgs.gov/nwis/nwismap/?site_no=02043269&amp;agency_cd=USGS", "US02043269")</f>
        <v>0</v>
      </c>
      <c r="I38" s="1">
        <v>-76.0463333</v>
      </c>
      <c r="J38" s="1">
        <v>36.61816667</v>
      </c>
      <c r="K38" s="1" t="s">
        <v>860</v>
      </c>
      <c r="L38" s="1" t="s">
        <v>867</v>
      </c>
      <c r="M38" s="1" t="s">
        <v>874</v>
      </c>
      <c r="N38" s="2">
        <f>HYPERLINK("https://waterservices.usgs.gov/nwis/site/?site=02043269&amp;format=rdb", "Datum Info")</f>
        <v>0</v>
      </c>
      <c r="O38" s="1" t="s">
        <v>887</v>
      </c>
      <c r="W38" s="1" t="s">
        <v>956</v>
      </c>
    </row>
    <row r="39" spans="1:38">
      <c r="A39" s="1" t="s">
        <v>63</v>
      </c>
      <c r="B39" s="1" t="s">
        <v>612</v>
      </c>
      <c r="D39" s="1" t="s">
        <v>652</v>
      </c>
      <c r="H39" s="1">
        <f>HYPERLINK("https://waterdata.usgs.gov/nwis/nwismap/?site_no=02043433&amp;agency_cd=USGS", "US02043433")</f>
        <v>0</v>
      </c>
      <c r="I39" s="1">
        <v>-75.83444262</v>
      </c>
      <c r="J39" s="1">
        <v>36.37443714</v>
      </c>
      <c r="K39" s="1" t="s">
        <v>861</v>
      </c>
      <c r="L39" s="1" t="s">
        <v>867</v>
      </c>
      <c r="M39" s="1" t="s">
        <v>874</v>
      </c>
      <c r="N39" s="2">
        <f>HYPERLINK("https://waterservices.usgs.gov/nwis/site/?site=02043433&amp;format=rdb", "Datum Info")</f>
        <v>0</v>
      </c>
      <c r="O39" s="1" t="s">
        <v>887</v>
      </c>
      <c r="W39" s="1" t="s">
        <v>958</v>
      </c>
      <c r="AB39" s="1">
        <v>0</v>
      </c>
      <c r="AC39" s="1" t="s">
        <v>1427</v>
      </c>
      <c r="AH39" s="1">
        <v>0</v>
      </c>
      <c r="AI39" s="1">
        <v>0</v>
      </c>
      <c r="AJ39" s="1">
        <v>0</v>
      </c>
      <c r="AK39" s="1">
        <v>0</v>
      </c>
      <c r="AL39" s="1" t="s">
        <v>1744</v>
      </c>
    </row>
    <row r="40" spans="1:38">
      <c r="A40" s="1" t="s">
        <v>64</v>
      </c>
      <c r="B40" s="1" t="s">
        <v>612</v>
      </c>
      <c r="C40" s="1" t="s">
        <v>645</v>
      </c>
      <c r="D40" s="1" t="s">
        <v>652</v>
      </c>
      <c r="E40" s="1" t="s">
        <v>675</v>
      </c>
      <c r="F40" s="1" t="s">
        <v>832</v>
      </c>
      <c r="G40" s="1" t="s">
        <v>854</v>
      </c>
      <c r="H40" s="1">
        <f>HYPERLINK("https://waterdata.usgs.gov/nwis/nwismap/?site_no=0208114150&amp;agency_cd=USGS", "US0208114150")</f>
        <v>0</v>
      </c>
      <c r="I40" s="1">
        <v>-76.72277575</v>
      </c>
      <c r="J40" s="1">
        <v>35.91499283</v>
      </c>
      <c r="K40" s="1" t="s">
        <v>861</v>
      </c>
      <c r="L40" s="1" t="s">
        <v>867</v>
      </c>
      <c r="M40" s="1" t="s">
        <v>874</v>
      </c>
      <c r="N40" s="2">
        <f>HYPERLINK("https://waterservices.usgs.gov/nwis/site/?site=0208114150&amp;format=rdb", "Datum Info")</f>
        <v>0</v>
      </c>
      <c r="O40" s="1" t="s">
        <v>887</v>
      </c>
      <c r="W40" s="1" t="s">
        <v>959</v>
      </c>
      <c r="AB40" s="1">
        <v>0</v>
      </c>
      <c r="AD40" s="1" t="s">
        <v>1427</v>
      </c>
      <c r="AG40" s="1" t="s">
        <v>1427</v>
      </c>
      <c r="AH40" s="1">
        <v>0</v>
      </c>
      <c r="AI40" s="1">
        <v>0</v>
      </c>
      <c r="AJ40" s="1">
        <v>0</v>
      </c>
      <c r="AK40" s="1">
        <v>0</v>
      </c>
      <c r="AL40" s="1" t="s">
        <v>1744</v>
      </c>
    </row>
    <row r="41" spans="1:38">
      <c r="A41" s="1" t="s">
        <v>65</v>
      </c>
      <c r="B41" s="1" t="s">
        <v>613</v>
      </c>
      <c r="C41" s="1" t="s">
        <v>646</v>
      </c>
      <c r="D41" s="1" t="s">
        <v>652</v>
      </c>
      <c r="E41" s="1" t="s">
        <v>676</v>
      </c>
      <c r="F41" s="1" t="s">
        <v>833</v>
      </c>
      <c r="G41" s="1" t="s">
        <v>854</v>
      </c>
      <c r="H41" s="1">
        <f>HYPERLINK("https://waterdata.usgs.gov/nwis/nwismap/?site_no=01359139&amp;agency_cd=USGS", "US01359139")</f>
        <v>0</v>
      </c>
      <c r="I41" s="1">
        <v>-73.7475</v>
      </c>
      <c r="J41" s="1">
        <v>42.64788889</v>
      </c>
      <c r="K41" s="1" t="s">
        <v>861</v>
      </c>
      <c r="L41" s="1" t="s">
        <v>867</v>
      </c>
      <c r="M41" s="1" t="s">
        <v>874</v>
      </c>
      <c r="N41" s="2">
        <f>HYPERLINK("https://waterservices.usgs.gov/nwis/site/?site=01359139&amp;format=rdb", "Datum Info")</f>
        <v>0</v>
      </c>
      <c r="O41" s="1" t="s">
        <v>889</v>
      </c>
      <c r="Y41" s="1" t="s">
        <v>958</v>
      </c>
      <c r="AA41" s="1" t="s">
        <v>1609</v>
      </c>
      <c r="AB41" s="1">
        <v>0</v>
      </c>
      <c r="AD41" s="1" t="s">
        <v>1617</v>
      </c>
      <c r="AG41" s="1" t="s">
        <v>1617</v>
      </c>
      <c r="AH41" s="1">
        <v>9</v>
      </c>
      <c r="AI41" s="1">
        <v>11</v>
      </c>
      <c r="AJ41" s="1">
        <v>13</v>
      </c>
      <c r="AK41" s="1">
        <v>15</v>
      </c>
      <c r="AL41" s="1" t="s">
        <v>1744</v>
      </c>
    </row>
    <row r="42" spans="1:38">
      <c r="A42" s="1" t="s">
        <v>66</v>
      </c>
      <c r="B42" s="1" t="s">
        <v>613</v>
      </c>
      <c r="C42" s="1" t="s">
        <v>646</v>
      </c>
      <c r="D42" s="1" t="s">
        <v>652</v>
      </c>
      <c r="E42" s="1" t="s">
        <v>677</v>
      </c>
      <c r="F42" s="1" t="s">
        <v>833</v>
      </c>
      <c r="G42" s="1" t="s">
        <v>854</v>
      </c>
      <c r="H42" s="1">
        <f>HYPERLINK("https://waterdata.usgs.gov/nwis/nwismap/?site_no=01372043&amp;agency_cd=USGS", "US01372043")</f>
        <v>0</v>
      </c>
      <c r="I42" s="1">
        <v>-73.94069299</v>
      </c>
      <c r="J42" s="1">
        <v>41.72176015</v>
      </c>
      <c r="K42" s="1" t="s">
        <v>861</v>
      </c>
      <c r="L42" s="1" t="s">
        <v>867</v>
      </c>
      <c r="M42" s="1" t="s">
        <v>874</v>
      </c>
      <c r="N42" s="2">
        <f>HYPERLINK("https://waterservices.usgs.gov/nwis/site/?site=01372043&amp;format=rdb", "Datum Info")</f>
        <v>0</v>
      </c>
      <c r="AA42" s="1" t="s">
        <v>887</v>
      </c>
      <c r="AB42" s="1">
        <v>0</v>
      </c>
      <c r="AC42" s="1" t="s">
        <v>1427</v>
      </c>
      <c r="AH42" s="1">
        <v>3.5</v>
      </c>
      <c r="AI42" s="1">
        <v>4.2</v>
      </c>
      <c r="AJ42" s="1">
        <v>6</v>
      </c>
      <c r="AK42" s="1">
        <v>8</v>
      </c>
      <c r="AL42" s="1" t="s">
        <v>1744</v>
      </c>
    </row>
    <row r="43" spans="1:38">
      <c r="A43" s="1" t="s">
        <v>67</v>
      </c>
      <c r="B43" s="1" t="s">
        <v>614</v>
      </c>
      <c r="C43" s="1" t="s">
        <v>646</v>
      </c>
      <c r="D43" s="1" t="s">
        <v>652</v>
      </c>
      <c r="E43" s="1" t="s">
        <v>678</v>
      </c>
      <c r="F43" s="1" t="s">
        <v>834</v>
      </c>
      <c r="G43" s="1" t="s">
        <v>854</v>
      </c>
      <c r="H43" s="1">
        <f>HYPERLINK("https://tidesandcurrents.noaa.gov/stationhome.html?id=8440889", "8440889")</f>
        <v>0</v>
      </c>
      <c r="I43" s="1">
        <v>-71.0767</v>
      </c>
      <c r="J43" s="1">
        <v>42.7633</v>
      </c>
      <c r="K43" s="1" t="s">
        <v>861</v>
      </c>
      <c r="L43" s="1" t="s">
        <v>866</v>
      </c>
      <c r="M43" s="1" t="s">
        <v>874</v>
      </c>
      <c r="N43" s="2">
        <f>HYPERLINK("https://tidesandcurrents.noaa.gov/datums.html?datum=MLLW&amp;units=0&amp;epoch=0&amp;id=8440889", "Datum Info")</f>
        <v>0</v>
      </c>
      <c r="O43" s="1" t="s">
        <v>886</v>
      </c>
      <c r="P43" s="1">
        <v>6.3</v>
      </c>
      <c r="Q43" s="1">
        <v>5.84</v>
      </c>
      <c r="R43" s="1">
        <v>2.98</v>
      </c>
      <c r="S43" s="1">
        <v>2.78</v>
      </c>
      <c r="T43" s="1">
        <v>3.15</v>
      </c>
      <c r="U43" s="1">
        <v>0.12</v>
      </c>
      <c r="V43" s="1">
        <v>0</v>
      </c>
      <c r="W43" s="1">
        <v>1.38</v>
      </c>
      <c r="X43" s="1">
        <v>-3.5</v>
      </c>
      <c r="AA43" s="1" t="s">
        <v>889</v>
      </c>
      <c r="AB43" s="1">
        <v>0</v>
      </c>
      <c r="AC43" s="1" t="s">
        <v>1618</v>
      </c>
      <c r="AH43" s="1">
        <v>12</v>
      </c>
      <c r="AI43" s="1">
        <v>13</v>
      </c>
      <c r="AJ43" s="1">
        <v>16</v>
      </c>
      <c r="AK43" s="1">
        <v>18</v>
      </c>
      <c r="AL43" s="1" t="s">
        <v>1744</v>
      </c>
    </row>
    <row r="44" spans="1:38">
      <c r="A44" s="1" t="s">
        <v>68</v>
      </c>
      <c r="B44" s="1" t="s">
        <v>614</v>
      </c>
      <c r="D44" s="1" t="s">
        <v>652</v>
      </c>
      <c r="H44" s="1">
        <f>HYPERLINK("https://tidesandcurrents.noaa.gov/stationhome.html?id=8441841", "8441841")</f>
        <v>0</v>
      </c>
      <c r="I44" s="1">
        <v>-70.66</v>
      </c>
      <c r="J44" s="1">
        <v>42.61</v>
      </c>
      <c r="K44" s="1" t="s">
        <v>860</v>
      </c>
      <c r="L44" s="1" t="s">
        <v>866</v>
      </c>
      <c r="M44" s="1" t="s">
        <v>874</v>
      </c>
      <c r="N44" s="2">
        <f>HYPERLINK("https://tidesandcurrents.noaa.gov/datums.html?datum=MLLW&amp;units=0&amp;epoch=0&amp;id=8441841", "Datum Info")</f>
        <v>0</v>
      </c>
      <c r="O44" s="1" t="s">
        <v>886</v>
      </c>
      <c r="P44" s="1">
        <v>9.57</v>
      </c>
      <c r="Q44" s="1">
        <v>9.130000000000001</v>
      </c>
      <c r="R44" s="1">
        <v>4.73</v>
      </c>
      <c r="S44" s="1">
        <v>4.77</v>
      </c>
      <c r="T44" s="1">
        <v>4.79</v>
      </c>
      <c r="U44" s="1">
        <v>0.33</v>
      </c>
      <c r="V44" s="1">
        <v>0</v>
      </c>
      <c r="W44" s="1" t="s">
        <v>960</v>
      </c>
      <c r="X44" s="1">
        <v>-4.04</v>
      </c>
      <c r="Y44" s="1" t="s">
        <v>1094</v>
      </c>
      <c r="Z44" s="1" t="s">
        <v>1366</v>
      </c>
    </row>
    <row r="45" spans="1:38">
      <c r="A45" s="1" t="s">
        <v>69</v>
      </c>
      <c r="B45" s="1" t="s">
        <v>614</v>
      </c>
      <c r="C45" s="1" t="s">
        <v>646</v>
      </c>
      <c r="D45" s="1" t="s">
        <v>652</v>
      </c>
      <c r="E45" s="1" t="s">
        <v>679</v>
      </c>
      <c r="F45" s="1" t="s">
        <v>834</v>
      </c>
      <c r="G45" s="1" t="s">
        <v>854</v>
      </c>
      <c r="H45" s="1">
        <f>HYPERLINK("https://tidesandcurrents.noaa.gov/stationhome.html?id=8443662", "8443662")</f>
        <v>0</v>
      </c>
      <c r="I45" s="1">
        <v>-71.0767</v>
      </c>
      <c r="J45" s="1">
        <v>42.395</v>
      </c>
      <c r="K45" s="1" t="s">
        <v>861</v>
      </c>
      <c r="L45" s="1" t="s">
        <v>866</v>
      </c>
      <c r="M45" s="1" t="s">
        <v>874</v>
      </c>
      <c r="N45" s="2">
        <f>HYPERLINK("https://tidesandcurrents.noaa.gov/datums.html?datum=MLLW&amp;units=0&amp;epoch=0&amp;id=8443662", "Datum Info")</f>
        <v>0</v>
      </c>
      <c r="O45" s="1" t="s">
        <v>886</v>
      </c>
      <c r="P45" s="1">
        <v>10.33</v>
      </c>
      <c r="Q45" s="1">
        <v>9.890000000000001</v>
      </c>
      <c r="R45" s="1">
        <v>5.11</v>
      </c>
      <c r="S45" s="1">
        <v>5.24</v>
      </c>
      <c r="T45" s="1">
        <v>5.16</v>
      </c>
      <c r="U45" s="1">
        <v>0.33</v>
      </c>
      <c r="V45" s="1">
        <v>0</v>
      </c>
      <c r="W45" s="1" t="s">
        <v>961</v>
      </c>
      <c r="X45" s="1">
        <v>-4.03</v>
      </c>
      <c r="Y45" s="1" t="s">
        <v>1095</v>
      </c>
      <c r="Z45" s="1" t="s">
        <v>1367</v>
      </c>
    </row>
    <row r="46" spans="1:38">
      <c r="A46" s="1" t="s">
        <v>70</v>
      </c>
      <c r="B46" s="1" t="s">
        <v>614</v>
      </c>
      <c r="D46" s="1" t="s">
        <v>652</v>
      </c>
      <c r="H46" s="1">
        <f>HYPERLINK("https://tidesandcurrents.noaa.gov/stationhome.html?id=8443970", "8443970")</f>
        <v>0</v>
      </c>
      <c r="I46" s="1">
        <v>-71.05029999999999</v>
      </c>
      <c r="J46" s="1">
        <v>42.3539</v>
      </c>
      <c r="K46" s="1" t="s">
        <v>860</v>
      </c>
      <c r="L46" s="1" t="s">
        <v>866</v>
      </c>
      <c r="M46" s="1" t="s">
        <v>874</v>
      </c>
      <c r="N46" s="2">
        <f>HYPERLINK("https://tidesandcurrents.noaa.gov/datums.html?datum=MLLW&amp;units=0&amp;epoch=0&amp;id=8443970", "Datum Info")</f>
        <v>0</v>
      </c>
      <c r="O46" s="1" t="s">
        <v>886</v>
      </c>
      <c r="P46" s="1">
        <v>10.28</v>
      </c>
      <c r="Q46" s="1">
        <v>9.84</v>
      </c>
      <c r="R46" s="1">
        <v>5.09</v>
      </c>
      <c r="S46" s="1">
        <v>5.21</v>
      </c>
      <c r="T46" s="1">
        <v>5.14</v>
      </c>
      <c r="U46" s="1">
        <v>0.35</v>
      </c>
      <c r="V46" s="1">
        <v>0</v>
      </c>
      <c r="W46" s="1">
        <v>5.51</v>
      </c>
      <c r="X46" s="1">
        <v>-3.52</v>
      </c>
      <c r="Y46" s="1" t="s">
        <v>1096</v>
      </c>
      <c r="Z46" s="1" t="s">
        <v>1368</v>
      </c>
    </row>
    <row r="47" spans="1:38">
      <c r="A47" s="1" t="s">
        <v>71</v>
      </c>
      <c r="B47" s="1" t="s">
        <v>614</v>
      </c>
      <c r="C47" s="1" t="s">
        <v>646</v>
      </c>
      <c r="D47" s="1" t="s">
        <v>652</v>
      </c>
      <c r="E47" s="1" t="s">
        <v>680</v>
      </c>
      <c r="F47" s="1" t="s">
        <v>834</v>
      </c>
      <c r="G47" s="1" t="s">
        <v>854</v>
      </c>
      <c r="H47" s="1">
        <f>HYPERLINK("https://tidesandcurrents.noaa.gov/stationhome.html?id=8445138", "8445138")</f>
        <v>0</v>
      </c>
      <c r="I47" s="1">
        <v>-70.72669999999999</v>
      </c>
      <c r="J47" s="1">
        <v>42.2017</v>
      </c>
      <c r="K47" s="1" t="s">
        <v>860</v>
      </c>
      <c r="L47" s="1" t="s">
        <v>866</v>
      </c>
      <c r="M47" s="1" t="s">
        <v>874</v>
      </c>
      <c r="N47" s="2">
        <f>HYPERLINK("https://tidesandcurrents.noaa.gov/datums.html?datum=MLLW&amp;units=0&amp;epoch=0&amp;id=8445138", "Datum Info")</f>
        <v>0</v>
      </c>
      <c r="O47" s="1" t="s">
        <v>886</v>
      </c>
      <c r="P47" s="1">
        <v>9.75</v>
      </c>
      <c r="Q47" s="1">
        <v>9.300000000000001</v>
      </c>
      <c r="R47" s="1">
        <v>4.83</v>
      </c>
      <c r="S47" s="1">
        <v>4.89</v>
      </c>
      <c r="T47" s="1">
        <v>4.88</v>
      </c>
      <c r="U47" s="1">
        <v>0.36</v>
      </c>
      <c r="V47" s="1">
        <v>0</v>
      </c>
      <c r="W47" s="1" t="s">
        <v>962</v>
      </c>
      <c r="X47" s="1">
        <v>-2.96</v>
      </c>
      <c r="Y47" s="1" t="s">
        <v>1097</v>
      </c>
      <c r="Z47" s="1" t="s">
        <v>1369</v>
      </c>
    </row>
    <row r="48" spans="1:38">
      <c r="A48" s="1" t="s">
        <v>72</v>
      </c>
      <c r="B48" s="1" t="s">
        <v>614</v>
      </c>
      <c r="C48" s="1" t="s">
        <v>646</v>
      </c>
      <c r="D48" s="1" t="s">
        <v>652</v>
      </c>
      <c r="H48" s="1">
        <f>HYPERLINK("https://tidesandcurrents.noaa.gov/stationhome.html?id=8446121", "8446121")</f>
        <v>0</v>
      </c>
      <c r="I48" s="1">
        <v>-70.18219999999999</v>
      </c>
      <c r="J48" s="1">
        <v>42.04959</v>
      </c>
      <c r="K48" s="1" t="s">
        <v>860</v>
      </c>
      <c r="L48" s="1" t="s">
        <v>866</v>
      </c>
      <c r="M48" s="1" t="s">
        <v>874</v>
      </c>
      <c r="N48" s="2">
        <f>HYPERLINK("https://tidesandcurrents.noaa.gov/datums.html?datum=MLLW&amp;units=0&amp;epoch=0&amp;id=8446121", "Datum Info")</f>
        <v>0</v>
      </c>
      <c r="O48" s="1" t="s">
        <v>886</v>
      </c>
      <c r="P48" s="1">
        <v>10.08</v>
      </c>
      <c r="Q48" s="1">
        <v>9.619999999999999</v>
      </c>
      <c r="R48" s="1">
        <v>4.98</v>
      </c>
      <c r="S48" s="1">
        <v>5.03</v>
      </c>
      <c r="T48" s="1">
        <v>5.04</v>
      </c>
      <c r="U48" s="1">
        <v>0.33</v>
      </c>
      <c r="V48" s="1">
        <v>0</v>
      </c>
      <c r="W48" s="1" t="s">
        <v>963</v>
      </c>
      <c r="X48" s="1">
        <v>-4.02</v>
      </c>
      <c r="Y48" s="1" t="s">
        <v>1098</v>
      </c>
      <c r="Z48" s="1" t="s">
        <v>1370</v>
      </c>
      <c r="AB48" s="1">
        <v>0</v>
      </c>
      <c r="AC48" s="1" t="s">
        <v>1619</v>
      </c>
      <c r="AF48" s="1" t="s">
        <v>1427</v>
      </c>
      <c r="AH48" s="1">
        <v>11.5</v>
      </c>
      <c r="AI48" s="1">
        <v>13</v>
      </c>
      <c r="AJ48" s="1">
        <v>14</v>
      </c>
      <c r="AK48" s="1">
        <v>15</v>
      </c>
      <c r="AL48" s="1" t="s">
        <v>1744</v>
      </c>
    </row>
    <row r="49" spans="1:38">
      <c r="A49" s="1" t="s">
        <v>73</v>
      </c>
      <c r="B49" s="1" t="s">
        <v>614</v>
      </c>
      <c r="C49" s="1" t="s">
        <v>646</v>
      </c>
      <c r="D49" s="1" t="s">
        <v>652</v>
      </c>
      <c r="E49" s="1" t="s">
        <v>681</v>
      </c>
      <c r="F49" s="1" t="s">
        <v>834</v>
      </c>
      <c r="G49" s="1" t="s">
        <v>854</v>
      </c>
      <c r="H49" s="1">
        <f>HYPERLINK("https://tidesandcurrents.noaa.gov/stationhome.html?id=8447241", "8447241")</f>
        <v>0</v>
      </c>
      <c r="I49" s="1">
        <v>-70.155</v>
      </c>
      <c r="J49" s="1">
        <v>41.7517</v>
      </c>
      <c r="K49" s="1" t="s">
        <v>860</v>
      </c>
      <c r="L49" s="1" t="s">
        <v>866</v>
      </c>
      <c r="M49" s="1" t="s">
        <v>874</v>
      </c>
      <c r="N49" s="2">
        <f>HYPERLINK("https://tidesandcurrents.noaa.gov/datums.html?datum=MLLW&amp;units=0&amp;epoch=0&amp;id=8447241", "Datum Info")</f>
        <v>0</v>
      </c>
      <c r="O49" s="1" t="s">
        <v>886</v>
      </c>
      <c r="P49" s="1">
        <v>10.46</v>
      </c>
      <c r="Q49" s="1">
        <v>10</v>
      </c>
      <c r="R49" s="1">
        <v>5.14</v>
      </c>
      <c r="S49" s="1">
        <v>5.22</v>
      </c>
      <c r="T49" s="1">
        <v>5.23</v>
      </c>
      <c r="U49" s="1">
        <v>0.27</v>
      </c>
      <c r="V49" s="1">
        <v>0</v>
      </c>
      <c r="W49" s="1" t="s">
        <v>964</v>
      </c>
      <c r="X49" s="1">
        <v>-2.36</v>
      </c>
      <c r="Y49" s="1" t="s">
        <v>1099</v>
      </c>
      <c r="Z49" s="1" t="s">
        <v>1371</v>
      </c>
      <c r="AB49" s="1">
        <v>0</v>
      </c>
      <c r="AC49" s="1" t="s">
        <v>1620</v>
      </c>
      <c r="AF49" s="1" t="s">
        <v>1427</v>
      </c>
      <c r="AH49" s="1">
        <v>12</v>
      </c>
      <c r="AI49" s="1">
        <v>13</v>
      </c>
      <c r="AJ49" s="1">
        <v>14.5</v>
      </c>
      <c r="AK49" s="1">
        <v>16</v>
      </c>
      <c r="AL49" s="1" t="s">
        <v>1744</v>
      </c>
    </row>
    <row r="50" spans="1:38">
      <c r="A50" s="1" t="s">
        <v>74</v>
      </c>
      <c r="B50" s="1" t="s">
        <v>614</v>
      </c>
      <c r="D50" s="1" t="s">
        <v>652</v>
      </c>
      <c r="E50" s="1" t="s">
        <v>681</v>
      </c>
      <c r="F50" s="1" t="s">
        <v>834</v>
      </c>
      <c r="G50" s="1" t="s">
        <v>854</v>
      </c>
      <c r="H50" s="1">
        <f>HYPERLINK("https://tidesandcurrents.noaa.gov/stationhome.html?id=8447259", "8447259")</f>
        <v>0</v>
      </c>
      <c r="I50" s="1">
        <v>-70.5933</v>
      </c>
      <c r="J50" s="1">
        <v>41.745</v>
      </c>
      <c r="K50" s="1" t="s">
        <v>861</v>
      </c>
      <c r="L50" s="1" t="s">
        <v>866</v>
      </c>
      <c r="M50" s="1" t="s">
        <v>874</v>
      </c>
      <c r="N50" s="2">
        <f>HYPERLINK("https://tidesandcurrents.noaa.gov/datums.html?datum=MLLW&amp;units=0&amp;epoch=0&amp;id=8447259", "Datum Info")</f>
        <v>0</v>
      </c>
      <c r="O50" s="1" t="s">
        <v>886</v>
      </c>
      <c r="P50" s="1">
        <v>4.95</v>
      </c>
      <c r="Q50" s="1">
        <v>4.56</v>
      </c>
      <c r="R50" s="1">
        <v>2.42</v>
      </c>
      <c r="S50" s="1">
        <v>2.49</v>
      </c>
      <c r="T50" s="1">
        <v>2.48</v>
      </c>
      <c r="U50" s="1">
        <v>0.27</v>
      </c>
      <c r="V50" s="1">
        <v>0</v>
      </c>
      <c r="W50" s="1" t="s">
        <v>965</v>
      </c>
      <c r="X50" s="1">
        <v>-3.51</v>
      </c>
      <c r="Y50" s="1" t="s">
        <v>1100</v>
      </c>
      <c r="Z50" s="1" t="s">
        <v>1372</v>
      </c>
    </row>
    <row r="51" spans="1:38">
      <c r="A51" s="1" t="s">
        <v>75</v>
      </c>
      <c r="B51" s="1" t="s">
        <v>614</v>
      </c>
      <c r="C51" s="1" t="s">
        <v>646</v>
      </c>
      <c r="D51" s="1" t="s">
        <v>652</v>
      </c>
      <c r="E51" s="1" t="s">
        <v>682</v>
      </c>
      <c r="F51" s="1" t="s">
        <v>834</v>
      </c>
      <c r="G51" s="1" t="s">
        <v>854</v>
      </c>
      <c r="H51" s="1">
        <f>HYPERLINK("https://tidesandcurrents.noaa.gov/stationhome.html?id=8447386", "8447386")</f>
        <v>0</v>
      </c>
      <c r="I51" s="1">
        <v>-71.1641</v>
      </c>
      <c r="J51" s="1">
        <v>41.7043</v>
      </c>
      <c r="K51" s="1" t="s">
        <v>860</v>
      </c>
      <c r="L51" s="1" t="s">
        <v>866</v>
      </c>
      <c r="M51" s="1" t="s">
        <v>874</v>
      </c>
      <c r="N51" s="2">
        <f>HYPERLINK("https://tidesandcurrents.noaa.gov/datums.html?datum=MLLW&amp;units=0&amp;epoch=0&amp;id=8447386", "Datum Info")</f>
        <v>0</v>
      </c>
      <c r="O51" s="1" t="s">
        <v>886</v>
      </c>
      <c r="P51" s="1">
        <v>4.77</v>
      </c>
      <c r="Q51" s="1">
        <v>4.53</v>
      </c>
      <c r="R51" s="1">
        <v>2.35</v>
      </c>
      <c r="S51" s="1">
        <v>2.2</v>
      </c>
      <c r="T51" s="1">
        <v>2.38</v>
      </c>
      <c r="U51" s="1">
        <v>0.17</v>
      </c>
      <c r="V51" s="1">
        <v>0</v>
      </c>
      <c r="W51" s="1">
        <v>2.43</v>
      </c>
      <c r="X51" s="1">
        <v>-20.87</v>
      </c>
      <c r="Y51" s="1" t="s">
        <v>1101</v>
      </c>
      <c r="Z51" s="1" t="s">
        <v>1373</v>
      </c>
    </row>
    <row r="52" spans="1:38">
      <c r="A52" s="1" t="s">
        <v>76</v>
      </c>
      <c r="B52" s="1" t="s">
        <v>614</v>
      </c>
      <c r="C52" s="1" t="s">
        <v>646</v>
      </c>
      <c r="D52" s="1" t="s">
        <v>652</v>
      </c>
      <c r="H52" s="1">
        <f>HYPERLINK("https://tidesandcurrents.noaa.gov/stationhome.html?id=8447435", "8447435")</f>
        <v>0</v>
      </c>
      <c r="I52" s="1">
        <v>-69.9508</v>
      </c>
      <c r="J52" s="1">
        <v>41.68806</v>
      </c>
      <c r="K52" s="1" t="s">
        <v>860</v>
      </c>
      <c r="L52" s="1" t="s">
        <v>866</v>
      </c>
      <c r="M52" s="1" t="s">
        <v>874</v>
      </c>
      <c r="N52" s="2">
        <f>HYPERLINK("https://tidesandcurrents.noaa.gov/datums.html?datum=MLLW&amp;units=0&amp;epoch=0&amp;id=8447435", "Datum Info")</f>
        <v>0</v>
      </c>
      <c r="O52" s="1" t="s">
        <v>886</v>
      </c>
      <c r="P52" s="1">
        <v>5.17</v>
      </c>
      <c r="Q52" s="1">
        <v>4.8</v>
      </c>
      <c r="R52" s="1">
        <v>2.48</v>
      </c>
      <c r="S52" s="1">
        <v>2.55</v>
      </c>
      <c r="T52" s="1">
        <v>2.59</v>
      </c>
      <c r="U52" s="1">
        <v>0.16</v>
      </c>
      <c r="V52" s="1">
        <v>0</v>
      </c>
      <c r="W52" s="1">
        <v>2.49</v>
      </c>
      <c r="X52" s="1">
        <v>-4.19</v>
      </c>
      <c r="Y52" s="1" t="s">
        <v>1102</v>
      </c>
      <c r="Z52" s="1" t="s">
        <v>1374</v>
      </c>
    </row>
    <row r="53" spans="1:38">
      <c r="A53" s="1" t="s">
        <v>77</v>
      </c>
      <c r="B53" s="1" t="s">
        <v>614</v>
      </c>
      <c r="D53" s="1" t="s">
        <v>652</v>
      </c>
      <c r="E53" s="1" t="s">
        <v>682</v>
      </c>
      <c r="F53" s="1" t="s">
        <v>834</v>
      </c>
      <c r="G53" s="1" t="s">
        <v>854</v>
      </c>
      <c r="H53" s="1">
        <f>HYPERLINK("https://tidesandcurrents.noaa.gov/stationhome.html?id=8447712", "8447712")</f>
        <v>0</v>
      </c>
      <c r="I53" s="1">
        <v>-70.90000000000001</v>
      </c>
      <c r="J53" s="1">
        <v>41.5933</v>
      </c>
      <c r="K53" s="1" t="s">
        <v>860</v>
      </c>
      <c r="L53" s="1" t="s">
        <v>866</v>
      </c>
      <c r="M53" s="1" t="s">
        <v>874</v>
      </c>
      <c r="N53" s="2">
        <f>HYPERLINK("https://tidesandcurrents.noaa.gov/datums.html?datum=MLLW&amp;units=0&amp;epoch=0&amp;id=8447712", "Datum Info")</f>
        <v>0</v>
      </c>
      <c r="O53" s="1" t="s">
        <v>886</v>
      </c>
      <c r="P53" s="1">
        <v>3.96</v>
      </c>
      <c r="Q53" s="1">
        <v>3.71</v>
      </c>
      <c r="R53" s="1">
        <v>1.93</v>
      </c>
      <c r="S53" s="1">
        <v>1.68</v>
      </c>
      <c r="T53" s="1">
        <v>1.98</v>
      </c>
      <c r="U53" s="1">
        <v>0.15</v>
      </c>
      <c r="V53" s="1">
        <v>0</v>
      </c>
      <c r="W53" s="1" t="s">
        <v>952</v>
      </c>
      <c r="X53" s="1">
        <v>-2.49</v>
      </c>
      <c r="Y53" s="1" t="s">
        <v>1103</v>
      </c>
      <c r="Z53" s="1" t="s">
        <v>1375</v>
      </c>
    </row>
    <row r="54" spans="1:38">
      <c r="A54" s="1" t="s">
        <v>78</v>
      </c>
      <c r="B54" s="1" t="s">
        <v>614</v>
      </c>
      <c r="C54" s="1" t="s">
        <v>646</v>
      </c>
      <c r="D54" s="1" t="s">
        <v>652</v>
      </c>
      <c r="H54" s="1">
        <f>HYPERLINK("https://tidesandcurrents.noaa.gov/stationhome.html?id=8447742", "8447742")</f>
        <v>0</v>
      </c>
      <c r="I54" s="1">
        <v>-70.46333</v>
      </c>
      <c r="J54" s="1">
        <v>41.586666</v>
      </c>
      <c r="K54" s="1" t="s">
        <v>862</v>
      </c>
      <c r="L54" s="1" t="s">
        <v>866</v>
      </c>
      <c r="M54" s="1" t="s">
        <v>874</v>
      </c>
      <c r="N54" s="2">
        <f>HYPERLINK("https://tidesandcurrents.noaa.gov/datums.html?datum=MLLW&amp;units=0&amp;epoch=0&amp;id=8447742", "Datum Info")</f>
        <v>0</v>
      </c>
    </row>
    <row r="55" spans="1:38">
      <c r="A55" s="1" t="s">
        <v>79</v>
      </c>
      <c r="B55" s="1" t="s">
        <v>614</v>
      </c>
      <c r="C55" s="1" t="s">
        <v>646</v>
      </c>
      <c r="D55" s="1" t="s">
        <v>652</v>
      </c>
      <c r="H55" s="1">
        <f>HYPERLINK("https://tidesandcurrents.noaa.gov/stationhome.html?id=8447930", "8447930")</f>
        <v>0</v>
      </c>
      <c r="I55" s="1">
        <v>-70.6711</v>
      </c>
      <c r="J55" s="1">
        <v>41.52361</v>
      </c>
      <c r="K55" s="1" t="s">
        <v>860</v>
      </c>
      <c r="L55" s="1" t="s">
        <v>866</v>
      </c>
      <c r="M55" s="1" t="s">
        <v>874</v>
      </c>
      <c r="N55" s="2">
        <f>HYPERLINK("https://tidesandcurrents.noaa.gov/datums.html?datum=MLLW&amp;units=0&amp;epoch=0&amp;id=8447930", "Datum Info")</f>
        <v>0</v>
      </c>
      <c r="O55" s="1" t="s">
        <v>886</v>
      </c>
      <c r="P55" s="1">
        <v>2.2</v>
      </c>
      <c r="Q55" s="1">
        <v>1.92</v>
      </c>
      <c r="R55" s="1">
        <v>1.03</v>
      </c>
      <c r="S55" s="1">
        <v>0.98</v>
      </c>
      <c r="T55" s="1">
        <v>1.1</v>
      </c>
      <c r="U55" s="1">
        <v>0.13</v>
      </c>
      <c r="V55" s="1">
        <v>0</v>
      </c>
      <c r="W55" s="1">
        <v>1.36</v>
      </c>
      <c r="X55" s="1">
        <v>-2.62</v>
      </c>
      <c r="Y55" s="1" t="s">
        <v>1104</v>
      </c>
      <c r="Z55" s="1" t="s">
        <v>1376</v>
      </c>
    </row>
    <row r="56" spans="1:38">
      <c r="A56" s="1" t="s">
        <v>80</v>
      </c>
      <c r="B56" s="1" t="s">
        <v>614</v>
      </c>
      <c r="D56" s="1" t="s">
        <v>652</v>
      </c>
      <c r="E56" s="1" t="s">
        <v>683</v>
      </c>
      <c r="F56" s="1" t="s">
        <v>835</v>
      </c>
      <c r="G56" s="1" t="s">
        <v>854</v>
      </c>
      <c r="H56" s="1">
        <f>HYPERLINK("https://tidesandcurrents.noaa.gov/stationhome.html?id=8452660", "8452660")</f>
        <v>0</v>
      </c>
      <c r="I56" s="1">
        <v>-71.3261</v>
      </c>
      <c r="J56" s="1">
        <v>41.50433</v>
      </c>
      <c r="K56" s="1" t="s">
        <v>860</v>
      </c>
      <c r="L56" s="1" t="s">
        <v>866</v>
      </c>
      <c r="M56" s="1" t="s">
        <v>874</v>
      </c>
      <c r="N56" s="2">
        <f>HYPERLINK("https://tidesandcurrents.noaa.gov/datums.html?datum=MLLW&amp;units=0&amp;epoch=0&amp;id=8452660", "Datum Info")</f>
        <v>0</v>
      </c>
      <c r="O56" s="1" t="s">
        <v>886</v>
      </c>
      <c r="P56" s="1">
        <v>3.85</v>
      </c>
      <c r="Q56" s="1">
        <v>3.61</v>
      </c>
      <c r="R56" s="1">
        <v>1.88</v>
      </c>
      <c r="S56" s="1">
        <v>1.74</v>
      </c>
      <c r="T56" s="1">
        <v>1.93</v>
      </c>
      <c r="U56" s="1">
        <v>0.14</v>
      </c>
      <c r="V56" s="1">
        <v>0</v>
      </c>
      <c r="W56" s="1">
        <v>2.04</v>
      </c>
      <c r="X56" s="1">
        <v>-1.89</v>
      </c>
      <c r="Y56" s="1" t="s">
        <v>1105</v>
      </c>
      <c r="Z56" s="1" t="s">
        <v>1377</v>
      </c>
    </row>
    <row r="57" spans="1:38">
      <c r="A57" s="1" t="s">
        <v>81</v>
      </c>
      <c r="B57" s="1" t="s">
        <v>614</v>
      </c>
      <c r="D57" s="1" t="s">
        <v>652</v>
      </c>
      <c r="H57" s="1">
        <f>HYPERLINK("https://tidesandcurrents.noaa.gov/stationhome.html?id=8452944", "8452944")</f>
        <v>0</v>
      </c>
      <c r="I57" s="1">
        <v>-71.3433</v>
      </c>
      <c r="J57" s="1">
        <v>41.7167</v>
      </c>
      <c r="K57" s="1" t="s">
        <v>860</v>
      </c>
      <c r="L57" s="1" t="s">
        <v>866</v>
      </c>
      <c r="M57" s="1" t="s">
        <v>874</v>
      </c>
      <c r="N57" s="2">
        <f>HYPERLINK("https://tidesandcurrents.noaa.gov/datums.html?datum=MLLW&amp;units=0&amp;epoch=0&amp;id=8452944", "Datum Info")</f>
        <v>0</v>
      </c>
      <c r="O57" s="1" t="s">
        <v>886</v>
      </c>
      <c r="P57" s="1">
        <v>4.58</v>
      </c>
      <c r="Q57" s="1">
        <v>4.33</v>
      </c>
      <c r="R57" s="1">
        <v>2.25</v>
      </c>
      <c r="S57" s="1">
        <v>2.1</v>
      </c>
      <c r="T57" s="1">
        <v>2.29</v>
      </c>
      <c r="U57" s="1">
        <v>0.17</v>
      </c>
      <c r="V57" s="1">
        <v>0</v>
      </c>
      <c r="W57" s="1" t="s">
        <v>966</v>
      </c>
      <c r="X57" s="1">
        <v>-18.54</v>
      </c>
      <c r="Y57" s="1" t="s">
        <v>1106</v>
      </c>
      <c r="Z57" s="1" t="s">
        <v>1378</v>
      </c>
    </row>
    <row r="58" spans="1:38">
      <c r="A58" s="1" t="s">
        <v>82</v>
      </c>
      <c r="B58" s="1" t="s">
        <v>614</v>
      </c>
      <c r="C58" s="1" t="s">
        <v>646</v>
      </c>
      <c r="D58" s="1" t="s">
        <v>652</v>
      </c>
      <c r="E58" s="1" t="s">
        <v>684</v>
      </c>
      <c r="F58" s="1" t="s">
        <v>835</v>
      </c>
      <c r="G58" s="1" t="s">
        <v>854</v>
      </c>
      <c r="H58" s="1">
        <f>HYPERLINK("https://tidesandcurrents.noaa.gov/stationhome.html?id=8454000", "8454000")</f>
        <v>0</v>
      </c>
      <c r="I58" s="1">
        <v>-71.4012</v>
      </c>
      <c r="J58" s="1">
        <v>41.8071</v>
      </c>
      <c r="K58" s="1" t="s">
        <v>860</v>
      </c>
      <c r="L58" s="1" t="s">
        <v>866</v>
      </c>
      <c r="M58" s="1" t="s">
        <v>874</v>
      </c>
      <c r="N58" s="2">
        <f>HYPERLINK("https://tidesandcurrents.noaa.gov/datums.html?datum=MLLW&amp;units=0&amp;epoch=0&amp;id=8454000", "Datum Info")</f>
        <v>0</v>
      </c>
      <c r="O58" s="1" t="s">
        <v>886</v>
      </c>
      <c r="P58" s="1">
        <v>4.84</v>
      </c>
      <c r="Q58" s="1">
        <v>4.59</v>
      </c>
      <c r="R58" s="1">
        <v>2.39</v>
      </c>
      <c r="S58" s="1">
        <v>2.25</v>
      </c>
      <c r="T58" s="1">
        <v>2.42</v>
      </c>
      <c r="U58" s="1">
        <v>0.18</v>
      </c>
      <c r="V58" s="1">
        <v>0</v>
      </c>
      <c r="W58" s="1">
        <v>2.47</v>
      </c>
      <c r="X58" s="1">
        <v>-3.49</v>
      </c>
      <c r="Y58" s="1" t="s">
        <v>1107</v>
      </c>
      <c r="Z58" s="1" t="s">
        <v>1379</v>
      </c>
    </row>
    <row r="59" spans="1:38">
      <c r="A59" s="1" t="s">
        <v>83</v>
      </c>
      <c r="B59" s="1" t="s">
        <v>614</v>
      </c>
      <c r="D59" s="1" t="s">
        <v>652</v>
      </c>
      <c r="H59" s="1">
        <f>HYPERLINK("https://tidesandcurrents.noaa.gov/stationhome.html?id=8454049", "8454049")</f>
        <v>0</v>
      </c>
      <c r="I59" s="1">
        <v>-71.41</v>
      </c>
      <c r="J59" s="1">
        <v>41.58694</v>
      </c>
      <c r="K59" s="1" t="s">
        <v>860</v>
      </c>
      <c r="L59" s="1" t="s">
        <v>866</v>
      </c>
      <c r="M59" s="1" t="s">
        <v>874</v>
      </c>
      <c r="N59" s="2">
        <f>HYPERLINK("https://tidesandcurrents.noaa.gov/datums.html?datum=MLLW&amp;units=0&amp;epoch=0&amp;id=8454049", "Datum Info")</f>
        <v>0</v>
      </c>
      <c r="O59" s="1" t="s">
        <v>886</v>
      </c>
      <c r="P59" s="1">
        <v>4.11</v>
      </c>
      <c r="Q59" s="1">
        <v>3.86</v>
      </c>
      <c r="R59" s="1">
        <v>2.01</v>
      </c>
      <c r="S59" s="1">
        <v>1.87</v>
      </c>
      <c r="T59" s="1">
        <v>2.06</v>
      </c>
      <c r="U59" s="1">
        <v>0.16</v>
      </c>
      <c r="V59" s="1">
        <v>0</v>
      </c>
      <c r="W59" s="1">
        <v>2.24</v>
      </c>
      <c r="X59" s="1">
        <v>-23.01</v>
      </c>
      <c r="Y59" s="1" t="s">
        <v>1108</v>
      </c>
      <c r="Z59" s="1" t="s">
        <v>1380</v>
      </c>
    </row>
    <row r="60" spans="1:38">
      <c r="A60" s="1" t="s">
        <v>84</v>
      </c>
      <c r="B60" s="1" t="s">
        <v>614</v>
      </c>
      <c r="D60" s="1" t="s">
        <v>652</v>
      </c>
      <c r="H60" s="1">
        <f>HYPERLINK("https://tidesandcurrents.noaa.gov/stationhome.html?id=8458694", "8458694")</f>
        <v>0</v>
      </c>
      <c r="I60" s="1">
        <v>-71.86</v>
      </c>
      <c r="J60" s="1">
        <v>41.305</v>
      </c>
      <c r="K60" s="1" t="s">
        <v>860</v>
      </c>
      <c r="L60" s="1" t="s">
        <v>866</v>
      </c>
      <c r="M60" s="1" t="s">
        <v>874</v>
      </c>
      <c r="N60" s="2">
        <f>HYPERLINK("https://tidesandcurrents.noaa.gov/datums.html?datum=MLLW&amp;units=0&amp;epoch=0&amp;id=8458694", "Datum Info")</f>
        <v>0</v>
      </c>
      <c r="O60" s="1" t="s">
        <v>886</v>
      </c>
      <c r="P60" s="1">
        <v>3</v>
      </c>
      <c r="Q60" s="1">
        <v>2.72</v>
      </c>
      <c r="R60" s="1">
        <v>1.43</v>
      </c>
      <c r="S60" s="1">
        <v>1.5</v>
      </c>
      <c r="T60" s="1">
        <v>1.5</v>
      </c>
      <c r="U60" s="1">
        <v>0.15</v>
      </c>
      <c r="V60" s="1">
        <v>0</v>
      </c>
      <c r="W60" s="1">
        <v>1.81</v>
      </c>
      <c r="X60" s="1">
        <v>-2.46</v>
      </c>
      <c r="Y60" s="1" t="s">
        <v>1109</v>
      </c>
      <c r="Z60" s="1" t="s">
        <v>1381</v>
      </c>
      <c r="AA60" s="1" t="s">
        <v>887</v>
      </c>
      <c r="AB60" s="1">
        <v>0</v>
      </c>
      <c r="AC60" s="1" t="s">
        <v>1621</v>
      </c>
      <c r="AH60" s="1">
        <v>4.5</v>
      </c>
      <c r="AI60" s="1">
        <v>5</v>
      </c>
      <c r="AJ60" s="1">
        <v>8</v>
      </c>
      <c r="AK60" s="1">
        <v>9.5</v>
      </c>
      <c r="AL60" s="1" t="s">
        <v>1744</v>
      </c>
    </row>
    <row r="61" spans="1:38">
      <c r="A61" s="1" t="s">
        <v>85</v>
      </c>
      <c r="B61" s="1" t="s">
        <v>614</v>
      </c>
      <c r="C61" s="1" t="s">
        <v>646</v>
      </c>
      <c r="D61" s="1" t="s">
        <v>652</v>
      </c>
      <c r="E61" s="1" t="s">
        <v>678</v>
      </c>
      <c r="F61" s="1" t="s">
        <v>834</v>
      </c>
      <c r="G61" s="1" t="s">
        <v>854</v>
      </c>
      <c r="H61" s="1">
        <f>HYPERLINK("https://waterdata.usgs.gov/nwis/nwismap/?site_no=01100870&amp;agency_cd=USGS", "US01100870")</f>
        <v>0</v>
      </c>
      <c r="I61" s="1">
        <v>-70.87283001</v>
      </c>
      <c r="J61" s="1">
        <v>42.8156381</v>
      </c>
      <c r="K61" s="1" t="s">
        <v>861</v>
      </c>
      <c r="L61" s="1" t="s">
        <v>867</v>
      </c>
      <c r="M61" s="1" t="s">
        <v>874</v>
      </c>
      <c r="N61" s="2">
        <f>HYPERLINK("https://waterservices.usgs.gov/nwis/site/?site=01100870&amp;format=rdb", "Datum Info")</f>
        <v>0</v>
      </c>
      <c r="O61" s="1" t="s">
        <v>887</v>
      </c>
      <c r="W61" s="1" t="s">
        <v>956</v>
      </c>
    </row>
    <row r="62" spans="1:38">
      <c r="A62" s="1" t="s">
        <v>86</v>
      </c>
      <c r="B62" s="1" t="s">
        <v>614</v>
      </c>
      <c r="C62" s="1" t="s">
        <v>646</v>
      </c>
      <c r="D62" s="1" t="s">
        <v>652</v>
      </c>
      <c r="E62" s="1" t="s">
        <v>685</v>
      </c>
      <c r="F62" s="1" t="s">
        <v>835</v>
      </c>
      <c r="G62" s="1" t="s">
        <v>854</v>
      </c>
      <c r="H62" s="1">
        <f>HYPERLINK("https://waterdata.usgs.gov/nwis/nwismap/?site_no=01118500&amp;agency_cd=USGS", "US01118500")</f>
        <v>0</v>
      </c>
      <c r="I62" s="1">
        <v>-71.83312391</v>
      </c>
      <c r="J62" s="1">
        <v>41.38370219</v>
      </c>
      <c r="K62" s="1" t="s">
        <v>861</v>
      </c>
      <c r="L62" s="1" t="s">
        <v>867</v>
      </c>
      <c r="M62" s="1" t="s">
        <v>874</v>
      </c>
      <c r="N62" s="2">
        <f>HYPERLINK("https://waterservices.usgs.gov/nwis/site/?site=01118500&amp;format=rdb", "Datum Info")</f>
        <v>0</v>
      </c>
      <c r="O62" s="1" t="s">
        <v>887</v>
      </c>
      <c r="W62" s="1" t="s">
        <v>967</v>
      </c>
      <c r="AA62" s="1" t="s">
        <v>887</v>
      </c>
      <c r="AB62" s="1">
        <v>-2.68</v>
      </c>
      <c r="AC62" s="1" t="s">
        <v>1311</v>
      </c>
      <c r="AH62" s="1">
        <v>6</v>
      </c>
      <c r="AI62" s="1">
        <v>7</v>
      </c>
      <c r="AJ62" s="1">
        <v>9</v>
      </c>
      <c r="AK62" s="1">
        <v>11</v>
      </c>
      <c r="AL62" s="1" t="s">
        <v>1744</v>
      </c>
    </row>
    <row r="63" spans="1:38">
      <c r="A63" s="1" t="s">
        <v>87</v>
      </c>
      <c r="B63" s="1" t="s">
        <v>615</v>
      </c>
      <c r="D63" s="1" t="s">
        <v>652</v>
      </c>
      <c r="H63" s="1">
        <f>HYPERLINK("https://tidesandcurrents.noaa.gov/stationhome.html?id=8410140", "8410140")</f>
        <v>0</v>
      </c>
      <c r="I63" s="1">
        <v>-66.9829</v>
      </c>
      <c r="J63" s="1">
        <v>44.9046</v>
      </c>
      <c r="K63" s="1" t="s">
        <v>860</v>
      </c>
      <c r="L63" s="1" t="s">
        <v>866</v>
      </c>
      <c r="M63" s="1" t="s">
        <v>874</v>
      </c>
      <c r="N63" s="2">
        <f>HYPERLINK("https://tidesandcurrents.noaa.gov/datums.html?datum=MLLW&amp;units=0&amp;epoch=0&amp;id=8410140", "Datum Info")</f>
        <v>0</v>
      </c>
      <c r="O63" s="1" t="s">
        <v>886</v>
      </c>
      <c r="P63" s="1">
        <v>19.27</v>
      </c>
      <c r="Q63" s="1">
        <v>18.79</v>
      </c>
      <c r="R63" s="1">
        <v>9.619999999999999</v>
      </c>
      <c r="S63" s="1">
        <v>9.699999999999999</v>
      </c>
      <c r="T63" s="1">
        <v>9.630000000000001</v>
      </c>
      <c r="U63" s="1">
        <v>0.44</v>
      </c>
      <c r="V63" s="1">
        <v>0</v>
      </c>
      <c r="W63" s="1">
        <v>9.93</v>
      </c>
      <c r="X63" s="1">
        <v>-4.8</v>
      </c>
      <c r="Y63" s="1" t="s">
        <v>1110</v>
      </c>
      <c r="Z63" s="1" t="s">
        <v>1382</v>
      </c>
    </row>
    <row r="64" spans="1:38">
      <c r="A64" s="1" t="s">
        <v>88</v>
      </c>
      <c r="B64" s="1" t="s">
        <v>615</v>
      </c>
      <c r="D64" s="1" t="s">
        <v>652</v>
      </c>
      <c r="E64" s="1" t="s">
        <v>685</v>
      </c>
      <c r="F64" s="1" t="s">
        <v>836</v>
      </c>
      <c r="G64" s="1" t="s">
        <v>854</v>
      </c>
      <c r="H64" s="1">
        <f>HYPERLINK("https://tidesandcurrents.noaa.gov/stationhome.html?id=8410834", "8410834")</f>
        <v>0</v>
      </c>
      <c r="I64" s="1">
        <v>-67.1447</v>
      </c>
      <c r="J64" s="1">
        <v>45.1284</v>
      </c>
      <c r="K64" s="1" t="s">
        <v>861</v>
      </c>
      <c r="L64" s="1" t="s">
        <v>866</v>
      </c>
      <c r="M64" s="1" t="s">
        <v>874</v>
      </c>
      <c r="N64" s="2">
        <f>HYPERLINK("https://tidesandcurrents.noaa.gov/datums.html?datum=MLLW&amp;units=0&amp;epoch=0&amp;id=8410834", "Datum Info")</f>
        <v>0</v>
      </c>
      <c r="O64" s="1" t="s">
        <v>886</v>
      </c>
      <c r="P64" s="1">
        <v>20.52</v>
      </c>
      <c r="Q64" s="1">
        <v>20.03</v>
      </c>
      <c r="R64" s="1">
        <v>10.24</v>
      </c>
      <c r="S64" s="1">
        <v>10.27</v>
      </c>
      <c r="T64" s="1">
        <v>10.26</v>
      </c>
      <c r="U64" s="1">
        <v>0.46</v>
      </c>
      <c r="V64" s="1">
        <v>0</v>
      </c>
      <c r="X64" s="1">
        <v>-7.89</v>
      </c>
    </row>
    <row r="65" spans="1:38">
      <c r="A65" s="1" t="s">
        <v>89</v>
      </c>
      <c r="B65" s="1" t="s">
        <v>615</v>
      </c>
      <c r="C65" s="1" t="s">
        <v>646</v>
      </c>
      <c r="D65" s="1" t="s">
        <v>652</v>
      </c>
      <c r="E65" s="1" t="s">
        <v>685</v>
      </c>
      <c r="F65" s="1" t="s">
        <v>836</v>
      </c>
      <c r="G65" s="1" t="s">
        <v>854</v>
      </c>
      <c r="H65" s="1">
        <f>HYPERLINK("https://tidesandcurrents.noaa.gov/stationhome.html?id=8411060", "8411060")</f>
        <v>0</v>
      </c>
      <c r="I65" s="1">
        <v>-67.2047</v>
      </c>
      <c r="J65" s="1">
        <v>44.65703</v>
      </c>
      <c r="K65" s="1" t="s">
        <v>860</v>
      </c>
      <c r="L65" s="1" t="s">
        <v>866</v>
      </c>
      <c r="M65" s="1" t="s">
        <v>874</v>
      </c>
      <c r="N65" s="2">
        <f>HYPERLINK("https://tidesandcurrents.noaa.gov/datums.html?datum=MLLW&amp;units=0&amp;epoch=0&amp;id=8411060", "Datum Info")</f>
        <v>0</v>
      </c>
      <c r="O65" s="1" t="s">
        <v>886</v>
      </c>
      <c r="P65" s="1">
        <v>14.56</v>
      </c>
      <c r="Q65" s="1">
        <v>14.11</v>
      </c>
      <c r="R65" s="1">
        <v>7.25</v>
      </c>
      <c r="S65" s="1">
        <v>7.19</v>
      </c>
      <c r="T65" s="1">
        <v>7.28</v>
      </c>
      <c r="U65" s="1">
        <v>0.4</v>
      </c>
      <c r="V65" s="1">
        <v>0</v>
      </c>
      <c r="W65" s="1">
        <v>7.52</v>
      </c>
      <c r="X65" s="1">
        <v>-5.47</v>
      </c>
      <c r="Y65" s="1" t="s">
        <v>1111</v>
      </c>
      <c r="Z65" s="1" t="s">
        <v>1383</v>
      </c>
    </row>
    <row r="66" spans="1:38">
      <c r="A66" s="1" t="s">
        <v>90</v>
      </c>
      <c r="B66" s="1" t="s">
        <v>615</v>
      </c>
      <c r="C66" s="1" t="s">
        <v>646</v>
      </c>
      <c r="D66" s="1" t="s">
        <v>652</v>
      </c>
      <c r="H66" s="1">
        <f>HYPERLINK("https://tidesandcurrents.noaa.gov/stationhome.html?id=8411696", "8411696")</f>
        <v>0</v>
      </c>
      <c r="I66" s="1">
        <v>-67.4967</v>
      </c>
      <c r="J66" s="1">
        <v>44.615</v>
      </c>
      <c r="K66" s="1" t="s">
        <v>861</v>
      </c>
      <c r="L66" s="1" t="s">
        <v>866</v>
      </c>
      <c r="M66" s="1" t="s">
        <v>874</v>
      </c>
      <c r="N66" s="2">
        <f>HYPERLINK("https://tidesandcurrents.noaa.gov/datums.html?datum=MLLW&amp;units=0&amp;epoch=0&amp;id=8411696", "Datum Info")</f>
        <v>0</v>
      </c>
    </row>
    <row r="67" spans="1:38">
      <c r="A67" s="1" t="s">
        <v>91</v>
      </c>
      <c r="B67" s="1" t="s">
        <v>615</v>
      </c>
      <c r="C67" s="1" t="s">
        <v>646</v>
      </c>
      <c r="D67" s="1" t="s">
        <v>652</v>
      </c>
      <c r="E67" s="1" t="s">
        <v>685</v>
      </c>
      <c r="F67" s="1" t="s">
        <v>836</v>
      </c>
      <c r="G67" s="1" t="s">
        <v>854</v>
      </c>
      <c r="H67" s="1">
        <f>HYPERLINK("https://tidesandcurrents.noaa.gov/stationhome.html?id=8412581", "8412581")</f>
        <v>0</v>
      </c>
      <c r="I67" s="1">
        <v>-67.875</v>
      </c>
      <c r="J67" s="1">
        <v>44.54</v>
      </c>
      <c r="K67" s="1" t="s">
        <v>861</v>
      </c>
      <c r="L67" s="1" t="s">
        <v>866</v>
      </c>
      <c r="M67" s="1" t="s">
        <v>874</v>
      </c>
      <c r="N67" s="2">
        <f>HYPERLINK("https://tidesandcurrents.noaa.gov/datums.html?datum=MLLW&amp;units=0&amp;epoch=0&amp;id=8412581", "Datum Info")</f>
        <v>0</v>
      </c>
      <c r="O67" s="1" t="s">
        <v>886</v>
      </c>
      <c r="P67" s="1">
        <v>12.12</v>
      </c>
      <c r="Q67" s="1">
        <v>11.69</v>
      </c>
      <c r="R67" s="1">
        <v>6.03</v>
      </c>
      <c r="S67" s="1">
        <v>6.08</v>
      </c>
      <c r="T67" s="1">
        <v>6.06</v>
      </c>
      <c r="U67" s="1">
        <v>0.38</v>
      </c>
      <c r="V67" s="1">
        <v>0</v>
      </c>
      <c r="W67" s="1">
        <v>6.26</v>
      </c>
      <c r="X67" s="1">
        <v>-12.28</v>
      </c>
      <c r="Y67" s="1" t="s">
        <v>1112</v>
      </c>
      <c r="Z67" s="1" t="s">
        <v>1384</v>
      </c>
    </row>
    <row r="68" spans="1:38">
      <c r="A68" s="1" t="s">
        <v>92</v>
      </c>
      <c r="B68" s="1" t="s">
        <v>615</v>
      </c>
      <c r="D68" s="1" t="s">
        <v>652</v>
      </c>
      <c r="H68" s="1">
        <f>HYPERLINK("https://tidesandcurrents.noaa.gov/stationhome.html?id=8413320", "8413320")</f>
        <v>0</v>
      </c>
      <c r="I68" s="1">
        <v>-68.2043</v>
      </c>
      <c r="J68" s="1">
        <v>44.39219</v>
      </c>
      <c r="K68" s="1" t="s">
        <v>860</v>
      </c>
      <c r="L68" s="1" t="s">
        <v>866</v>
      </c>
      <c r="M68" s="1" t="s">
        <v>874</v>
      </c>
      <c r="N68" s="2">
        <f>HYPERLINK("https://tidesandcurrents.noaa.gov/datums.html?datum=MLLW&amp;units=0&amp;epoch=0&amp;id=8413320", "Datum Info")</f>
        <v>0</v>
      </c>
      <c r="O68" s="1" t="s">
        <v>886</v>
      </c>
      <c r="P68" s="1">
        <v>11.37</v>
      </c>
      <c r="Q68" s="1">
        <v>10.95</v>
      </c>
      <c r="R68" s="1">
        <v>5.66</v>
      </c>
      <c r="S68" s="1">
        <v>5.67</v>
      </c>
      <c r="T68" s="1">
        <v>5.69</v>
      </c>
      <c r="U68" s="1">
        <v>0.38</v>
      </c>
      <c r="V68" s="1">
        <v>0</v>
      </c>
      <c r="W68" s="1" t="s">
        <v>968</v>
      </c>
      <c r="X68" s="1">
        <v>-3.47</v>
      </c>
      <c r="Y68" s="1" t="s">
        <v>1113</v>
      </c>
      <c r="Z68" s="1" t="s">
        <v>1385</v>
      </c>
    </row>
    <row r="69" spans="1:38">
      <c r="A69" s="1" t="s">
        <v>93</v>
      </c>
      <c r="B69" s="1" t="s">
        <v>615</v>
      </c>
      <c r="D69" s="1" t="s">
        <v>652</v>
      </c>
      <c r="H69" s="1" t="s">
        <v>859</v>
      </c>
      <c r="I69" s="1">
        <v>-68.68000000000001</v>
      </c>
      <c r="J69" s="1">
        <v>44.28</v>
      </c>
      <c r="K69" s="1" t="s">
        <v>861</v>
      </c>
      <c r="L69" s="1" t="s">
        <v>859</v>
      </c>
      <c r="M69" s="1" t="s">
        <v>874</v>
      </c>
    </row>
    <row r="70" spans="1:38">
      <c r="A70" s="1" t="s">
        <v>94</v>
      </c>
      <c r="B70" s="1" t="s">
        <v>615</v>
      </c>
      <c r="C70" s="1" t="s">
        <v>646</v>
      </c>
      <c r="D70" s="1" t="s">
        <v>652</v>
      </c>
      <c r="E70" s="1" t="s">
        <v>685</v>
      </c>
      <c r="F70" s="1" t="s">
        <v>836</v>
      </c>
      <c r="G70" s="1" t="s">
        <v>854</v>
      </c>
      <c r="H70" s="1" t="s">
        <v>859</v>
      </c>
      <c r="I70" s="1">
        <v>-67.45</v>
      </c>
      <c r="J70" s="1">
        <v>44.72</v>
      </c>
      <c r="K70" s="1" t="s">
        <v>861</v>
      </c>
      <c r="L70" s="1" t="s">
        <v>859</v>
      </c>
      <c r="M70" s="1" t="s">
        <v>874</v>
      </c>
    </row>
    <row r="71" spans="1:38">
      <c r="A71" s="1" t="s">
        <v>95</v>
      </c>
      <c r="B71" s="1" t="s">
        <v>615</v>
      </c>
      <c r="C71" s="1" t="s">
        <v>646</v>
      </c>
      <c r="D71" s="1" t="s">
        <v>652</v>
      </c>
      <c r="E71" s="1" t="s">
        <v>686</v>
      </c>
      <c r="F71" s="1" t="s">
        <v>836</v>
      </c>
      <c r="G71" s="1" t="s">
        <v>854</v>
      </c>
      <c r="H71" s="1">
        <f>HYPERLINK("https://waterdata.usgs.gov/nwis/nwismap/?site_no=01037050&amp;agency_cd=USGS", "US01037050")</f>
        <v>0</v>
      </c>
      <c r="I71" s="1">
        <v>-68.76777781</v>
      </c>
      <c r="J71" s="1">
        <v>44.7963797</v>
      </c>
      <c r="K71" s="1" t="s">
        <v>861</v>
      </c>
      <c r="L71" s="1" t="s">
        <v>867</v>
      </c>
      <c r="M71" s="1" t="s">
        <v>874</v>
      </c>
      <c r="N71" s="2">
        <f>HYPERLINK("https://waterservices.usgs.gov/nwis/site/?site=01037050&amp;format=rdb", "Datum Info")</f>
        <v>0</v>
      </c>
      <c r="O71" s="1" t="s">
        <v>887</v>
      </c>
      <c r="W71" s="1" t="s">
        <v>958</v>
      </c>
      <c r="AA71" s="1" t="s">
        <v>887</v>
      </c>
      <c r="AB71" s="1">
        <v>0</v>
      </c>
      <c r="AC71" s="1" t="s">
        <v>1427</v>
      </c>
      <c r="AH71" s="1">
        <v>10</v>
      </c>
      <c r="AI71" s="1">
        <v>11.6</v>
      </c>
      <c r="AJ71" s="1">
        <v>13</v>
      </c>
      <c r="AK71" s="1">
        <v>15</v>
      </c>
      <c r="AL71" s="1" t="s">
        <v>1744</v>
      </c>
    </row>
    <row r="72" spans="1:38">
      <c r="A72" s="1" t="s">
        <v>96</v>
      </c>
      <c r="B72" s="1" t="s">
        <v>616</v>
      </c>
      <c r="D72" s="1" t="s">
        <v>652</v>
      </c>
      <c r="H72" s="1">
        <f>HYPERLINK("https://tidesandcurrents.noaa.gov/stationhome.html?id=8665530", "8665530")</f>
        <v>0</v>
      </c>
      <c r="I72" s="1">
        <v>-79.92359999999999</v>
      </c>
      <c r="J72" s="1">
        <v>32.78083</v>
      </c>
      <c r="K72" s="1" t="s">
        <v>860</v>
      </c>
      <c r="L72" s="1" t="s">
        <v>866</v>
      </c>
      <c r="M72" s="1" t="s">
        <v>874</v>
      </c>
      <c r="N72" s="2">
        <f>HYPERLINK("https://tidesandcurrents.noaa.gov/datums.html?datum=MLLW&amp;units=0&amp;epoch=0&amp;id=8665530", "Datum Info")</f>
        <v>0</v>
      </c>
      <c r="O72" s="1" t="s">
        <v>886</v>
      </c>
      <c r="P72" s="1">
        <v>5.76</v>
      </c>
      <c r="Q72" s="1">
        <v>5.4</v>
      </c>
      <c r="R72" s="1">
        <v>2.79</v>
      </c>
      <c r="S72" s="1">
        <v>2.92</v>
      </c>
      <c r="T72" s="1">
        <v>2.88</v>
      </c>
      <c r="U72" s="1">
        <v>0.18</v>
      </c>
      <c r="V72" s="1">
        <v>0</v>
      </c>
      <c r="W72" s="1">
        <v>3.14</v>
      </c>
      <c r="X72" s="1">
        <v>-2.77</v>
      </c>
      <c r="Y72" s="1" t="s">
        <v>1114</v>
      </c>
      <c r="Z72" s="1" t="s">
        <v>1386</v>
      </c>
    </row>
    <row r="73" spans="1:38">
      <c r="A73" s="1" t="s">
        <v>97</v>
      </c>
      <c r="B73" s="1" t="s">
        <v>616</v>
      </c>
      <c r="C73" s="1" t="s">
        <v>645</v>
      </c>
      <c r="D73" s="1" t="s">
        <v>652</v>
      </c>
      <c r="E73" s="1" t="s">
        <v>687</v>
      </c>
      <c r="F73" s="1" t="s">
        <v>837</v>
      </c>
      <c r="G73" s="1" t="s">
        <v>854</v>
      </c>
      <c r="H73" s="1">
        <f>HYPERLINK("https://tidesandcurrents.noaa.gov/stationhome.html?id=8667062", "8667062")</f>
        <v>0</v>
      </c>
      <c r="I73" s="1">
        <v>-80.1317</v>
      </c>
      <c r="J73" s="1">
        <v>32.6033</v>
      </c>
      <c r="K73" s="1" t="s">
        <v>860</v>
      </c>
      <c r="L73" s="1" t="s">
        <v>866</v>
      </c>
      <c r="M73" s="1" t="s">
        <v>874</v>
      </c>
      <c r="N73" s="2">
        <f>HYPERLINK("https://tidesandcurrents.noaa.gov/datums.html?datum=MLLW&amp;units=0&amp;epoch=0&amp;id=8667062", "Datum Info")</f>
        <v>0</v>
      </c>
      <c r="O73" s="1" t="s">
        <v>886</v>
      </c>
      <c r="P73" s="1">
        <v>6.16</v>
      </c>
      <c r="Q73" s="1">
        <v>5.77</v>
      </c>
      <c r="R73" s="1">
        <v>2.97</v>
      </c>
      <c r="S73" s="1">
        <v>3.09</v>
      </c>
      <c r="T73" s="1">
        <v>3.08</v>
      </c>
      <c r="U73" s="1">
        <v>0.18</v>
      </c>
      <c r="V73" s="1">
        <v>0</v>
      </c>
      <c r="W73" s="1">
        <v>3.28</v>
      </c>
      <c r="X73" s="1">
        <v>-1.76</v>
      </c>
      <c r="Y73" s="1" t="s">
        <v>1115</v>
      </c>
      <c r="Z73" s="1" t="s">
        <v>1387</v>
      </c>
    </row>
    <row r="74" spans="1:38">
      <c r="A74" s="1" t="s">
        <v>98</v>
      </c>
      <c r="B74" s="1" t="s">
        <v>616</v>
      </c>
      <c r="C74" s="1" t="s">
        <v>645</v>
      </c>
      <c r="D74" s="1" t="s">
        <v>652</v>
      </c>
      <c r="E74" s="1" t="s">
        <v>687</v>
      </c>
      <c r="F74" s="1" t="s">
        <v>837</v>
      </c>
      <c r="G74" s="1" t="s">
        <v>854</v>
      </c>
      <c r="H74" s="1">
        <f>HYPERLINK("https://tidesandcurrents.noaa.gov/stationhome.html?id=8667425", "8667425")</f>
        <v>0</v>
      </c>
      <c r="I74" s="1">
        <v>-80.34</v>
      </c>
      <c r="J74" s="1">
        <v>32.54</v>
      </c>
      <c r="K74" s="1" t="s">
        <v>860</v>
      </c>
      <c r="L74" s="1" t="s">
        <v>866</v>
      </c>
      <c r="M74" s="1" t="s">
        <v>874</v>
      </c>
      <c r="N74" s="2">
        <f>HYPERLINK("https://tidesandcurrents.noaa.gov/datums.html?datum=MLLW&amp;units=0&amp;epoch=0&amp;id=8667425", "Datum Info")</f>
        <v>0</v>
      </c>
      <c r="O74" s="1" t="s">
        <v>886</v>
      </c>
      <c r="P74" s="1">
        <v>6.66</v>
      </c>
      <c r="Q74" s="1">
        <v>6.29</v>
      </c>
      <c r="R74" s="1">
        <v>3.25</v>
      </c>
      <c r="S74" s="1">
        <v>3.53</v>
      </c>
      <c r="T74" s="1">
        <v>3.33</v>
      </c>
      <c r="U74" s="1">
        <v>0.21</v>
      </c>
      <c r="V74" s="1">
        <v>0</v>
      </c>
      <c r="W74" s="1">
        <v>3.65</v>
      </c>
      <c r="X74" s="1">
        <v>-1.37</v>
      </c>
      <c r="Y74" s="1" t="s">
        <v>1116</v>
      </c>
      <c r="Z74" s="1" t="s">
        <v>1388</v>
      </c>
    </row>
    <row r="75" spans="1:38">
      <c r="A75" s="1" t="s">
        <v>99</v>
      </c>
      <c r="B75" s="1" t="s">
        <v>616</v>
      </c>
      <c r="D75" s="1" t="s">
        <v>652</v>
      </c>
      <c r="E75" s="1" t="s">
        <v>688</v>
      </c>
      <c r="F75" s="1" t="s">
        <v>837</v>
      </c>
      <c r="G75" s="1" t="s">
        <v>854</v>
      </c>
      <c r="H75" s="1">
        <f>HYPERLINK("https://tidesandcurrents.noaa.gov/stationhome.html?id=8668918", "8668918")</f>
        <v>0</v>
      </c>
      <c r="I75" s="1">
        <v>-80.7367</v>
      </c>
      <c r="J75" s="1">
        <v>32.2667</v>
      </c>
      <c r="K75" s="1" t="s">
        <v>861</v>
      </c>
      <c r="L75" s="1" t="s">
        <v>866</v>
      </c>
      <c r="M75" s="1" t="s">
        <v>874</v>
      </c>
      <c r="N75" s="2">
        <f>HYPERLINK("https://tidesandcurrents.noaa.gov/datums.html?datum=MLLW&amp;units=0&amp;epoch=0&amp;id=8668918", "Datum Info")</f>
        <v>0</v>
      </c>
      <c r="O75" s="1" t="s">
        <v>886</v>
      </c>
      <c r="P75" s="1">
        <v>7.39</v>
      </c>
      <c r="Q75" s="1">
        <v>7.03</v>
      </c>
      <c r="R75" s="1">
        <v>3.62</v>
      </c>
      <c r="S75" s="1">
        <v>3.89</v>
      </c>
      <c r="T75" s="1">
        <v>3.7</v>
      </c>
      <c r="U75" s="1">
        <v>0.2</v>
      </c>
      <c r="V75" s="1">
        <v>0</v>
      </c>
      <c r="W75" s="1" t="s">
        <v>969</v>
      </c>
      <c r="X75" s="1">
        <v>-2.06</v>
      </c>
      <c r="Y75" s="1" t="s">
        <v>1117</v>
      </c>
      <c r="Z75" s="1" t="s">
        <v>1094</v>
      </c>
      <c r="AA75" s="1" t="s">
        <v>886</v>
      </c>
      <c r="AB75" s="1">
        <v>0</v>
      </c>
      <c r="AC75" s="1" t="s">
        <v>1622</v>
      </c>
      <c r="AD75" s="1" t="s">
        <v>1683</v>
      </c>
      <c r="AE75" s="1" t="s">
        <v>1697</v>
      </c>
      <c r="AF75" s="1" t="s">
        <v>1706</v>
      </c>
      <c r="AG75" s="1" t="s">
        <v>1683</v>
      </c>
      <c r="AH75" s="1">
        <v>0</v>
      </c>
      <c r="AI75" s="1">
        <v>0</v>
      </c>
      <c r="AJ75" s="1">
        <v>0</v>
      </c>
      <c r="AK75" s="1">
        <v>0</v>
      </c>
      <c r="AL75" s="1" t="s">
        <v>1744</v>
      </c>
    </row>
    <row r="76" spans="1:38">
      <c r="A76" s="1" t="s">
        <v>100</v>
      </c>
      <c r="B76" s="1" t="s">
        <v>616</v>
      </c>
      <c r="D76" s="1" t="s">
        <v>652</v>
      </c>
      <c r="E76" s="1" t="s">
        <v>689</v>
      </c>
      <c r="F76" s="1" t="s">
        <v>837</v>
      </c>
      <c r="G76" s="1" t="s">
        <v>854</v>
      </c>
      <c r="H76" s="1">
        <f>HYPERLINK("https://tidesandcurrents.noaa.gov/stationhome.html?id=8670870", "8670870")</f>
        <v>0</v>
      </c>
      <c r="I76" s="1">
        <v>-80.90170000000001</v>
      </c>
      <c r="J76" s="1">
        <v>32.0367</v>
      </c>
      <c r="K76" s="1" t="s">
        <v>860</v>
      </c>
      <c r="L76" s="1" t="s">
        <v>866</v>
      </c>
      <c r="M76" s="1" t="s">
        <v>874</v>
      </c>
      <c r="N76" s="2">
        <f>HYPERLINK("https://tidesandcurrents.noaa.gov/datums.html?datum=MLLW&amp;units=0&amp;epoch=0&amp;id=8670870", "Datum Info")</f>
        <v>0</v>
      </c>
      <c r="O76" s="1" t="s">
        <v>886</v>
      </c>
      <c r="P76" s="1">
        <v>7.5</v>
      </c>
      <c r="Q76" s="1">
        <v>7.13</v>
      </c>
      <c r="R76" s="1">
        <v>3.67</v>
      </c>
      <c r="S76" s="1">
        <v>3.82</v>
      </c>
      <c r="T76" s="1">
        <v>3.75</v>
      </c>
      <c r="U76" s="1">
        <v>0.21</v>
      </c>
      <c r="V76" s="1">
        <v>0</v>
      </c>
      <c r="W76" s="1">
        <v>4.05</v>
      </c>
      <c r="X76" s="1">
        <v>-3.5</v>
      </c>
      <c r="Y76" s="1" t="s">
        <v>1118</v>
      </c>
      <c r="Z76" s="1" t="s">
        <v>1389</v>
      </c>
    </row>
    <row r="77" spans="1:38">
      <c r="A77" s="1" t="s">
        <v>101</v>
      </c>
      <c r="B77" s="1" t="s">
        <v>616</v>
      </c>
      <c r="C77" s="1" t="s">
        <v>645</v>
      </c>
      <c r="D77" s="1" t="s">
        <v>652</v>
      </c>
      <c r="E77" s="1" t="s">
        <v>690</v>
      </c>
      <c r="F77" s="1" t="s">
        <v>838</v>
      </c>
      <c r="G77" s="1" t="s">
        <v>854</v>
      </c>
      <c r="H77" s="1">
        <f>HYPERLINK("https://tidesandcurrents.noaa.gov/stationhome.html?id=8675245", "8675245")</f>
        <v>0</v>
      </c>
      <c r="I77" s="1">
        <v>-81.34332999999999</v>
      </c>
      <c r="J77" s="1">
        <v>31.44666</v>
      </c>
      <c r="K77" s="1" t="s">
        <v>861</v>
      </c>
      <c r="L77" s="1" t="s">
        <v>866</v>
      </c>
      <c r="M77" s="1" t="s">
        <v>874</v>
      </c>
      <c r="N77" s="2">
        <f>HYPERLINK("https://tidesandcurrents.noaa.gov/datums.html?datum=MLLW&amp;units=0&amp;epoch=0&amp;id=8675245", "Datum Info")</f>
        <v>0</v>
      </c>
      <c r="AA77" s="1" t="s">
        <v>886</v>
      </c>
      <c r="AB77" s="1">
        <v>0</v>
      </c>
      <c r="AC77" s="1" t="s">
        <v>1623</v>
      </c>
      <c r="AD77" s="1" t="s">
        <v>1684</v>
      </c>
      <c r="AE77" s="1" t="s">
        <v>1698</v>
      </c>
      <c r="AF77" s="1" t="s">
        <v>1707</v>
      </c>
      <c r="AG77" s="1" t="s">
        <v>1684</v>
      </c>
      <c r="AH77" s="1">
        <v>9.699999999999999</v>
      </c>
      <c r="AI77" s="1">
        <v>10.2</v>
      </c>
      <c r="AJ77" s="1">
        <v>10.7</v>
      </c>
      <c r="AK77" s="1">
        <v>11.2</v>
      </c>
      <c r="AL77" s="1" t="s">
        <v>1744</v>
      </c>
    </row>
    <row r="78" spans="1:38">
      <c r="A78" s="1" t="s">
        <v>102</v>
      </c>
      <c r="B78" s="1" t="s">
        <v>616</v>
      </c>
      <c r="C78" s="1" t="s">
        <v>645</v>
      </c>
      <c r="D78" s="1" t="s">
        <v>652</v>
      </c>
      <c r="E78" s="1" t="s">
        <v>690</v>
      </c>
      <c r="F78" s="1" t="s">
        <v>838</v>
      </c>
      <c r="G78" s="1" t="s">
        <v>854</v>
      </c>
      <c r="H78" s="1">
        <f>HYPERLINK("https://tidesandcurrents.noaa.gov/stationhome.html?id=8675365", "8675365")</f>
        <v>0</v>
      </c>
      <c r="I78" s="1">
        <v>-81.29000000000001</v>
      </c>
      <c r="J78" s="1">
        <v>31.42</v>
      </c>
      <c r="K78" s="1" t="s">
        <v>860</v>
      </c>
      <c r="L78" s="1" t="s">
        <v>866</v>
      </c>
      <c r="M78" s="1" t="s">
        <v>874</v>
      </c>
      <c r="N78" s="2">
        <f>HYPERLINK("https://tidesandcurrents.noaa.gov/datums.html?datum=MLLW&amp;units=0&amp;epoch=0&amp;id=8675365", "Datum Info")</f>
        <v>0</v>
      </c>
    </row>
    <row r="79" spans="1:38">
      <c r="A79" s="1" t="s">
        <v>103</v>
      </c>
      <c r="B79" s="1" t="s">
        <v>616</v>
      </c>
      <c r="C79" s="1" t="s">
        <v>645</v>
      </c>
      <c r="D79" s="1" t="s">
        <v>652</v>
      </c>
      <c r="E79" s="1" t="s">
        <v>687</v>
      </c>
      <c r="F79" s="1" t="s">
        <v>837</v>
      </c>
      <c r="G79" s="1" t="s">
        <v>854</v>
      </c>
      <c r="H79" s="1">
        <f>HYPERLINK("https://waterdata.usgs.gov/nwis/nwismap/?site_no=02171905&amp;agency_cd=USGS", "US02171905")</f>
        <v>0</v>
      </c>
      <c r="I79" s="1">
        <v>-79.35422101</v>
      </c>
      <c r="J79" s="1">
        <v>33.15432787</v>
      </c>
      <c r="K79" s="1" t="s">
        <v>861</v>
      </c>
      <c r="L79" s="1" t="s">
        <v>867</v>
      </c>
      <c r="M79" s="1" t="s">
        <v>874</v>
      </c>
      <c r="N79" s="2">
        <f>HYPERLINK("https://waterservices.usgs.gov/nwis/site/?site=02171905&amp;format=rdb", "Datum Info")</f>
        <v>0</v>
      </c>
      <c r="O79" s="1" t="s">
        <v>887</v>
      </c>
      <c r="P79" s="1" t="s">
        <v>903</v>
      </c>
      <c r="Q79" s="1" t="s">
        <v>910</v>
      </c>
      <c r="R79" s="1" t="s">
        <v>917</v>
      </c>
      <c r="T79" s="1" t="s">
        <v>924</v>
      </c>
      <c r="U79" s="1" t="s">
        <v>932</v>
      </c>
      <c r="V79" s="1" t="s">
        <v>939</v>
      </c>
      <c r="W79" s="1" t="s">
        <v>970</v>
      </c>
      <c r="Y79" s="1" t="s">
        <v>1119</v>
      </c>
      <c r="Z79" s="1" t="s">
        <v>1390</v>
      </c>
      <c r="AA79" s="1" t="s">
        <v>886</v>
      </c>
      <c r="AB79" s="1">
        <v>0</v>
      </c>
      <c r="AC79" s="1" t="s">
        <v>1624</v>
      </c>
      <c r="AD79" s="1" t="s">
        <v>1685</v>
      </c>
      <c r="AE79" s="1" t="s">
        <v>1699</v>
      </c>
      <c r="AF79" s="1" t="s">
        <v>1708</v>
      </c>
      <c r="AG79" s="1" t="s">
        <v>1685</v>
      </c>
      <c r="AH79" s="1">
        <v>0</v>
      </c>
      <c r="AI79" s="1">
        <v>0</v>
      </c>
      <c r="AJ79" s="1">
        <v>0</v>
      </c>
      <c r="AK79" s="1">
        <v>0</v>
      </c>
      <c r="AL79" s="1" t="s">
        <v>1744</v>
      </c>
    </row>
    <row r="80" spans="1:38">
      <c r="A80" s="1" t="s">
        <v>104</v>
      </c>
      <c r="B80" s="1" t="s">
        <v>616</v>
      </c>
      <c r="C80" s="1" t="s">
        <v>645</v>
      </c>
      <c r="D80" s="1" t="s">
        <v>652</v>
      </c>
      <c r="E80" s="1" t="s">
        <v>691</v>
      </c>
      <c r="F80" s="1" t="s">
        <v>837</v>
      </c>
      <c r="G80" s="1" t="s">
        <v>854</v>
      </c>
      <c r="H80" s="1">
        <f>HYPERLINK("https://waterdata.usgs.gov/nwis/nwismap/?site_no=021720677&amp;agency_cd=USGS", "US021720677")</f>
        <v>0</v>
      </c>
      <c r="I80" s="1">
        <v>-79.96286164</v>
      </c>
      <c r="J80" s="1">
        <v>32.89044588</v>
      </c>
      <c r="K80" s="1" t="s">
        <v>861</v>
      </c>
      <c r="L80" s="1" t="s">
        <v>867</v>
      </c>
      <c r="M80" s="1" t="s">
        <v>874</v>
      </c>
      <c r="N80" s="2">
        <f>HYPERLINK("https://waterservices.usgs.gov/nwis/site/?site=021720677&amp;format=rdb", "Datum Info")</f>
        <v>0</v>
      </c>
      <c r="O80" s="1" t="s">
        <v>887</v>
      </c>
      <c r="W80" s="1" t="s">
        <v>971</v>
      </c>
      <c r="AA80" s="1" t="s">
        <v>886</v>
      </c>
      <c r="AB80" s="1">
        <v>0</v>
      </c>
      <c r="AC80" s="1" t="s">
        <v>1625</v>
      </c>
      <c r="AD80" s="1" t="s">
        <v>1199</v>
      </c>
      <c r="AE80" s="1" t="s">
        <v>1700</v>
      </c>
      <c r="AF80" s="1" t="s">
        <v>1709</v>
      </c>
      <c r="AG80" s="1" t="s">
        <v>1199</v>
      </c>
      <c r="AH80" s="1">
        <v>0</v>
      </c>
      <c r="AI80" s="1">
        <v>0</v>
      </c>
      <c r="AJ80" s="1">
        <v>0</v>
      </c>
      <c r="AK80" s="1">
        <v>0</v>
      </c>
      <c r="AL80" s="1" t="s">
        <v>1744</v>
      </c>
    </row>
    <row r="81" spans="1:38">
      <c r="A81" s="1" t="s">
        <v>105</v>
      </c>
      <c r="B81" s="1" t="s">
        <v>616</v>
      </c>
      <c r="D81" s="1" t="s">
        <v>652</v>
      </c>
      <c r="E81" s="1" t="s">
        <v>687</v>
      </c>
      <c r="F81" s="1" t="s">
        <v>837</v>
      </c>
      <c r="G81" s="1" t="s">
        <v>854</v>
      </c>
      <c r="H81" s="1">
        <f>HYPERLINK("https://waterdata.usgs.gov/nwis/nwismap/?site_no=021720698&amp;agency_cd=USGS", "US021720698")</f>
        <v>0</v>
      </c>
      <c r="I81" s="1">
        <v>-79.89619346000001</v>
      </c>
      <c r="J81" s="1">
        <v>32.85905741</v>
      </c>
      <c r="K81" s="1" t="s">
        <v>861</v>
      </c>
      <c r="L81" s="1" t="s">
        <v>867</v>
      </c>
      <c r="M81" s="1" t="s">
        <v>874</v>
      </c>
      <c r="N81" s="2">
        <f>HYPERLINK("https://waterservices.usgs.gov/nwis/site/?site=021720698&amp;format=rdb", "Datum Info")</f>
        <v>0</v>
      </c>
      <c r="O81" s="1" t="s">
        <v>887</v>
      </c>
      <c r="P81" s="1" t="s">
        <v>904</v>
      </c>
      <c r="Q81" s="1" t="s">
        <v>911</v>
      </c>
      <c r="R81" s="1" t="s">
        <v>918</v>
      </c>
      <c r="T81" s="1" t="s">
        <v>925</v>
      </c>
      <c r="U81" s="1" t="s">
        <v>933</v>
      </c>
      <c r="V81" s="1" t="s">
        <v>940</v>
      </c>
      <c r="W81" s="1" t="s">
        <v>972</v>
      </c>
      <c r="Y81" s="1" t="s">
        <v>1120</v>
      </c>
      <c r="Z81" s="1" t="s">
        <v>1391</v>
      </c>
      <c r="AA81" s="1" t="s">
        <v>886</v>
      </c>
      <c r="AB81" s="1">
        <v>0</v>
      </c>
      <c r="AC81" s="1" t="s">
        <v>1626</v>
      </c>
      <c r="AD81" s="1" t="s">
        <v>1686</v>
      </c>
      <c r="AE81" s="1" t="s">
        <v>1701</v>
      </c>
      <c r="AF81" s="1" t="s">
        <v>1710</v>
      </c>
      <c r="AG81" s="1" t="s">
        <v>1686</v>
      </c>
      <c r="AH81" s="1">
        <v>0</v>
      </c>
      <c r="AI81" s="1">
        <v>0</v>
      </c>
      <c r="AJ81" s="1">
        <v>0</v>
      </c>
      <c r="AK81" s="1">
        <v>0</v>
      </c>
      <c r="AL81" s="1" t="s">
        <v>1744</v>
      </c>
    </row>
    <row r="82" spans="1:38">
      <c r="A82" s="1" t="s">
        <v>106</v>
      </c>
      <c r="B82" s="1" t="s">
        <v>616</v>
      </c>
      <c r="D82" s="1" t="s">
        <v>652</v>
      </c>
      <c r="H82" s="1">
        <f>HYPERLINK("https://waterdata.usgs.gov/nwis/nwismap/?site_no=021720709&amp;agency_cd=USGS", "US021720709")</f>
        <v>0</v>
      </c>
      <c r="I82" s="1">
        <v>-79.91008406</v>
      </c>
      <c r="J82" s="1">
        <v>32.80239197</v>
      </c>
      <c r="K82" s="1" t="s">
        <v>861</v>
      </c>
      <c r="L82" s="1" t="s">
        <v>867</v>
      </c>
      <c r="M82" s="1" t="s">
        <v>874</v>
      </c>
      <c r="N82" s="2">
        <f>HYPERLINK("https://waterservices.usgs.gov/nwis/site/?site=021720709&amp;format=rdb", "Datum Info")</f>
        <v>0</v>
      </c>
      <c r="O82" s="1" t="s">
        <v>887</v>
      </c>
      <c r="P82" s="1" t="s">
        <v>905</v>
      </c>
      <c r="Q82" s="1" t="s">
        <v>912</v>
      </c>
      <c r="R82" s="1" t="s">
        <v>919</v>
      </c>
      <c r="T82" s="1" t="s">
        <v>926</v>
      </c>
      <c r="U82" s="1" t="s">
        <v>934</v>
      </c>
      <c r="V82" s="1" t="s">
        <v>941</v>
      </c>
      <c r="W82" s="1" t="s">
        <v>973</v>
      </c>
      <c r="Y82" s="1" t="s">
        <v>1121</v>
      </c>
      <c r="Z82" s="1" t="s">
        <v>1392</v>
      </c>
      <c r="AA82" s="1" t="s">
        <v>886</v>
      </c>
      <c r="AB82" s="1">
        <v>0</v>
      </c>
      <c r="AC82" s="1" t="s">
        <v>1374</v>
      </c>
      <c r="AD82" s="1" t="s">
        <v>1687</v>
      </c>
      <c r="AE82" s="1" t="s">
        <v>1702</v>
      </c>
      <c r="AF82" s="1" t="s">
        <v>1711</v>
      </c>
      <c r="AG82" s="1" t="s">
        <v>1687</v>
      </c>
      <c r="AH82" s="1">
        <v>0</v>
      </c>
      <c r="AI82" s="1">
        <v>0</v>
      </c>
      <c r="AJ82" s="1">
        <v>0</v>
      </c>
      <c r="AK82" s="1">
        <v>0</v>
      </c>
      <c r="AL82" s="1" t="s">
        <v>1744</v>
      </c>
    </row>
    <row r="83" spans="1:38">
      <c r="A83" s="1" t="s">
        <v>107</v>
      </c>
      <c r="B83" s="1" t="s">
        <v>616</v>
      </c>
      <c r="C83" s="1" t="s">
        <v>645</v>
      </c>
      <c r="D83" s="1" t="s">
        <v>652</v>
      </c>
      <c r="E83" s="1" t="s">
        <v>687</v>
      </c>
      <c r="F83" s="1" t="s">
        <v>837</v>
      </c>
      <c r="G83" s="1" t="s">
        <v>854</v>
      </c>
      <c r="H83" s="1">
        <f>HYPERLINK("https://waterdata.usgs.gov/nwis/nwismap/?site_no=021720869&amp;agency_cd=USGS", "US021720869")</f>
        <v>0</v>
      </c>
      <c r="I83" s="1">
        <v>-80.02369852</v>
      </c>
      <c r="J83" s="1">
        <v>32.83461372</v>
      </c>
      <c r="K83" s="1" t="s">
        <v>861</v>
      </c>
      <c r="L83" s="1" t="s">
        <v>867</v>
      </c>
      <c r="M83" s="1" t="s">
        <v>874</v>
      </c>
      <c r="N83" s="2">
        <f>HYPERLINK("https://waterservices.usgs.gov/nwis/site/?site=021720869&amp;format=rdb", "Datum Info")</f>
        <v>0</v>
      </c>
      <c r="O83" s="1" t="s">
        <v>887</v>
      </c>
      <c r="P83" s="1" t="s">
        <v>906</v>
      </c>
      <c r="Q83" s="1" t="s">
        <v>913</v>
      </c>
      <c r="R83" s="1" t="s">
        <v>920</v>
      </c>
      <c r="T83" s="1" t="s">
        <v>927</v>
      </c>
      <c r="U83" s="1" t="s">
        <v>935</v>
      </c>
      <c r="V83" s="1" t="s">
        <v>942</v>
      </c>
      <c r="W83" s="1" t="s">
        <v>974</v>
      </c>
      <c r="Y83" s="1" t="s">
        <v>1122</v>
      </c>
      <c r="Z83" s="1" t="s">
        <v>1393</v>
      </c>
      <c r="AA83" s="1" t="s">
        <v>886</v>
      </c>
      <c r="AB83" s="1">
        <v>0</v>
      </c>
      <c r="AC83" s="1" t="s">
        <v>1627</v>
      </c>
      <c r="AD83" s="1" t="s">
        <v>1688</v>
      </c>
      <c r="AE83" s="1" t="s">
        <v>1703</v>
      </c>
      <c r="AF83" s="1" t="s">
        <v>1392</v>
      </c>
      <c r="AG83" s="1" t="s">
        <v>1688</v>
      </c>
      <c r="AH83" s="1">
        <v>0</v>
      </c>
      <c r="AI83" s="1">
        <v>0</v>
      </c>
      <c r="AJ83" s="1">
        <v>0</v>
      </c>
      <c r="AK83" s="1">
        <v>0</v>
      </c>
      <c r="AL83" s="1" t="s">
        <v>1744</v>
      </c>
    </row>
    <row r="84" spans="1:38">
      <c r="A84" s="1" t="s">
        <v>108</v>
      </c>
      <c r="B84" s="1" t="s">
        <v>616</v>
      </c>
      <c r="C84" s="1" t="s">
        <v>645</v>
      </c>
      <c r="D84" s="1" t="s">
        <v>652</v>
      </c>
      <c r="E84" s="1" t="s">
        <v>692</v>
      </c>
      <c r="F84" s="1" t="s">
        <v>838</v>
      </c>
      <c r="G84" s="1" t="s">
        <v>854</v>
      </c>
      <c r="H84" s="1">
        <f>HYPERLINK("https://waterdata.usgs.gov/nwis/nwismap/?site_no=021989773&amp;agency_cd=USGS", "US021989773")</f>
        <v>0</v>
      </c>
      <c r="I84" s="1">
        <v>-81.08135794</v>
      </c>
      <c r="J84" s="1">
        <v>32.08041049</v>
      </c>
      <c r="K84" s="1" t="s">
        <v>861</v>
      </c>
      <c r="L84" s="1" t="s">
        <v>867</v>
      </c>
      <c r="M84" s="1" t="s">
        <v>874</v>
      </c>
      <c r="N84" s="2">
        <f>HYPERLINK("https://waterservices.usgs.gov/nwis/site/?site=021989773&amp;format=rdb", "Datum Info")</f>
        <v>0</v>
      </c>
      <c r="O84" s="1" t="s">
        <v>887</v>
      </c>
      <c r="W84" s="1" t="s">
        <v>955</v>
      </c>
      <c r="AA84" s="1" t="s">
        <v>886</v>
      </c>
      <c r="AB84" s="1">
        <v>0</v>
      </c>
      <c r="AC84" s="1" t="s">
        <v>1628</v>
      </c>
      <c r="AD84" s="1" t="s">
        <v>1689</v>
      </c>
      <c r="AE84" s="1" t="s">
        <v>1704</v>
      </c>
      <c r="AF84" s="1" t="s">
        <v>1712</v>
      </c>
      <c r="AG84" s="1" t="s">
        <v>1689</v>
      </c>
      <c r="AH84" s="1">
        <v>0</v>
      </c>
      <c r="AI84" s="1">
        <v>0</v>
      </c>
      <c r="AJ84" s="1">
        <v>0</v>
      </c>
      <c r="AK84" s="1">
        <v>0</v>
      </c>
      <c r="AL84" s="1" t="s">
        <v>1744</v>
      </c>
    </row>
    <row r="85" spans="1:38">
      <c r="A85" s="1" t="s">
        <v>109</v>
      </c>
      <c r="B85" s="1" t="s">
        <v>616</v>
      </c>
      <c r="C85" s="1" t="s">
        <v>645</v>
      </c>
      <c r="D85" s="1" t="s">
        <v>652</v>
      </c>
      <c r="E85" s="1" t="s">
        <v>690</v>
      </c>
      <c r="F85" s="1" t="s">
        <v>838</v>
      </c>
      <c r="G85" s="1" t="s">
        <v>854</v>
      </c>
      <c r="H85" s="1">
        <f>HYPERLINK("https://waterdata.usgs.gov/nwis/nwismap/?site_no=02226160&amp;agency_cd=USGS", "US02226160")</f>
        <v>0</v>
      </c>
      <c r="I85" s="1">
        <v>-81.60510782</v>
      </c>
      <c r="J85" s="1">
        <v>31.42685509</v>
      </c>
      <c r="K85" s="1" t="s">
        <v>861</v>
      </c>
      <c r="L85" s="1" t="s">
        <v>867</v>
      </c>
      <c r="M85" s="1" t="s">
        <v>874</v>
      </c>
      <c r="N85" s="2">
        <f>HYPERLINK("https://waterservices.usgs.gov/nwis/site/?site=02226160&amp;format=rdb", "Datum Info")</f>
        <v>0</v>
      </c>
      <c r="O85" s="1" t="s">
        <v>887</v>
      </c>
      <c r="W85" s="1" t="s">
        <v>975</v>
      </c>
      <c r="AA85" s="1" t="s">
        <v>889</v>
      </c>
      <c r="AB85" s="1">
        <v>-3.87</v>
      </c>
      <c r="AC85" s="1" t="s">
        <v>1629</v>
      </c>
      <c r="AH85" s="1">
        <v>10</v>
      </c>
      <c r="AI85" s="1">
        <v>13</v>
      </c>
      <c r="AJ85" s="1">
        <v>14</v>
      </c>
      <c r="AK85" s="1">
        <v>17</v>
      </c>
      <c r="AL85" s="1" t="s">
        <v>1744</v>
      </c>
    </row>
    <row r="86" spans="1:38">
      <c r="A86" s="1" t="s">
        <v>110</v>
      </c>
      <c r="B86" s="1" t="s">
        <v>617</v>
      </c>
      <c r="C86" s="1" t="s">
        <v>646</v>
      </c>
      <c r="D86" s="1" t="s">
        <v>652</v>
      </c>
      <c r="H86" s="1">
        <f>HYPERLINK("https://tidesandcurrents.noaa.gov/stationhome.html?id=8414672", "8414672")</f>
        <v>0</v>
      </c>
      <c r="I86" s="1">
        <v>-68.7967</v>
      </c>
      <c r="J86" s="1">
        <v>44.3867</v>
      </c>
      <c r="K86" s="1" t="s">
        <v>861</v>
      </c>
      <c r="L86" s="1" t="s">
        <v>866</v>
      </c>
      <c r="M86" s="1" t="s">
        <v>874</v>
      </c>
      <c r="N86" s="2">
        <f>HYPERLINK("https://tidesandcurrents.noaa.gov/datums.html?datum=MLLW&amp;units=0&amp;epoch=0&amp;id=8414672", "Datum Info")</f>
        <v>0</v>
      </c>
    </row>
    <row r="87" spans="1:38">
      <c r="A87" s="1" t="s">
        <v>111</v>
      </c>
      <c r="B87" s="1" t="s">
        <v>617</v>
      </c>
      <c r="D87" s="1" t="s">
        <v>652</v>
      </c>
      <c r="H87" s="1">
        <f>HYPERLINK("https://tidesandcurrents.noaa.gov/stationhome.html?id=8414721", "8414721")</f>
        <v>0</v>
      </c>
      <c r="I87" s="1">
        <v>-68.8133</v>
      </c>
      <c r="J87" s="1">
        <v>44.4717</v>
      </c>
      <c r="K87" s="1" t="s">
        <v>861</v>
      </c>
      <c r="L87" s="1" t="s">
        <v>866</v>
      </c>
      <c r="M87" s="1" t="s">
        <v>874</v>
      </c>
      <c r="N87" s="2">
        <f>HYPERLINK("https://tidesandcurrents.noaa.gov/datums.html?datum=MLLW&amp;units=0&amp;epoch=0&amp;id=8414721", "Datum Info")</f>
        <v>0</v>
      </c>
      <c r="O87" s="1" t="s">
        <v>886</v>
      </c>
      <c r="P87" s="1">
        <v>11.15</v>
      </c>
      <c r="Q87" s="1">
        <v>10.75</v>
      </c>
      <c r="R87" s="1">
        <v>5.56</v>
      </c>
      <c r="S87" s="1">
        <v>5.61</v>
      </c>
      <c r="T87" s="1">
        <v>5.57</v>
      </c>
      <c r="U87" s="1">
        <v>0.36</v>
      </c>
      <c r="V87" s="1">
        <v>0</v>
      </c>
      <c r="W87" s="1" t="s">
        <v>976</v>
      </c>
      <c r="X87" s="1">
        <v>-19.11</v>
      </c>
      <c r="Y87" s="1" t="s">
        <v>1123</v>
      </c>
      <c r="Z87" s="1" t="s">
        <v>1394</v>
      </c>
    </row>
    <row r="88" spans="1:38">
      <c r="A88" s="1" t="s">
        <v>112</v>
      </c>
      <c r="B88" s="1" t="s">
        <v>617</v>
      </c>
      <c r="D88" s="1" t="s">
        <v>652</v>
      </c>
      <c r="H88" s="1">
        <f>HYPERLINK("https://tidesandcurrents.noaa.gov/stationhome.html?id=8414721", "8414721")</f>
        <v>0</v>
      </c>
      <c r="I88" s="1">
        <v>-68.8133</v>
      </c>
      <c r="J88" s="1">
        <v>44.4717</v>
      </c>
      <c r="K88" s="1" t="s">
        <v>861</v>
      </c>
      <c r="L88" s="1" t="s">
        <v>866</v>
      </c>
      <c r="M88" s="1" t="s">
        <v>874</v>
      </c>
      <c r="N88" s="2">
        <f>HYPERLINK("https://tidesandcurrents.noaa.gov/datums.html?datum=MLLW&amp;units=0&amp;epoch=0&amp;id=8414721", "Datum Info")</f>
        <v>0</v>
      </c>
      <c r="O88" s="1" t="s">
        <v>886</v>
      </c>
      <c r="P88" s="1">
        <v>11.15</v>
      </c>
      <c r="Q88" s="1">
        <v>10.75</v>
      </c>
      <c r="R88" s="1">
        <v>5.56</v>
      </c>
      <c r="S88" s="1">
        <v>5.61</v>
      </c>
      <c r="T88" s="1">
        <v>5.57</v>
      </c>
      <c r="U88" s="1">
        <v>0.36</v>
      </c>
      <c r="V88" s="1">
        <v>0</v>
      </c>
      <c r="W88" s="1" t="s">
        <v>976</v>
      </c>
      <c r="X88" s="1">
        <v>-19.11</v>
      </c>
      <c r="Y88" s="1" t="s">
        <v>1123</v>
      </c>
      <c r="Z88" s="1" t="s">
        <v>1394</v>
      </c>
    </row>
    <row r="89" spans="1:38">
      <c r="A89" s="1" t="s">
        <v>113</v>
      </c>
      <c r="B89" s="1" t="s">
        <v>617</v>
      </c>
      <c r="C89" s="1" t="s">
        <v>646</v>
      </c>
      <c r="D89" s="1" t="s">
        <v>652</v>
      </c>
      <c r="H89" s="1">
        <f>HYPERLINK("https://tidesandcurrents.noaa.gov/stationhome.html?id=8414888", "8414888")</f>
        <v>0</v>
      </c>
      <c r="I89" s="1">
        <v>-68.8867</v>
      </c>
      <c r="J89" s="1">
        <v>44.1567</v>
      </c>
      <c r="K89" s="1" t="s">
        <v>861</v>
      </c>
      <c r="L89" s="1" t="s">
        <v>866</v>
      </c>
      <c r="M89" s="1" t="s">
        <v>874</v>
      </c>
      <c r="N89" s="2">
        <f>HYPERLINK("https://tidesandcurrents.noaa.gov/datums.html?datum=MLLW&amp;units=0&amp;epoch=0&amp;id=8414888", "Datum Info")</f>
        <v>0</v>
      </c>
      <c r="O89" s="1" t="s">
        <v>886</v>
      </c>
      <c r="P89" s="1">
        <v>10.64</v>
      </c>
      <c r="Q89" s="1">
        <v>10.21</v>
      </c>
      <c r="R89" s="1">
        <v>5.29</v>
      </c>
      <c r="S89" s="1">
        <v>5.36</v>
      </c>
      <c r="T89" s="1">
        <v>5.32</v>
      </c>
      <c r="U89" s="1">
        <v>0.37</v>
      </c>
      <c r="V89" s="1">
        <v>0</v>
      </c>
      <c r="W89" s="1" t="s">
        <v>977</v>
      </c>
      <c r="X89" s="1">
        <v>-2.42</v>
      </c>
      <c r="Y89" s="1" t="s">
        <v>1124</v>
      </c>
      <c r="Z89" s="1" t="s">
        <v>1395</v>
      </c>
    </row>
    <row r="90" spans="1:38">
      <c r="A90" s="1" t="s">
        <v>114</v>
      </c>
      <c r="B90" s="1" t="s">
        <v>617</v>
      </c>
      <c r="C90" s="1" t="s">
        <v>646</v>
      </c>
      <c r="D90" s="1" t="s">
        <v>652</v>
      </c>
      <c r="E90" s="1" t="s">
        <v>693</v>
      </c>
      <c r="F90" s="1" t="s">
        <v>836</v>
      </c>
      <c r="G90" s="1" t="s">
        <v>854</v>
      </c>
      <c r="H90" s="1">
        <f>HYPERLINK("https://tidesandcurrents.noaa.gov/stationhome.html?id=8415490", "8415490")</f>
        <v>0</v>
      </c>
      <c r="I90" s="1">
        <v>-69.10169999999999</v>
      </c>
      <c r="J90" s="1">
        <v>44.105</v>
      </c>
      <c r="K90" s="1" t="s">
        <v>861</v>
      </c>
      <c r="L90" s="1" t="s">
        <v>866</v>
      </c>
      <c r="M90" s="1" t="s">
        <v>874</v>
      </c>
      <c r="N90" s="2">
        <f>HYPERLINK("https://tidesandcurrents.noaa.gov/datums.html?datum=MLLW&amp;units=0&amp;epoch=0&amp;id=8415490", "Datum Info")</f>
        <v>0</v>
      </c>
      <c r="O90" s="1" t="s">
        <v>886</v>
      </c>
      <c r="P90" s="1">
        <v>10.57</v>
      </c>
      <c r="Q90" s="1">
        <v>10.17</v>
      </c>
      <c r="R90" s="1">
        <v>5.28</v>
      </c>
      <c r="S90" s="1">
        <v>5.33</v>
      </c>
      <c r="T90" s="1">
        <v>5.28</v>
      </c>
      <c r="U90" s="1">
        <v>0.39</v>
      </c>
      <c r="V90" s="1">
        <v>0</v>
      </c>
      <c r="W90" s="1" t="s">
        <v>978</v>
      </c>
      <c r="X90" s="1">
        <v>-3.62</v>
      </c>
      <c r="Y90" s="1" t="s">
        <v>1125</v>
      </c>
      <c r="Z90" s="1" t="s">
        <v>1396</v>
      </c>
    </row>
    <row r="91" spans="1:38">
      <c r="A91" s="1" t="s">
        <v>115</v>
      </c>
      <c r="B91" s="1" t="s">
        <v>617</v>
      </c>
      <c r="D91" s="1" t="s">
        <v>652</v>
      </c>
      <c r="E91" s="1" t="s">
        <v>693</v>
      </c>
      <c r="F91" s="1" t="s">
        <v>836</v>
      </c>
      <c r="G91" s="1" t="s">
        <v>854</v>
      </c>
      <c r="H91" s="1">
        <f>HYPERLINK("https://tidesandcurrents.noaa.gov/stationhome.html?id=8415709", "8415709")</f>
        <v>0</v>
      </c>
      <c r="I91" s="1">
        <v>-69.18170000000001</v>
      </c>
      <c r="J91" s="1">
        <v>44.0717</v>
      </c>
      <c r="K91" s="1" t="s">
        <v>861</v>
      </c>
      <c r="L91" s="1" t="s">
        <v>866</v>
      </c>
      <c r="M91" s="1" t="s">
        <v>874</v>
      </c>
      <c r="N91" s="2">
        <f>HYPERLINK("https://tidesandcurrents.noaa.gov/datums.html?datum=MLLW&amp;units=0&amp;epoch=0&amp;id=8415709", "Datum Info")</f>
        <v>0</v>
      </c>
      <c r="O91" s="1" t="s">
        <v>886</v>
      </c>
      <c r="P91" s="1">
        <v>9.85</v>
      </c>
      <c r="Q91" s="1">
        <v>9.44</v>
      </c>
      <c r="R91" s="1">
        <v>4.92</v>
      </c>
      <c r="S91" s="1">
        <v>4.95</v>
      </c>
      <c r="T91" s="1">
        <v>4.93</v>
      </c>
      <c r="U91" s="1">
        <v>0.4</v>
      </c>
      <c r="V91" s="1">
        <v>0</v>
      </c>
      <c r="W91" s="1">
        <v>4.46</v>
      </c>
      <c r="X91" s="1">
        <v>-19.12</v>
      </c>
      <c r="Y91" s="1" t="s">
        <v>1126</v>
      </c>
      <c r="Z91" s="1" t="s">
        <v>1397</v>
      </c>
    </row>
    <row r="92" spans="1:38">
      <c r="A92" s="1" t="s">
        <v>116</v>
      </c>
      <c r="B92" s="1" t="s">
        <v>617</v>
      </c>
      <c r="D92" s="1" t="s">
        <v>652</v>
      </c>
      <c r="H92" s="1">
        <f>HYPERLINK("https://tidesandcurrents.noaa.gov/stationhome.html?id=8416731", "8416731")</f>
        <v>0</v>
      </c>
      <c r="I92" s="1">
        <v>-69.58</v>
      </c>
      <c r="J92" s="1">
        <v>43.9333</v>
      </c>
      <c r="K92" s="1" t="s">
        <v>861</v>
      </c>
      <c r="L92" s="1" t="s">
        <v>866</v>
      </c>
      <c r="M92" s="1" t="s">
        <v>874</v>
      </c>
      <c r="N92" s="2">
        <f>HYPERLINK("https://tidesandcurrents.noaa.gov/datums.html?datum=MLLW&amp;units=0&amp;epoch=0&amp;id=8416731", "Datum Info")</f>
        <v>0</v>
      </c>
      <c r="O92" s="1" t="s">
        <v>886</v>
      </c>
      <c r="P92" s="1">
        <v>10.15</v>
      </c>
      <c r="Q92" s="1">
        <v>9.710000000000001</v>
      </c>
      <c r="R92" s="1">
        <v>5.04</v>
      </c>
      <c r="S92" s="1">
        <v>5.05</v>
      </c>
      <c r="T92" s="1">
        <v>5.08</v>
      </c>
      <c r="U92" s="1">
        <v>0.36</v>
      </c>
      <c r="V92" s="1">
        <v>0</v>
      </c>
      <c r="W92" s="1" t="s">
        <v>979</v>
      </c>
      <c r="X92" s="1">
        <v>-3.35</v>
      </c>
      <c r="Y92" s="1" t="s">
        <v>1127</v>
      </c>
      <c r="Z92" s="1" t="s">
        <v>1398</v>
      </c>
    </row>
    <row r="93" spans="1:38">
      <c r="A93" s="1" t="s">
        <v>117</v>
      </c>
      <c r="B93" s="1" t="s">
        <v>617</v>
      </c>
      <c r="D93" s="1" t="s">
        <v>652</v>
      </c>
      <c r="H93" s="1">
        <f>HYPERLINK("https://tidesandcurrents.noaa.gov/stationhome.html?id=8416731", "8416731")</f>
        <v>0</v>
      </c>
      <c r="I93" s="1">
        <v>-69.58</v>
      </c>
      <c r="J93" s="1">
        <v>43.9333</v>
      </c>
      <c r="K93" s="1" t="s">
        <v>861</v>
      </c>
      <c r="L93" s="1" t="s">
        <v>866</v>
      </c>
      <c r="M93" s="1" t="s">
        <v>874</v>
      </c>
      <c r="N93" s="2">
        <f>HYPERLINK("https://tidesandcurrents.noaa.gov/datums.html?datum=MLLW&amp;units=0&amp;epoch=0&amp;id=8416731", "Datum Info")</f>
        <v>0</v>
      </c>
      <c r="O93" s="1" t="s">
        <v>886</v>
      </c>
      <c r="P93" s="1">
        <v>10.15</v>
      </c>
      <c r="Q93" s="1">
        <v>9.710000000000001</v>
      </c>
      <c r="R93" s="1">
        <v>5.04</v>
      </c>
      <c r="S93" s="1">
        <v>5.05</v>
      </c>
      <c r="T93" s="1">
        <v>5.08</v>
      </c>
      <c r="U93" s="1">
        <v>0.36</v>
      </c>
      <c r="V93" s="1">
        <v>0</v>
      </c>
      <c r="W93" s="1" t="s">
        <v>979</v>
      </c>
      <c r="X93" s="1">
        <v>-3.35</v>
      </c>
      <c r="Y93" s="1" t="s">
        <v>1127</v>
      </c>
      <c r="Z93" s="1" t="s">
        <v>1398</v>
      </c>
    </row>
    <row r="94" spans="1:38">
      <c r="A94" s="1" t="s">
        <v>118</v>
      </c>
      <c r="B94" s="1" t="s">
        <v>617</v>
      </c>
      <c r="C94" s="1" t="s">
        <v>646</v>
      </c>
      <c r="D94" s="1" t="s">
        <v>652</v>
      </c>
      <c r="H94" s="1">
        <f>HYPERLINK("https://tidesandcurrents.noaa.gov/stationhome.html?id=8416828", "8416828")</f>
        <v>0</v>
      </c>
      <c r="I94" s="1">
        <v>-69.628333</v>
      </c>
      <c r="J94" s="1">
        <v>43.85</v>
      </c>
      <c r="K94" s="1" t="s">
        <v>861</v>
      </c>
      <c r="L94" s="1" t="s">
        <v>866</v>
      </c>
      <c r="M94" s="1" t="s">
        <v>874</v>
      </c>
      <c r="N94" s="2">
        <f>HYPERLINK("https://tidesandcurrents.noaa.gov/datums.html?datum=MLLW&amp;units=0&amp;epoch=0&amp;id=8416828", "Datum Info")</f>
        <v>0</v>
      </c>
    </row>
    <row r="95" spans="1:38">
      <c r="A95" s="1" t="s">
        <v>119</v>
      </c>
      <c r="B95" s="1" t="s">
        <v>617</v>
      </c>
      <c r="C95" s="1" t="s">
        <v>646</v>
      </c>
      <c r="D95" s="1" t="s">
        <v>652</v>
      </c>
      <c r="E95" s="1" t="s">
        <v>694</v>
      </c>
      <c r="F95" s="1" t="s">
        <v>836</v>
      </c>
      <c r="G95" s="1" t="s">
        <v>854</v>
      </c>
      <c r="H95" s="1">
        <f>HYPERLINK("https://tidesandcurrents.noaa.gov/stationhome.html?id=8416921", "8416921")</f>
        <v>0</v>
      </c>
      <c r="I95" s="1">
        <v>-69.66670000000001</v>
      </c>
      <c r="J95" s="1">
        <v>44</v>
      </c>
      <c r="K95" s="1" t="s">
        <v>861</v>
      </c>
      <c r="L95" s="1" t="s">
        <v>866</v>
      </c>
      <c r="M95" s="1" t="s">
        <v>874</v>
      </c>
      <c r="N95" s="2">
        <f>HYPERLINK("https://tidesandcurrents.noaa.gov/datums.html?datum=MLLW&amp;units=0&amp;epoch=0&amp;id=8416921", "Datum Info")</f>
        <v>0</v>
      </c>
      <c r="O95" s="1" t="s">
        <v>886</v>
      </c>
      <c r="P95" s="1">
        <v>10.23</v>
      </c>
      <c r="Q95" s="1">
        <v>9.81</v>
      </c>
      <c r="R95" s="1">
        <v>5.07</v>
      </c>
      <c r="S95" s="1">
        <v>5.06</v>
      </c>
      <c r="T95" s="1">
        <v>5.12</v>
      </c>
      <c r="U95" s="1">
        <v>0.32</v>
      </c>
      <c r="V95" s="1">
        <v>0</v>
      </c>
      <c r="X95" s="1">
        <v>-20.18</v>
      </c>
    </row>
    <row r="96" spans="1:38">
      <c r="A96" s="1" t="s">
        <v>120</v>
      </c>
      <c r="B96" s="1" t="s">
        <v>617</v>
      </c>
      <c r="C96" s="1" t="s">
        <v>646</v>
      </c>
      <c r="D96" s="1" t="s">
        <v>652</v>
      </c>
      <c r="E96" s="1" t="s">
        <v>695</v>
      </c>
      <c r="F96" s="1" t="s">
        <v>836</v>
      </c>
      <c r="G96" s="1" t="s">
        <v>854</v>
      </c>
      <c r="H96" s="1">
        <f>HYPERLINK("https://tidesandcurrents.noaa.gov/stationhome.html?id=8417134", "8417134")</f>
        <v>0</v>
      </c>
      <c r="I96" s="1">
        <v>-69.7667</v>
      </c>
      <c r="J96" s="1">
        <v>44.2333</v>
      </c>
      <c r="K96" s="1" t="s">
        <v>861</v>
      </c>
      <c r="L96" s="1" t="s">
        <v>866</v>
      </c>
      <c r="M96" s="1" t="s">
        <v>874</v>
      </c>
      <c r="N96" s="2">
        <f>HYPERLINK("https://tidesandcurrents.noaa.gov/datums.html?datum=MLLW&amp;units=0&amp;epoch=0&amp;id=8417134", "Datum Info")</f>
        <v>0</v>
      </c>
      <c r="O96" s="1" t="s">
        <v>886</v>
      </c>
      <c r="P96" s="1">
        <v>6.52</v>
      </c>
      <c r="Q96" s="1">
        <v>6.17</v>
      </c>
      <c r="R96" s="1">
        <v>3.19</v>
      </c>
      <c r="S96" s="1">
        <v>3.36</v>
      </c>
      <c r="T96" s="1">
        <v>3.26</v>
      </c>
      <c r="U96" s="1">
        <v>0.21</v>
      </c>
      <c r="V96" s="1">
        <v>0</v>
      </c>
      <c r="X96" s="1">
        <v>-21.72</v>
      </c>
    </row>
    <row r="97" spans="1:38">
      <c r="A97" s="1" t="s">
        <v>121</v>
      </c>
      <c r="B97" s="1" t="s">
        <v>617</v>
      </c>
      <c r="D97" s="1" t="s">
        <v>652</v>
      </c>
      <c r="H97" s="1">
        <f>HYPERLINK("https://tidesandcurrents.noaa.gov/stationhome.html?id=8417177", "8417177")</f>
        <v>0</v>
      </c>
      <c r="I97" s="1">
        <v>-69.785</v>
      </c>
      <c r="J97" s="1">
        <v>43.755</v>
      </c>
      <c r="K97" s="1" t="s">
        <v>860</v>
      </c>
      <c r="L97" s="1" t="s">
        <v>866</v>
      </c>
      <c r="M97" s="1" t="s">
        <v>874</v>
      </c>
      <c r="N97" s="2">
        <f>HYPERLINK("https://tidesandcurrents.noaa.gov/datums.html?datum=MLLW&amp;units=0&amp;epoch=0&amp;id=8417177", "Datum Info")</f>
        <v>0</v>
      </c>
      <c r="O97" s="1" t="s">
        <v>886</v>
      </c>
      <c r="P97" s="1">
        <v>9.24</v>
      </c>
      <c r="Q97" s="1">
        <v>8.82</v>
      </c>
      <c r="R97" s="1">
        <v>4.58</v>
      </c>
      <c r="S97" s="1">
        <v>4.59</v>
      </c>
      <c r="T97" s="1">
        <v>4.62</v>
      </c>
      <c r="U97" s="1">
        <v>0.34</v>
      </c>
      <c r="V97" s="1">
        <v>0</v>
      </c>
      <c r="W97" s="1" t="s">
        <v>980</v>
      </c>
      <c r="X97" s="1">
        <v>-17.97</v>
      </c>
      <c r="Y97" s="1" t="s">
        <v>1128</v>
      </c>
      <c r="Z97" s="1" t="s">
        <v>1399</v>
      </c>
    </row>
    <row r="98" spans="1:38">
      <c r="A98" s="1" t="s">
        <v>122</v>
      </c>
      <c r="B98" s="1" t="s">
        <v>617</v>
      </c>
      <c r="C98" s="1" t="s">
        <v>646</v>
      </c>
      <c r="D98" s="1" t="s">
        <v>652</v>
      </c>
      <c r="E98" s="1" t="s">
        <v>696</v>
      </c>
      <c r="F98" s="1" t="s">
        <v>836</v>
      </c>
      <c r="G98" s="1" t="s">
        <v>854</v>
      </c>
      <c r="H98" s="1">
        <f>HYPERLINK("https://tidesandcurrents.noaa.gov/stationhome.html?id=8417227", "8417227")</f>
        <v>0</v>
      </c>
      <c r="I98" s="1">
        <v>-69.815</v>
      </c>
      <c r="J98" s="1">
        <v>43.925</v>
      </c>
      <c r="K98" s="1" t="s">
        <v>860</v>
      </c>
      <c r="L98" s="1" t="s">
        <v>866</v>
      </c>
      <c r="M98" s="1" t="s">
        <v>874</v>
      </c>
      <c r="N98" s="2">
        <f>HYPERLINK("https://tidesandcurrents.noaa.gov/datums.html?datum=MLLW&amp;units=0&amp;epoch=0&amp;id=8417227", "Datum Info")</f>
        <v>0</v>
      </c>
      <c r="O98" s="1" t="s">
        <v>886</v>
      </c>
      <c r="P98" s="1">
        <v>7.42</v>
      </c>
      <c r="Q98" s="1">
        <v>7.08</v>
      </c>
      <c r="R98" s="1">
        <v>3.66</v>
      </c>
      <c r="S98" s="1">
        <v>3.72</v>
      </c>
      <c r="T98" s="1">
        <v>3.71</v>
      </c>
      <c r="U98" s="1">
        <v>0.24</v>
      </c>
      <c r="V98" s="1">
        <v>0</v>
      </c>
      <c r="X98" s="1">
        <v>-15.28</v>
      </c>
    </row>
    <row r="99" spans="1:38">
      <c r="A99" s="1" t="s">
        <v>123</v>
      </c>
      <c r="B99" s="1" t="s">
        <v>617</v>
      </c>
      <c r="D99" s="1" t="s">
        <v>652</v>
      </c>
      <c r="H99" s="1">
        <f>HYPERLINK("https://tidesandcurrents.noaa.gov/stationhome.html?id=8418031", "8418031")</f>
        <v>0</v>
      </c>
      <c r="I99" s="1">
        <v>-70.2067</v>
      </c>
      <c r="J99" s="1">
        <v>43.6233</v>
      </c>
      <c r="K99" s="1" t="s">
        <v>861</v>
      </c>
      <c r="L99" s="1" t="s">
        <v>866</v>
      </c>
      <c r="M99" s="1" t="s">
        <v>874</v>
      </c>
      <c r="N99" s="2">
        <f>HYPERLINK("https://tidesandcurrents.noaa.gov/datums.html?datum=MLLW&amp;units=0&amp;epoch=0&amp;id=8418031", "Datum Info")</f>
        <v>0</v>
      </c>
      <c r="O99" s="1" t="s">
        <v>886</v>
      </c>
      <c r="P99" s="1">
        <v>9.66</v>
      </c>
      <c r="Q99" s="1">
        <v>9.220000000000001</v>
      </c>
      <c r="R99" s="1">
        <v>4.78</v>
      </c>
      <c r="S99" s="1">
        <v>4.81</v>
      </c>
      <c r="T99" s="1">
        <v>4.83</v>
      </c>
      <c r="U99" s="1">
        <v>0.34</v>
      </c>
      <c r="V99" s="1">
        <v>0</v>
      </c>
      <c r="W99" s="1" t="s">
        <v>981</v>
      </c>
      <c r="X99" s="1">
        <v>1.65</v>
      </c>
      <c r="Y99" s="1" t="s">
        <v>1129</v>
      </c>
      <c r="Z99" s="1" t="s">
        <v>1400</v>
      </c>
    </row>
    <row r="100" spans="1:38">
      <c r="A100" s="1" t="s">
        <v>124</v>
      </c>
      <c r="B100" s="1" t="s">
        <v>617</v>
      </c>
      <c r="D100" s="1" t="s">
        <v>652</v>
      </c>
      <c r="H100" s="1">
        <f>HYPERLINK("https://tidesandcurrents.noaa.gov/stationhome.html?id=8418150", "8418150")</f>
        <v>0</v>
      </c>
      <c r="I100" s="1">
        <v>-70.24420000000001</v>
      </c>
      <c r="J100" s="1">
        <v>43.65806</v>
      </c>
      <c r="K100" s="1" t="s">
        <v>860</v>
      </c>
      <c r="L100" s="1" t="s">
        <v>866</v>
      </c>
      <c r="M100" s="1" t="s">
        <v>874</v>
      </c>
      <c r="N100" s="2">
        <f>HYPERLINK("https://tidesandcurrents.noaa.gov/datums.html?datum=MLLW&amp;units=0&amp;epoch=0&amp;id=8418150", "Datum Info")</f>
        <v>0</v>
      </c>
      <c r="O100" s="1" t="s">
        <v>886</v>
      </c>
      <c r="P100" s="1">
        <v>9.91</v>
      </c>
      <c r="Q100" s="1">
        <v>9.470000000000001</v>
      </c>
      <c r="R100" s="1">
        <v>4.91</v>
      </c>
      <c r="S100" s="1">
        <v>4.94</v>
      </c>
      <c r="T100" s="1">
        <v>4.96</v>
      </c>
      <c r="U100" s="1">
        <v>0.35</v>
      </c>
      <c r="V100" s="1">
        <v>0</v>
      </c>
      <c r="W100" s="1">
        <v>5.26</v>
      </c>
      <c r="X100" s="1">
        <v>-8.550000000000001</v>
      </c>
      <c r="Y100" s="1" t="s">
        <v>1130</v>
      </c>
      <c r="Z100" s="1" t="s">
        <v>1401</v>
      </c>
    </row>
    <row r="101" spans="1:38">
      <c r="A101" s="1" t="s">
        <v>125</v>
      </c>
      <c r="B101" s="1" t="s">
        <v>617</v>
      </c>
      <c r="D101" s="1" t="s">
        <v>652</v>
      </c>
      <c r="H101" s="1">
        <f>HYPERLINK("https://tidesandcurrents.noaa.gov/stationhome.html?id=8418445", "8418445")</f>
        <v>0</v>
      </c>
      <c r="I101" s="1">
        <v>-70.33329999999999</v>
      </c>
      <c r="J101" s="1">
        <v>43.545</v>
      </c>
      <c r="K101" s="1" t="s">
        <v>861</v>
      </c>
      <c r="L101" s="1" t="s">
        <v>866</v>
      </c>
      <c r="M101" s="1" t="s">
        <v>874</v>
      </c>
      <c r="N101" s="2">
        <f>HYPERLINK("https://tidesandcurrents.noaa.gov/datums.html?datum=MLLW&amp;units=0&amp;epoch=0&amp;id=8418445", "Datum Info")</f>
        <v>0</v>
      </c>
      <c r="O101" s="1" t="s">
        <v>886</v>
      </c>
      <c r="P101" s="1">
        <v>9.52</v>
      </c>
      <c r="Q101" s="1">
        <v>9.1</v>
      </c>
      <c r="R101" s="1">
        <v>4.72</v>
      </c>
      <c r="S101" s="1">
        <v>4.76</v>
      </c>
      <c r="T101" s="1">
        <v>4.76</v>
      </c>
      <c r="U101" s="1">
        <v>0.33</v>
      </c>
      <c r="V101" s="1">
        <v>0</v>
      </c>
      <c r="W101" s="1">
        <v>4.92</v>
      </c>
      <c r="X101" s="1">
        <v>-18.42</v>
      </c>
      <c r="Y101" s="1" t="s">
        <v>1131</v>
      </c>
      <c r="Z101" s="1" t="s">
        <v>1402</v>
      </c>
    </row>
    <row r="102" spans="1:38">
      <c r="A102" s="1" t="s">
        <v>126</v>
      </c>
      <c r="B102" s="1" t="s">
        <v>617</v>
      </c>
      <c r="C102" s="1" t="s">
        <v>646</v>
      </c>
      <c r="D102" s="1" t="s">
        <v>652</v>
      </c>
      <c r="E102" s="1" t="s">
        <v>663</v>
      </c>
      <c r="F102" s="1" t="s">
        <v>836</v>
      </c>
      <c r="G102" s="1" t="s">
        <v>854</v>
      </c>
      <c r="H102" s="1">
        <f>HYPERLINK("https://tidesandcurrents.noaa.gov/stationhome.html?id=8418606", "8418606")</f>
        <v>0</v>
      </c>
      <c r="I102" s="1">
        <v>-70.3817</v>
      </c>
      <c r="J102" s="1">
        <v>43.4617</v>
      </c>
      <c r="K102" s="1" t="s">
        <v>861</v>
      </c>
      <c r="L102" s="1" t="s">
        <v>866</v>
      </c>
      <c r="M102" s="1" t="s">
        <v>874</v>
      </c>
      <c r="N102" s="2">
        <f>HYPERLINK("https://tidesandcurrents.noaa.gov/datums.html?datum=MLLW&amp;units=0&amp;epoch=0&amp;id=8418606", "Datum Info")</f>
        <v>0</v>
      </c>
      <c r="O102" s="1" t="s">
        <v>886</v>
      </c>
      <c r="P102" s="1">
        <v>9.68</v>
      </c>
      <c r="Q102" s="1">
        <v>9.25</v>
      </c>
      <c r="R102" s="1">
        <v>4.79</v>
      </c>
      <c r="S102" s="1">
        <v>4.82</v>
      </c>
      <c r="T102" s="1">
        <v>4.84</v>
      </c>
      <c r="U102" s="1">
        <v>0.33</v>
      </c>
      <c r="V102" s="1">
        <v>0</v>
      </c>
      <c r="W102" s="1" t="s">
        <v>982</v>
      </c>
      <c r="X102" s="1">
        <v>-4.06</v>
      </c>
      <c r="Y102" s="1" t="s">
        <v>1129</v>
      </c>
      <c r="Z102" s="1" t="s">
        <v>1403</v>
      </c>
      <c r="AB102" s="1">
        <v>0</v>
      </c>
      <c r="AH102" s="1">
        <v>12.5</v>
      </c>
      <c r="AI102" s="1">
        <v>12.8</v>
      </c>
      <c r="AJ102" s="1">
        <v>13.8</v>
      </c>
      <c r="AK102" s="1">
        <v>14.2</v>
      </c>
      <c r="AL102" s="1" t="s">
        <v>1744</v>
      </c>
    </row>
    <row r="103" spans="1:38">
      <c r="A103" s="1" t="s">
        <v>127</v>
      </c>
      <c r="B103" s="1" t="s">
        <v>617</v>
      </c>
      <c r="C103" s="1" t="s">
        <v>646</v>
      </c>
      <c r="D103" s="1" t="s">
        <v>652</v>
      </c>
      <c r="E103" s="1" t="s">
        <v>663</v>
      </c>
      <c r="F103" s="1" t="s">
        <v>836</v>
      </c>
      <c r="G103" s="1" t="s">
        <v>854</v>
      </c>
      <c r="H103" s="1">
        <f>HYPERLINK("https://tidesandcurrents.noaa.gov/stationhome.html?id=8418828", "8418828")</f>
        <v>0</v>
      </c>
      <c r="I103" s="1">
        <v>-70.44670000000001</v>
      </c>
      <c r="J103" s="1">
        <v>43.4917</v>
      </c>
      <c r="K103" s="1" t="s">
        <v>861</v>
      </c>
      <c r="L103" s="1" t="s">
        <v>866</v>
      </c>
      <c r="M103" s="1" t="s">
        <v>874</v>
      </c>
      <c r="N103" s="2">
        <f>HYPERLINK("https://tidesandcurrents.noaa.gov/datums.html?datum=MLLW&amp;units=0&amp;epoch=0&amp;id=8418828", "Datum Info")</f>
        <v>0</v>
      </c>
      <c r="O103" s="1" t="s">
        <v>886</v>
      </c>
      <c r="P103" s="1">
        <v>9.83</v>
      </c>
      <c r="Q103" s="1">
        <v>9.390000000000001</v>
      </c>
      <c r="R103" s="1">
        <v>4.86</v>
      </c>
      <c r="S103" s="1">
        <v>4.98</v>
      </c>
      <c r="T103" s="1">
        <v>4.91</v>
      </c>
      <c r="U103" s="1">
        <v>0.33</v>
      </c>
      <c r="V103" s="1">
        <v>0</v>
      </c>
      <c r="X103" s="1">
        <v>0.07000000000000001</v>
      </c>
    </row>
    <row r="104" spans="1:38">
      <c r="A104" s="1" t="s">
        <v>128</v>
      </c>
      <c r="B104" s="1" t="s">
        <v>617</v>
      </c>
      <c r="C104" s="1" t="s">
        <v>646</v>
      </c>
      <c r="D104" s="1" t="s">
        <v>652</v>
      </c>
      <c r="E104" s="1" t="s">
        <v>663</v>
      </c>
      <c r="F104" s="1" t="s">
        <v>836</v>
      </c>
      <c r="G104" s="1" t="s">
        <v>854</v>
      </c>
      <c r="H104" s="1">
        <f>HYPERLINK("https://tidesandcurrents.noaa.gov/stationhome.html?id=8418911", "8418911")</f>
        <v>0</v>
      </c>
      <c r="I104" s="1">
        <v>-70.47669999999999</v>
      </c>
      <c r="J104" s="1">
        <v>43.3583</v>
      </c>
      <c r="K104" s="1" t="s">
        <v>861</v>
      </c>
      <c r="L104" s="1" t="s">
        <v>866</v>
      </c>
      <c r="M104" s="1" t="s">
        <v>874</v>
      </c>
      <c r="N104" s="2">
        <f>HYPERLINK("https://tidesandcurrents.noaa.gov/datums.html?datum=MLLW&amp;units=0&amp;epoch=0&amp;id=8418911", "Datum Info")</f>
        <v>0</v>
      </c>
      <c r="O104" s="1" t="s">
        <v>886</v>
      </c>
      <c r="P104" s="1">
        <v>9.6</v>
      </c>
      <c r="Q104" s="1">
        <v>9.18</v>
      </c>
      <c r="R104" s="1">
        <v>4.76</v>
      </c>
      <c r="S104" s="1">
        <v>4.81</v>
      </c>
      <c r="T104" s="1">
        <v>4.8</v>
      </c>
      <c r="U104" s="1">
        <v>0.34</v>
      </c>
      <c r="V104" s="1">
        <v>0</v>
      </c>
      <c r="W104" s="1" t="s">
        <v>983</v>
      </c>
      <c r="X104" s="1">
        <v>-2.12</v>
      </c>
      <c r="Y104" s="1" t="s">
        <v>1132</v>
      </c>
      <c r="Z104" s="1" t="s">
        <v>1404</v>
      </c>
    </row>
    <row r="105" spans="1:38">
      <c r="A105" s="1" t="s">
        <v>129</v>
      </c>
      <c r="B105" s="1" t="s">
        <v>617</v>
      </c>
      <c r="C105" s="1" t="s">
        <v>646</v>
      </c>
      <c r="D105" s="1" t="s">
        <v>652</v>
      </c>
      <c r="H105" s="1">
        <f>HYPERLINK("https://tidesandcurrents.noaa.gov/stationhome.html?id=8419317", "8419317")</f>
        <v>0</v>
      </c>
      <c r="I105" s="1">
        <v>-70.5633</v>
      </c>
      <c r="J105" s="1">
        <v>43.32</v>
      </c>
      <c r="K105" s="1" t="s">
        <v>860</v>
      </c>
      <c r="L105" s="1" t="s">
        <v>866</v>
      </c>
      <c r="M105" s="1" t="s">
        <v>874</v>
      </c>
      <c r="N105" s="2">
        <f>HYPERLINK("https://tidesandcurrents.noaa.gov/datums.html?datum=MLLW&amp;units=0&amp;epoch=0&amp;id=8419317", "Datum Info")</f>
        <v>0</v>
      </c>
      <c r="O105" s="1" t="s">
        <v>886</v>
      </c>
      <c r="P105" s="1">
        <v>9.56</v>
      </c>
      <c r="Q105" s="1">
        <v>9.130000000000001</v>
      </c>
      <c r="R105" s="1">
        <v>4.73</v>
      </c>
      <c r="S105" s="1">
        <v>4.77</v>
      </c>
      <c r="T105" s="1">
        <v>4.78</v>
      </c>
      <c r="U105" s="1">
        <v>0.34</v>
      </c>
      <c r="V105" s="1">
        <v>0</v>
      </c>
      <c r="W105" s="1">
        <v>5.14</v>
      </c>
      <c r="X105" s="1">
        <v>-14.77</v>
      </c>
      <c r="Y105" s="1" t="s">
        <v>1132</v>
      </c>
      <c r="Z105" s="1" t="s">
        <v>1405</v>
      </c>
    </row>
    <row r="106" spans="1:38">
      <c r="A106" s="1" t="s">
        <v>130</v>
      </c>
      <c r="B106" s="1" t="s">
        <v>617</v>
      </c>
      <c r="D106" s="1" t="s">
        <v>652</v>
      </c>
      <c r="E106" s="1" t="s">
        <v>663</v>
      </c>
      <c r="F106" s="1" t="s">
        <v>836</v>
      </c>
      <c r="G106" s="1" t="s">
        <v>854</v>
      </c>
      <c r="H106" s="1">
        <f>HYPERLINK("https://tidesandcurrents.noaa.gov/stationhome.html?id=8419399", "8419399")</f>
        <v>0</v>
      </c>
      <c r="I106" s="1">
        <v>-70.5933</v>
      </c>
      <c r="J106" s="1">
        <v>43.1667</v>
      </c>
      <c r="K106" s="1" t="s">
        <v>861</v>
      </c>
      <c r="L106" s="1" t="s">
        <v>866</v>
      </c>
      <c r="M106" s="1" t="s">
        <v>874</v>
      </c>
      <c r="N106" s="2">
        <f>HYPERLINK("https://tidesandcurrents.noaa.gov/datums.html?datum=MLLW&amp;units=0&amp;epoch=0&amp;id=8419399", "Datum Info")</f>
        <v>0</v>
      </c>
      <c r="O106" s="1" t="s">
        <v>886</v>
      </c>
      <c r="P106" s="1">
        <v>9.460000000000001</v>
      </c>
      <c r="Q106" s="1">
        <v>9.029999999999999</v>
      </c>
      <c r="R106" s="1">
        <v>4.68</v>
      </c>
      <c r="S106" s="1">
        <v>4.71</v>
      </c>
      <c r="T106" s="1">
        <v>4.73</v>
      </c>
      <c r="U106" s="1">
        <v>0.33</v>
      </c>
      <c r="V106" s="1">
        <v>0</v>
      </c>
      <c r="W106" s="1" t="s">
        <v>982</v>
      </c>
      <c r="X106" s="1">
        <v>-3.87</v>
      </c>
      <c r="Y106" s="1" t="s">
        <v>1133</v>
      </c>
      <c r="Z106" s="1" t="s">
        <v>1406</v>
      </c>
    </row>
    <row r="107" spans="1:38">
      <c r="A107" s="1" t="s">
        <v>131</v>
      </c>
      <c r="B107" s="1" t="s">
        <v>617</v>
      </c>
      <c r="D107" s="1" t="s">
        <v>652</v>
      </c>
      <c r="E107" s="1" t="s">
        <v>663</v>
      </c>
      <c r="F107" s="1" t="s">
        <v>836</v>
      </c>
      <c r="G107" s="1" t="s">
        <v>854</v>
      </c>
      <c r="H107" s="1">
        <f>HYPERLINK("https://tidesandcurrents.noaa.gov/stationhome.html?id=8419870", "8419870")</f>
        <v>0</v>
      </c>
      <c r="I107" s="1">
        <v>-70.741</v>
      </c>
      <c r="J107" s="1">
        <v>43.07972</v>
      </c>
      <c r="K107" s="1" t="s">
        <v>861</v>
      </c>
      <c r="L107" s="1" t="s">
        <v>866</v>
      </c>
      <c r="M107" s="1" t="s">
        <v>874</v>
      </c>
      <c r="N107" s="2">
        <f>HYPERLINK("https://tidesandcurrents.noaa.gov/datums.html?datum=MLLW&amp;units=0&amp;epoch=0&amp;id=8419870", "Datum Info")</f>
        <v>0</v>
      </c>
      <c r="O107" s="1" t="s">
        <v>886</v>
      </c>
      <c r="P107" s="1">
        <v>8.890000000000001</v>
      </c>
      <c r="Q107" s="1">
        <v>8.470000000000001</v>
      </c>
      <c r="R107" s="1">
        <v>4.39</v>
      </c>
      <c r="S107" s="1">
        <v>4.46</v>
      </c>
      <c r="T107" s="1">
        <v>4.45</v>
      </c>
      <c r="U107" s="1">
        <v>0.32</v>
      </c>
      <c r="V107" s="1">
        <v>0</v>
      </c>
      <c r="W107" s="1">
        <v>4.71</v>
      </c>
      <c r="X107" s="1">
        <v>-2.27</v>
      </c>
      <c r="Y107" s="1" t="s">
        <v>1134</v>
      </c>
      <c r="Z107" s="1" t="s">
        <v>1407</v>
      </c>
    </row>
    <row r="108" spans="1:38">
      <c r="A108" s="1" t="s">
        <v>132</v>
      </c>
      <c r="B108" s="1" t="s">
        <v>617</v>
      </c>
      <c r="D108" s="1" t="s">
        <v>652</v>
      </c>
      <c r="E108" s="1" t="s">
        <v>697</v>
      </c>
      <c r="F108" s="1" t="s">
        <v>839</v>
      </c>
      <c r="G108" s="1" t="s">
        <v>854</v>
      </c>
      <c r="H108" s="1">
        <f>HYPERLINK("https://tidesandcurrents.noaa.gov/stationhome.html?id=8423898", "8423898")</f>
        <v>0</v>
      </c>
      <c r="I108" s="1">
        <v>-70.7106</v>
      </c>
      <c r="J108" s="1">
        <v>43.07139</v>
      </c>
      <c r="K108" s="1" t="s">
        <v>860</v>
      </c>
      <c r="L108" s="1" t="s">
        <v>866</v>
      </c>
      <c r="M108" s="1" t="s">
        <v>874</v>
      </c>
      <c r="N108" s="2">
        <f>HYPERLINK("https://tidesandcurrents.noaa.gov/datums.html?datum=MLLW&amp;units=0&amp;epoch=0&amp;id=8423898", "Datum Info")</f>
        <v>0</v>
      </c>
      <c r="O108" s="1" t="s">
        <v>886</v>
      </c>
      <c r="P108" s="1">
        <v>9.390000000000001</v>
      </c>
      <c r="Q108" s="1">
        <v>8.970000000000001</v>
      </c>
      <c r="R108" s="1">
        <v>4.65</v>
      </c>
      <c r="S108" s="1">
        <v>4.69</v>
      </c>
      <c r="T108" s="1">
        <v>4.7</v>
      </c>
      <c r="U108" s="1">
        <v>0.34</v>
      </c>
      <c r="V108" s="1">
        <v>0</v>
      </c>
      <c r="W108" s="1">
        <v>5</v>
      </c>
      <c r="X108" s="1">
        <v>-2.71</v>
      </c>
      <c r="Y108" s="1" t="s">
        <v>1135</v>
      </c>
      <c r="Z108" s="1" t="s">
        <v>1408</v>
      </c>
    </row>
    <row r="109" spans="1:38">
      <c r="A109" s="1" t="s">
        <v>133</v>
      </c>
      <c r="B109" s="1" t="s">
        <v>617</v>
      </c>
      <c r="D109" s="1" t="s">
        <v>652</v>
      </c>
      <c r="E109" s="1" t="s">
        <v>697</v>
      </c>
      <c r="F109" s="1" t="s">
        <v>839</v>
      </c>
      <c r="G109" s="1" t="s">
        <v>854</v>
      </c>
      <c r="H109" s="1">
        <f>HYPERLINK("https://tidesandcurrents.noaa.gov/stationhome.html?id=8429489", "8429489")</f>
        <v>0</v>
      </c>
      <c r="I109" s="1">
        <v>-70.81666</v>
      </c>
      <c r="J109" s="1">
        <v>42.895</v>
      </c>
      <c r="K109" s="1" t="s">
        <v>860</v>
      </c>
      <c r="L109" s="1" t="s">
        <v>866</v>
      </c>
      <c r="M109" s="1" t="s">
        <v>874</v>
      </c>
      <c r="N109" s="2">
        <f>HYPERLINK("https://tidesandcurrents.noaa.gov/datums.html?datum=MLLW&amp;units=0&amp;epoch=0&amp;id=8429489", "Datum Info")</f>
        <v>0</v>
      </c>
    </row>
    <row r="110" spans="1:38">
      <c r="A110" s="1" t="s">
        <v>134</v>
      </c>
      <c r="B110" s="1" t="s">
        <v>617</v>
      </c>
      <c r="D110" s="1" t="s">
        <v>652</v>
      </c>
      <c r="H110" s="1" t="s">
        <v>859</v>
      </c>
      <c r="I110" s="1">
        <v>-69.79000000000001</v>
      </c>
      <c r="J110" s="1">
        <v>43.84</v>
      </c>
      <c r="K110" s="1" t="s">
        <v>861</v>
      </c>
      <c r="L110" s="1" t="s">
        <v>859</v>
      </c>
      <c r="M110" s="1" t="s">
        <v>874</v>
      </c>
    </row>
    <row r="111" spans="1:38">
      <c r="A111" s="1" t="s">
        <v>135</v>
      </c>
      <c r="B111" s="1" t="s">
        <v>617</v>
      </c>
      <c r="D111" s="1" t="s">
        <v>652</v>
      </c>
      <c r="H111" s="1" t="s">
        <v>859</v>
      </c>
      <c r="I111" s="1">
        <v>-69.03</v>
      </c>
      <c r="J111" s="1">
        <v>44.19</v>
      </c>
      <c r="K111" s="1" t="s">
        <v>861</v>
      </c>
      <c r="L111" s="1" t="s">
        <v>859</v>
      </c>
      <c r="M111" s="1" t="s">
        <v>874</v>
      </c>
    </row>
    <row r="112" spans="1:38">
      <c r="A112" s="1" t="s">
        <v>136</v>
      </c>
      <c r="B112" s="1" t="s">
        <v>617</v>
      </c>
      <c r="D112" s="1" t="s">
        <v>652</v>
      </c>
      <c r="H112" s="1" t="s">
        <v>859</v>
      </c>
      <c r="I112" s="1">
        <v>-69.01000000000001</v>
      </c>
      <c r="J112" s="1">
        <v>44.26</v>
      </c>
      <c r="K112" s="1" t="s">
        <v>861</v>
      </c>
      <c r="L112" s="1" t="s">
        <v>859</v>
      </c>
      <c r="M112" s="1" t="s">
        <v>874</v>
      </c>
    </row>
    <row r="113" spans="1:38">
      <c r="A113" s="1" t="s">
        <v>137</v>
      </c>
      <c r="B113" s="1" t="s">
        <v>617</v>
      </c>
      <c r="C113" s="1" t="s">
        <v>646</v>
      </c>
      <c r="D113" s="1" t="s">
        <v>652</v>
      </c>
      <c r="E113" s="1" t="s">
        <v>695</v>
      </c>
      <c r="F113" s="1" t="s">
        <v>836</v>
      </c>
      <c r="G113" s="1" t="s">
        <v>854</v>
      </c>
      <c r="H113" s="1">
        <f>HYPERLINK("https://waterdata.usgs.gov/nwis/nwismap/?site_no=01049330&amp;agency_cd=USGS", "US01049330")</f>
        <v>0</v>
      </c>
      <c r="I113" s="1">
        <v>-69.78819412</v>
      </c>
      <c r="J113" s="1">
        <v>44.28679649</v>
      </c>
      <c r="K113" s="1" t="s">
        <v>861</v>
      </c>
      <c r="L113" s="1" t="s">
        <v>867</v>
      </c>
      <c r="M113" s="1" t="s">
        <v>874</v>
      </c>
      <c r="N113" s="2">
        <f>HYPERLINK("https://waterservices.usgs.gov/nwis/site/?site=01049330&amp;format=rdb", "Datum Info")</f>
        <v>0</v>
      </c>
      <c r="O113" s="1" t="s">
        <v>887</v>
      </c>
      <c r="W113" s="1" t="s">
        <v>956</v>
      </c>
      <c r="AA113" s="1" t="s">
        <v>887</v>
      </c>
      <c r="AB113" s="1">
        <v>0</v>
      </c>
      <c r="AH113" s="1">
        <v>9</v>
      </c>
      <c r="AI113" s="1">
        <v>11</v>
      </c>
      <c r="AJ113" s="1">
        <v>13</v>
      </c>
      <c r="AK113" s="1">
        <v>18</v>
      </c>
      <c r="AL113" s="1" t="s">
        <v>1744</v>
      </c>
    </row>
    <row r="114" spans="1:38">
      <c r="A114" s="1" t="s">
        <v>138</v>
      </c>
      <c r="B114" s="1" t="s">
        <v>618</v>
      </c>
      <c r="C114" s="1" t="s">
        <v>645</v>
      </c>
      <c r="D114" s="1" t="s">
        <v>652</v>
      </c>
      <c r="E114" s="1" t="s">
        <v>698</v>
      </c>
      <c r="F114" s="1" t="s">
        <v>832</v>
      </c>
      <c r="G114" s="1" t="s">
        <v>854</v>
      </c>
      <c r="H114" s="1">
        <f>HYPERLINK("https://tidesandcurrents.noaa.gov/stationhome.html?id=8658120", "8658120")</f>
        <v>0</v>
      </c>
      <c r="I114" s="1">
        <v>-77.95359999999999</v>
      </c>
      <c r="J114" s="1">
        <v>34.2275</v>
      </c>
      <c r="K114" s="1" t="s">
        <v>860</v>
      </c>
      <c r="L114" s="1" t="s">
        <v>866</v>
      </c>
      <c r="M114" s="1" t="s">
        <v>874</v>
      </c>
      <c r="N114" s="2">
        <f>HYPERLINK("https://tidesandcurrents.noaa.gov/datums.html?datum=MLLW&amp;units=0&amp;epoch=0&amp;id=8658120", "Datum Info")</f>
        <v>0</v>
      </c>
      <c r="O114" s="1" t="s">
        <v>886</v>
      </c>
      <c r="P114" s="1">
        <v>4.68</v>
      </c>
      <c r="Q114" s="1">
        <v>4.43</v>
      </c>
      <c r="R114" s="1">
        <v>2.29</v>
      </c>
      <c r="S114" s="1">
        <v>2.44</v>
      </c>
      <c r="T114" s="1">
        <v>2.34</v>
      </c>
      <c r="U114" s="1">
        <v>0.16</v>
      </c>
      <c r="V114" s="1">
        <v>0</v>
      </c>
      <c r="W114" s="1">
        <v>2.6</v>
      </c>
      <c r="X114" s="1">
        <v>-2.45</v>
      </c>
      <c r="Y114" s="1" t="s">
        <v>1136</v>
      </c>
      <c r="Z114" s="1" t="s">
        <v>1409</v>
      </c>
    </row>
    <row r="115" spans="1:38">
      <c r="A115" s="1" t="s">
        <v>139</v>
      </c>
      <c r="B115" s="1" t="s">
        <v>618</v>
      </c>
      <c r="D115" s="1" t="s">
        <v>652</v>
      </c>
      <c r="H115" s="1">
        <f>HYPERLINK("https://tidesandcurrents.noaa.gov/stationhome.html?id=8658163", "8658163")</f>
        <v>0</v>
      </c>
      <c r="I115" s="1">
        <v>-77.7867</v>
      </c>
      <c r="J115" s="1">
        <v>34.21333</v>
      </c>
      <c r="K115" s="1" t="s">
        <v>860</v>
      </c>
      <c r="L115" s="1" t="s">
        <v>866</v>
      </c>
      <c r="M115" s="1" t="s">
        <v>874</v>
      </c>
      <c r="N115" s="2">
        <f>HYPERLINK("https://tidesandcurrents.noaa.gov/datums.html?datum=MLLW&amp;units=0&amp;epoch=0&amp;id=8658163", "Datum Info")</f>
        <v>0</v>
      </c>
      <c r="O115" s="1" t="s">
        <v>886</v>
      </c>
      <c r="P115" s="1">
        <v>4.48</v>
      </c>
      <c r="Q115" s="1">
        <v>4.14</v>
      </c>
      <c r="R115" s="1">
        <v>2.14</v>
      </c>
      <c r="S115" s="1">
        <v>2.15</v>
      </c>
      <c r="T115" s="1">
        <v>2.24</v>
      </c>
      <c r="U115" s="1">
        <v>0.15</v>
      </c>
      <c r="V115" s="1">
        <v>0</v>
      </c>
      <c r="W115" s="1">
        <v>2.75</v>
      </c>
      <c r="X115" s="1">
        <v>-18.83</v>
      </c>
      <c r="Y115" s="1" t="s">
        <v>1137</v>
      </c>
      <c r="Z115" s="1" t="s">
        <v>1410</v>
      </c>
    </row>
    <row r="116" spans="1:38">
      <c r="A116" s="1" t="s">
        <v>140</v>
      </c>
      <c r="B116" s="1" t="s">
        <v>618</v>
      </c>
      <c r="D116" s="1" t="s">
        <v>652</v>
      </c>
      <c r="E116" s="1" t="s">
        <v>699</v>
      </c>
      <c r="F116" s="1" t="s">
        <v>832</v>
      </c>
      <c r="G116" s="1" t="s">
        <v>854</v>
      </c>
      <c r="H116" s="1">
        <f>HYPERLINK("https://tidesandcurrents.noaa.gov/stationhome.html?id=8659084", "8659084")</f>
        <v>0</v>
      </c>
      <c r="I116" s="1">
        <v>-78.0183</v>
      </c>
      <c r="J116" s="1">
        <v>33.915</v>
      </c>
      <c r="K116" s="1" t="s">
        <v>861</v>
      </c>
      <c r="L116" s="1" t="s">
        <v>866</v>
      </c>
      <c r="M116" s="1" t="s">
        <v>874</v>
      </c>
      <c r="N116" s="2">
        <f>HYPERLINK("https://tidesandcurrents.noaa.gov/datums.html?datum=MLLW&amp;units=0&amp;epoch=0&amp;id=8659084", "Datum Info")</f>
        <v>0</v>
      </c>
      <c r="O116" s="1" t="s">
        <v>886</v>
      </c>
      <c r="P116" s="1">
        <v>4.73</v>
      </c>
      <c r="Q116" s="1">
        <v>4.4</v>
      </c>
      <c r="R116" s="1">
        <v>2.28</v>
      </c>
      <c r="S116" s="1">
        <v>2.32</v>
      </c>
      <c r="T116" s="1">
        <v>2.37</v>
      </c>
      <c r="U116" s="1">
        <v>0.16</v>
      </c>
      <c r="V116" s="1">
        <v>0</v>
      </c>
      <c r="W116" s="1">
        <v>2.78</v>
      </c>
      <c r="X116" s="1">
        <v>-10.67</v>
      </c>
      <c r="Y116" s="1" t="s">
        <v>1138</v>
      </c>
      <c r="Z116" s="1" t="s">
        <v>1411</v>
      </c>
    </row>
    <row r="117" spans="1:38">
      <c r="A117" s="1" t="s">
        <v>141</v>
      </c>
      <c r="B117" s="1" t="s">
        <v>618</v>
      </c>
      <c r="D117" s="1" t="s">
        <v>652</v>
      </c>
      <c r="H117" s="1">
        <f>HYPERLINK("https://tidesandcurrents.noaa.gov/stationhome.html?id=8659897", "8659897")</f>
        <v>0</v>
      </c>
      <c r="I117" s="1">
        <v>-78.5067</v>
      </c>
      <c r="J117" s="1">
        <v>33.865</v>
      </c>
      <c r="K117" s="1" t="s">
        <v>860</v>
      </c>
      <c r="L117" s="1" t="s">
        <v>866</v>
      </c>
      <c r="M117" s="1" t="s">
        <v>874</v>
      </c>
      <c r="N117" s="2">
        <f>HYPERLINK("https://tidesandcurrents.noaa.gov/datums.html?datum=MLLW&amp;units=0&amp;epoch=0&amp;id=8659897", "Datum Info")</f>
        <v>0</v>
      </c>
      <c r="O117" s="1" t="s">
        <v>886</v>
      </c>
      <c r="P117" s="1">
        <v>5.53</v>
      </c>
      <c r="Q117" s="1">
        <v>5.14</v>
      </c>
      <c r="R117" s="1">
        <v>2.66</v>
      </c>
      <c r="S117" s="1">
        <v>2.67</v>
      </c>
      <c r="T117" s="1">
        <v>2.76</v>
      </c>
      <c r="U117" s="1">
        <v>0.19</v>
      </c>
      <c r="V117" s="1">
        <v>0</v>
      </c>
      <c r="W117" s="1" t="s">
        <v>984</v>
      </c>
      <c r="X117" s="1">
        <v>-5.49</v>
      </c>
      <c r="Y117" s="1" t="s">
        <v>1139</v>
      </c>
      <c r="Z117" s="1" t="s">
        <v>1347</v>
      </c>
    </row>
    <row r="118" spans="1:38">
      <c r="A118" s="1" t="s">
        <v>142</v>
      </c>
      <c r="B118" s="1" t="s">
        <v>618</v>
      </c>
      <c r="C118" s="1" t="s">
        <v>645</v>
      </c>
      <c r="D118" s="1" t="s">
        <v>652</v>
      </c>
      <c r="E118" s="1" t="s">
        <v>700</v>
      </c>
      <c r="F118" s="1" t="s">
        <v>837</v>
      </c>
      <c r="G118" s="1" t="s">
        <v>854</v>
      </c>
      <c r="H118" s="1">
        <f>HYPERLINK("https://tidesandcurrents.noaa.gov/stationhome.html?id=8662245", "8662245")</f>
        <v>0</v>
      </c>
      <c r="I118" s="1">
        <v>-79.1867</v>
      </c>
      <c r="J118" s="1">
        <v>33.3517</v>
      </c>
      <c r="K118" s="1" t="s">
        <v>860</v>
      </c>
      <c r="L118" s="1" t="s">
        <v>866</v>
      </c>
      <c r="M118" s="1" t="s">
        <v>874</v>
      </c>
      <c r="N118" s="2">
        <f>HYPERLINK("https://tidesandcurrents.noaa.gov/datums.html?datum=MLLW&amp;units=0&amp;epoch=0&amp;id=8662245", "Datum Info")</f>
        <v>0</v>
      </c>
      <c r="O118" s="1" t="s">
        <v>886</v>
      </c>
      <c r="P118" s="1">
        <v>5.1</v>
      </c>
      <c r="Q118" s="1">
        <v>4.75</v>
      </c>
      <c r="R118" s="1">
        <v>2.47</v>
      </c>
      <c r="S118" s="1">
        <v>2.68</v>
      </c>
      <c r="T118" s="1">
        <v>2.55</v>
      </c>
      <c r="U118" s="1">
        <v>0.18</v>
      </c>
      <c r="V118" s="1">
        <v>0</v>
      </c>
      <c r="W118" s="1">
        <v>2.7</v>
      </c>
      <c r="X118" s="1">
        <v>-3.99</v>
      </c>
      <c r="Y118" s="1" t="s">
        <v>1140</v>
      </c>
      <c r="Z118" s="1" t="s">
        <v>1412</v>
      </c>
    </row>
    <row r="119" spans="1:38">
      <c r="A119" s="1" t="s">
        <v>143</v>
      </c>
      <c r="B119" s="1" t="s">
        <v>618</v>
      </c>
      <c r="C119" s="1" t="s">
        <v>645</v>
      </c>
      <c r="D119" s="1" t="s">
        <v>652</v>
      </c>
      <c r="E119" s="1" t="s">
        <v>700</v>
      </c>
      <c r="F119" s="1" t="s">
        <v>837</v>
      </c>
      <c r="G119" s="1" t="s">
        <v>854</v>
      </c>
      <c r="H119" s="1">
        <f>HYPERLINK("https://tidesandcurrents.noaa.gov/stationhome.html?id=8662549", "8662549")</f>
        <v>0</v>
      </c>
      <c r="I119" s="1">
        <v>-79.2683</v>
      </c>
      <c r="J119" s="1">
        <v>33.2517</v>
      </c>
      <c r="K119" s="1" t="s">
        <v>860</v>
      </c>
      <c r="L119" s="1" t="s">
        <v>866</v>
      </c>
      <c r="M119" s="1" t="s">
        <v>874</v>
      </c>
      <c r="N119" s="2">
        <f>HYPERLINK("https://tidesandcurrents.noaa.gov/datums.html?datum=MLLW&amp;units=0&amp;epoch=0&amp;id=8662549", "Datum Info")</f>
        <v>0</v>
      </c>
      <c r="O119" s="1" t="s">
        <v>886</v>
      </c>
      <c r="P119" s="1">
        <v>4.12</v>
      </c>
      <c r="Q119" s="1">
        <v>3.83</v>
      </c>
      <c r="R119" s="1">
        <v>1.99</v>
      </c>
      <c r="S119" s="1">
        <v>2.01</v>
      </c>
      <c r="T119" s="1">
        <v>2.06</v>
      </c>
      <c r="U119" s="1">
        <v>0.14</v>
      </c>
      <c r="V119" s="1">
        <v>0</v>
      </c>
      <c r="W119" s="1">
        <v>2.17</v>
      </c>
      <c r="X119" s="1">
        <v>-2.56</v>
      </c>
      <c r="Y119" s="1" t="s">
        <v>1141</v>
      </c>
      <c r="Z119" s="1" t="s">
        <v>1199</v>
      </c>
    </row>
    <row r="120" spans="1:38">
      <c r="A120" s="1" t="s">
        <v>144</v>
      </c>
      <c r="B120" s="1" t="s">
        <v>618</v>
      </c>
      <c r="C120" s="1" t="s">
        <v>645</v>
      </c>
      <c r="D120" s="1" t="s">
        <v>652</v>
      </c>
      <c r="E120" s="1" t="s">
        <v>700</v>
      </c>
      <c r="F120" s="1" t="s">
        <v>837</v>
      </c>
      <c r="G120" s="1" t="s">
        <v>854</v>
      </c>
      <c r="H120" s="1">
        <f>HYPERLINK("https://tidesandcurrents.noaa.gov/stationhome.html?id=8662793", "8662793")</f>
        <v>0</v>
      </c>
      <c r="I120" s="1">
        <v>-79.38500000000001</v>
      </c>
      <c r="J120" s="1">
        <v>33.21</v>
      </c>
      <c r="K120" s="1" t="s">
        <v>861</v>
      </c>
      <c r="L120" s="1" t="s">
        <v>866</v>
      </c>
      <c r="M120" s="1" t="s">
        <v>874</v>
      </c>
      <c r="N120" s="2">
        <f>HYPERLINK("https://tidesandcurrents.noaa.gov/datums.html?datum=MLLW&amp;units=0&amp;epoch=0&amp;id=8662793", "Datum Info")</f>
        <v>0</v>
      </c>
      <c r="AB120" s="1">
        <v>-3.47</v>
      </c>
      <c r="AF120" s="1" t="s">
        <v>1713</v>
      </c>
      <c r="AH120" s="1">
        <v>0</v>
      </c>
      <c r="AI120" s="1">
        <v>0</v>
      </c>
      <c r="AJ120" s="1">
        <v>0</v>
      </c>
      <c r="AK120" s="1">
        <v>0</v>
      </c>
      <c r="AL120" s="1" t="s">
        <v>1744</v>
      </c>
    </row>
    <row r="121" spans="1:38">
      <c r="A121" s="1" t="s">
        <v>145</v>
      </c>
      <c r="B121" s="1" t="s">
        <v>618</v>
      </c>
      <c r="D121" s="1" t="s">
        <v>652</v>
      </c>
      <c r="H121" s="1" t="s">
        <v>859</v>
      </c>
      <c r="I121" s="1">
        <v>-78.3</v>
      </c>
      <c r="J121" s="1">
        <v>33.91</v>
      </c>
      <c r="K121" s="1" t="s">
        <v>861</v>
      </c>
      <c r="L121" s="1" t="s">
        <v>859</v>
      </c>
      <c r="M121" s="1" t="s">
        <v>874</v>
      </c>
    </row>
    <row r="122" spans="1:38">
      <c r="A122" s="1" t="s">
        <v>146</v>
      </c>
      <c r="B122" s="1" t="s">
        <v>618</v>
      </c>
      <c r="D122" s="1" t="s">
        <v>652</v>
      </c>
      <c r="E122" s="1" t="s">
        <v>700</v>
      </c>
      <c r="F122" s="1" t="s">
        <v>837</v>
      </c>
      <c r="G122" s="1" t="s">
        <v>854</v>
      </c>
      <c r="H122" s="1" t="s">
        <v>859</v>
      </c>
      <c r="I122" s="1">
        <v>-79.288056</v>
      </c>
      <c r="J122" s="1">
        <v>33.309167</v>
      </c>
      <c r="K122" s="1" t="s">
        <v>863</v>
      </c>
      <c r="L122" s="1" t="s">
        <v>859</v>
      </c>
      <c r="M122" s="1" t="s">
        <v>874</v>
      </c>
    </row>
    <row r="123" spans="1:38">
      <c r="A123" s="1" t="s">
        <v>147</v>
      </c>
      <c r="B123" s="1" t="s">
        <v>618</v>
      </c>
      <c r="C123" s="1" t="s">
        <v>645</v>
      </c>
      <c r="D123" s="1" t="s">
        <v>652</v>
      </c>
      <c r="E123" s="1" t="s">
        <v>701</v>
      </c>
      <c r="F123" s="1" t="s">
        <v>837</v>
      </c>
      <c r="G123" s="1" t="s">
        <v>854</v>
      </c>
      <c r="H123" s="1">
        <f>HYPERLINK("https://waterdata.usgs.gov/nwis/nwismap/?site_no=02110725&amp;agency_cd=USGS", "US02110725")</f>
        <v>0</v>
      </c>
      <c r="I123" s="1">
        <v>-79.00475428999999</v>
      </c>
      <c r="J123" s="1">
        <v>33.68710849</v>
      </c>
      <c r="K123" s="1" t="s">
        <v>861</v>
      </c>
      <c r="L123" s="1" t="s">
        <v>867</v>
      </c>
      <c r="M123" s="1" t="s">
        <v>874</v>
      </c>
      <c r="N123" s="2">
        <f>HYPERLINK("https://waterservices.usgs.gov/nwis/site/?site=02110725&amp;format=rdb", "Datum Info")</f>
        <v>0</v>
      </c>
      <c r="O123" s="1" t="s">
        <v>887</v>
      </c>
      <c r="W123" s="1" t="s">
        <v>985</v>
      </c>
      <c r="AH123" s="1">
        <v>14.5</v>
      </c>
      <c r="AI123" s="1">
        <v>15</v>
      </c>
      <c r="AJ123" s="1">
        <v>16.5</v>
      </c>
      <c r="AK123" s="1">
        <v>18</v>
      </c>
      <c r="AL123" s="1" t="s">
        <v>1744</v>
      </c>
    </row>
    <row r="124" spans="1:38">
      <c r="A124" s="1" t="s">
        <v>148</v>
      </c>
      <c r="B124" s="1" t="s">
        <v>618</v>
      </c>
      <c r="C124" s="1" t="s">
        <v>645</v>
      </c>
      <c r="D124" s="1" t="s">
        <v>652</v>
      </c>
      <c r="E124" s="1" t="s">
        <v>701</v>
      </c>
      <c r="F124" s="1" t="s">
        <v>837</v>
      </c>
      <c r="G124" s="1" t="s">
        <v>854</v>
      </c>
      <c r="H124" s="1">
        <f>HYPERLINK("https://waterdata.usgs.gov/nwis/nwismap/?site_no=02110777&amp;agency_cd=USGS", "US02110777")</f>
        <v>0</v>
      </c>
      <c r="I124" s="1">
        <v>-78.65584578000001</v>
      </c>
      <c r="J124" s="1">
        <v>33.85155454</v>
      </c>
      <c r="K124" s="1" t="s">
        <v>861</v>
      </c>
      <c r="L124" s="1" t="s">
        <v>867</v>
      </c>
      <c r="M124" s="1" t="s">
        <v>874</v>
      </c>
      <c r="N124" s="2">
        <f>HYPERLINK("https://waterservices.usgs.gov/nwis/site/?site=02110777&amp;format=rdb", "Datum Info")</f>
        <v>0</v>
      </c>
      <c r="O124" s="1" t="s">
        <v>887</v>
      </c>
      <c r="P124" s="1" t="s">
        <v>907</v>
      </c>
      <c r="Q124" s="1" t="s">
        <v>914</v>
      </c>
      <c r="R124" s="1" t="s">
        <v>921</v>
      </c>
      <c r="T124" s="1" t="s">
        <v>928</v>
      </c>
      <c r="U124" s="1" t="s">
        <v>936</v>
      </c>
      <c r="V124" s="1" t="s">
        <v>943</v>
      </c>
      <c r="W124" s="1" t="s">
        <v>986</v>
      </c>
      <c r="Y124" s="1" t="s">
        <v>1142</v>
      </c>
      <c r="Z124" s="1" t="s">
        <v>1413</v>
      </c>
      <c r="AB124" s="1">
        <v>-11.72</v>
      </c>
      <c r="AH124" s="1">
        <v>0</v>
      </c>
      <c r="AI124" s="1">
        <v>0</v>
      </c>
      <c r="AJ124" s="1">
        <v>0</v>
      </c>
      <c r="AK124" s="1">
        <v>0</v>
      </c>
      <c r="AL124" s="1" t="s">
        <v>1744</v>
      </c>
    </row>
    <row r="125" spans="1:38">
      <c r="A125" s="1" t="s">
        <v>149</v>
      </c>
      <c r="B125" s="1" t="s">
        <v>618</v>
      </c>
      <c r="C125" s="1" t="s">
        <v>645</v>
      </c>
      <c r="D125" s="1" t="s">
        <v>652</v>
      </c>
      <c r="E125" s="1" t="s">
        <v>701</v>
      </c>
      <c r="F125" s="1" t="s">
        <v>837</v>
      </c>
      <c r="G125" s="1" t="s">
        <v>854</v>
      </c>
      <c r="H125" s="1">
        <f>HYPERLINK("https://waterdata.usgs.gov/nwis/nwismap/?site_no=02110802&amp;agency_cd=USGS", "US02110802")</f>
        <v>0</v>
      </c>
      <c r="I125" s="1">
        <v>-79.09420375000001</v>
      </c>
      <c r="J125" s="1">
        <v>33.64905177</v>
      </c>
      <c r="K125" s="1" t="s">
        <v>861</v>
      </c>
      <c r="L125" s="1" t="s">
        <v>867</v>
      </c>
      <c r="M125" s="1" t="s">
        <v>874</v>
      </c>
      <c r="N125" s="2">
        <f>HYPERLINK("https://waterservices.usgs.gov/nwis/site/?site=02110802&amp;format=rdb", "Datum Info")</f>
        <v>0</v>
      </c>
      <c r="O125" s="1" t="s">
        <v>889</v>
      </c>
      <c r="Y125" s="1" t="s">
        <v>1143</v>
      </c>
      <c r="AB125" s="1">
        <v>-14.36</v>
      </c>
      <c r="AH125" s="1">
        <v>0</v>
      </c>
      <c r="AI125" s="1">
        <v>0</v>
      </c>
      <c r="AJ125" s="1">
        <v>0</v>
      </c>
      <c r="AK125" s="1">
        <v>0</v>
      </c>
      <c r="AL125" s="1" t="s">
        <v>1744</v>
      </c>
    </row>
    <row r="126" spans="1:38">
      <c r="A126" s="1" t="s">
        <v>150</v>
      </c>
      <c r="B126" s="1" t="s">
        <v>618</v>
      </c>
      <c r="C126" s="1" t="s">
        <v>645</v>
      </c>
      <c r="D126" s="1" t="s">
        <v>652</v>
      </c>
      <c r="E126" s="1" t="s">
        <v>700</v>
      </c>
      <c r="F126" s="1" t="s">
        <v>837</v>
      </c>
      <c r="G126" s="1" t="s">
        <v>854</v>
      </c>
      <c r="H126" s="1">
        <f>HYPERLINK("https://waterdata.usgs.gov/nwis/nwismap/?site_no=021108125&amp;agency_cd=USGS", "US021108125")</f>
        <v>0</v>
      </c>
      <c r="I126" s="1">
        <v>-79.12698406</v>
      </c>
      <c r="J126" s="1">
        <v>33.50655068</v>
      </c>
      <c r="K126" s="1" t="s">
        <v>861</v>
      </c>
      <c r="L126" s="1" t="s">
        <v>867</v>
      </c>
      <c r="M126" s="1" t="s">
        <v>874</v>
      </c>
      <c r="N126" s="2">
        <f>HYPERLINK("https://waterservices.usgs.gov/nwis/site/?site=021108125&amp;format=rdb", "Datum Info")</f>
        <v>0</v>
      </c>
      <c r="O126" s="1" t="s">
        <v>887</v>
      </c>
      <c r="W126" s="1" t="s">
        <v>987</v>
      </c>
      <c r="AB126" s="1">
        <v>-4.5</v>
      </c>
      <c r="AH126" s="1">
        <v>0</v>
      </c>
      <c r="AI126" s="1">
        <v>0</v>
      </c>
      <c r="AJ126" s="1">
        <v>0</v>
      </c>
      <c r="AK126" s="1">
        <v>0</v>
      </c>
      <c r="AL126" s="1" t="s">
        <v>1744</v>
      </c>
    </row>
    <row r="127" spans="1:38">
      <c r="A127" s="1" t="s">
        <v>151</v>
      </c>
      <c r="B127" s="1" t="s">
        <v>618</v>
      </c>
      <c r="C127" s="1" t="s">
        <v>645</v>
      </c>
      <c r="D127" s="1" t="s">
        <v>652</v>
      </c>
      <c r="E127" s="1" t="s">
        <v>700</v>
      </c>
      <c r="F127" s="1" t="s">
        <v>837</v>
      </c>
      <c r="G127" s="1" t="s">
        <v>854</v>
      </c>
      <c r="H127" s="1">
        <f>HYPERLINK("https://waterdata.usgs.gov/nwis/nwismap/?site_no=02110815&amp;agency_cd=USGS", "US02110815")</f>
        <v>0</v>
      </c>
      <c r="I127" s="1">
        <v>-79.17393145</v>
      </c>
      <c r="J127" s="1">
        <v>33.4446059</v>
      </c>
      <c r="K127" s="1" t="s">
        <v>861</v>
      </c>
      <c r="L127" s="1" t="s">
        <v>867</v>
      </c>
      <c r="M127" s="1" t="s">
        <v>874</v>
      </c>
      <c r="N127" s="2">
        <f>HYPERLINK("https://waterservices.usgs.gov/nwis/site/?site=02110815&amp;format=rdb", "Datum Info")</f>
        <v>0</v>
      </c>
      <c r="O127" s="1" t="s">
        <v>889</v>
      </c>
      <c r="Y127" s="1" t="s">
        <v>1144</v>
      </c>
      <c r="AA127" s="1" t="s">
        <v>1610</v>
      </c>
      <c r="AB127" s="1">
        <v>-14.14</v>
      </c>
      <c r="AH127" s="1">
        <v>0</v>
      </c>
      <c r="AI127" s="1">
        <v>0</v>
      </c>
      <c r="AJ127" s="1">
        <v>0</v>
      </c>
      <c r="AK127" s="1">
        <v>0</v>
      </c>
      <c r="AL127" s="1" t="s">
        <v>1744</v>
      </c>
    </row>
    <row r="128" spans="1:38">
      <c r="A128" s="1" t="s">
        <v>152</v>
      </c>
      <c r="B128" s="1" t="s">
        <v>618</v>
      </c>
      <c r="C128" s="1" t="s">
        <v>645</v>
      </c>
      <c r="D128" s="1" t="s">
        <v>652</v>
      </c>
      <c r="E128" s="1" t="s">
        <v>700</v>
      </c>
      <c r="F128" s="1" t="s">
        <v>837</v>
      </c>
      <c r="G128" s="1" t="s">
        <v>854</v>
      </c>
      <c r="H128" s="1">
        <f>HYPERLINK("https://waterdata.usgs.gov/nwis/nwismap/?site_no=02136350&amp;agency_cd=USGS", "US02136350")</f>
        <v>0</v>
      </c>
      <c r="I128" s="1">
        <v>-79.26365902000001</v>
      </c>
      <c r="J128" s="1">
        <v>33.36932743</v>
      </c>
      <c r="K128" s="1" t="s">
        <v>861</v>
      </c>
      <c r="L128" s="1" t="s">
        <v>867</v>
      </c>
      <c r="M128" s="1" t="s">
        <v>874</v>
      </c>
      <c r="N128" s="2">
        <f>HYPERLINK("https://waterservices.usgs.gov/nwis/site/?site=02136350&amp;format=rdb", "Datum Info")</f>
        <v>0</v>
      </c>
      <c r="O128" s="1" t="s">
        <v>887</v>
      </c>
      <c r="P128" s="1" t="s">
        <v>908</v>
      </c>
      <c r="Q128" s="1" t="s">
        <v>915</v>
      </c>
      <c r="R128" s="1" t="s">
        <v>922</v>
      </c>
      <c r="T128" s="1" t="s">
        <v>929</v>
      </c>
      <c r="U128" s="1" t="s">
        <v>937</v>
      </c>
      <c r="V128" s="1" t="s">
        <v>944</v>
      </c>
      <c r="W128" s="1" t="s">
        <v>988</v>
      </c>
      <c r="Y128" s="1" t="s">
        <v>1145</v>
      </c>
      <c r="Z128" s="1" t="s">
        <v>1414</v>
      </c>
      <c r="AB128" s="1">
        <v>-11.58</v>
      </c>
      <c r="AH128" s="1">
        <v>0</v>
      </c>
      <c r="AI128" s="1">
        <v>0</v>
      </c>
      <c r="AJ128" s="1">
        <v>0</v>
      </c>
      <c r="AK128" s="1">
        <v>0</v>
      </c>
      <c r="AL128" s="1" t="s">
        <v>1744</v>
      </c>
    </row>
    <row r="129" spans="1:38">
      <c r="A129" s="1" t="s">
        <v>153</v>
      </c>
      <c r="B129" s="1" t="s">
        <v>619</v>
      </c>
      <c r="C129" s="1" t="s">
        <v>644</v>
      </c>
      <c r="D129" s="1" t="s">
        <v>652</v>
      </c>
      <c r="H129" s="1">
        <f>HYPERLINK("https://tidesandcurrents.noaa.gov/stationhome.html?id=8571091", "8571091")</f>
        <v>0</v>
      </c>
      <c r="I129" s="1">
        <v>-75.8633</v>
      </c>
      <c r="J129" s="1">
        <v>37.9767</v>
      </c>
      <c r="K129" s="1" t="s">
        <v>861</v>
      </c>
      <c r="L129" s="1" t="s">
        <v>866</v>
      </c>
      <c r="M129" s="1" t="s">
        <v>873</v>
      </c>
      <c r="N129" s="2">
        <f>HYPERLINK("https://tidesandcurrents.noaa.gov/datums.html?datum=MLLW&amp;units=0&amp;epoch=0&amp;id=8571091", "Datum Info")</f>
        <v>0</v>
      </c>
      <c r="O129" s="1" t="s">
        <v>886</v>
      </c>
      <c r="P129" s="1">
        <v>2.15</v>
      </c>
      <c r="Q129" s="1">
        <v>1.98</v>
      </c>
      <c r="R129" s="1">
        <v>1.05</v>
      </c>
      <c r="S129" s="1">
        <v>1</v>
      </c>
      <c r="T129" s="1">
        <v>1.07</v>
      </c>
      <c r="U129" s="1">
        <v>0.12</v>
      </c>
      <c r="V129" s="1">
        <v>0</v>
      </c>
      <c r="W129" s="1">
        <v>1.16</v>
      </c>
      <c r="X129" s="1">
        <v>-5</v>
      </c>
      <c r="Y129" s="1" t="s">
        <v>1146</v>
      </c>
      <c r="Z129" s="1" t="s">
        <v>1415</v>
      </c>
      <c r="AA129" s="1" t="s">
        <v>887</v>
      </c>
      <c r="AB129" s="1">
        <v>0</v>
      </c>
      <c r="AC129" s="1" t="s">
        <v>1630</v>
      </c>
      <c r="AH129" s="1">
        <v>3</v>
      </c>
      <c r="AI129" s="1">
        <v>3.5</v>
      </c>
      <c r="AJ129" s="1">
        <v>4</v>
      </c>
      <c r="AK129" s="1">
        <v>5</v>
      </c>
      <c r="AL129" s="1" t="s">
        <v>1744</v>
      </c>
    </row>
    <row r="130" spans="1:38">
      <c r="A130" s="1" t="s">
        <v>154</v>
      </c>
      <c r="B130" s="1" t="s">
        <v>619</v>
      </c>
      <c r="D130" s="1" t="s">
        <v>652</v>
      </c>
      <c r="H130" s="1">
        <f>HYPERLINK("https://tidesandcurrents.noaa.gov/stationhome.html?id=8571421", "8571421")</f>
        <v>0</v>
      </c>
      <c r="I130" s="1">
        <v>-76.03830000000001</v>
      </c>
      <c r="J130" s="1">
        <v>38.22</v>
      </c>
      <c r="K130" s="1" t="s">
        <v>860</v>
      </c>
      <c r="L130" s="1" t="s">
        <v>866</v>
      </c>
      <c r="M130" s="1" t="s">
        <v>873</v>
      </c>
      <c r="N130" s="2">
        <f>HYPERLINK("https://tidesandcurrents.noaa.gov/datums.html?datum=MLLW&amp;units=0&amp;epoch=0&amp;id=8571421", "Datum Info")</f>
        <v>0</v>
      </c>
      <c r="O130" s="1" t="s">
        <v>886</v>
      </c>
      <c r="P130" s="1">
        <v>2.06</v>
      </c>
      <c r="Q130" s="1">
        <v>1.9</v>
      </c>
      <c r="R130" s="1">
        <v>1.02</v>
      </c>
      <c r="S130" s="1">
        <v>1.02</v>
      </c>
      <c r="T130" s="1">
        <v>1.03</v>
      </c>
      <c r="U130" s="1">
        <v>0.14</v>
      </c>
      <c r="V130" s="1">
        <v>0</v>
      </c>
      <c r="W130" s="1">
        <v>1.21</v>
      </c>
      <c r="X130" s="1">
        <v>-28.95</v>
      </c>
      <c r="Y130" s="1" t="s">
        <v>1147</v>
      </c>
      <c r="Z130" s="1" t="s">
        <v>1416</v>
      </c>
    </row>
    <row r="131" spans="1:38">
      <c r="A131" s="1" t="s">
        <v>155</v>
      </c>
      <c r="B131" s="1" t="s">
        <v>619</v>
      </c>
      <c r="C131" s="1" t="s">
        <v>644</v>
      </c>
      <c r="D131" s="1" t="s">
        <v>652</v>
      </c>
      <c r="E131" s="1" t="s">
        <v>702</v>
      </c>
      <c r="F131" s="1" t="s">
        <v>830</v>
      </c>
      <c r="G131" s="1" t="s">
        <v>854</v>
      </c>
      <c r="H131" s="1">
        <f>HYPERLINK("https://tidesandcurrents.noaa.gov/stationhome.html?id=8573927", "8573927")</f>
        <v>0</v>
      </c>
      <c r="I131" s="1">
        <v>-75.81</v>
      </c>
      <c r="J131" s="1">
        <v>39.52667</v>
      </c>
      <c r="K131" s="1" t="s">
        <v>860</v>
      </c>
      <c r="L131" s="1" t="s">
        <v>866</v>
      </c>
      <c r="M131" s="1" t="s">
        <v>873</v>
      </c>
      <c r="N131" s="2">
        <f>HYPERLINK("https://tidesandcurrents.noaa.gov/datums.html?datum=MLLW&amp;units=0&amp;epoch=0&amp;id=8573927", "Datum Info")</f>
        <v>0</v>
      </c>
      <c r="O131" s="1" t="s">
        <v>886</v>
      </c>
      <c r="P131" s="1">
        <v>3.23</v>
      </c>
      <c r="Q131" s="1">
        <v>3.02</v>
      </c>
      <c r="R131" s="1">
        <v>1.62</v>
      </c>
      <c r="S131" s="1">
        <v>1.56</v>
      </c>
      <c r="T131" s="1">
        <v>1.61</v>
      </c>
      <c r="U131" s="1">
        <v>0.22</v>
      </c>
      <c r="V131" s="1">
        <v>0</v>
      </c>
      <c r="W131" s="1">
        <v>1.6</v>
      </c>
      <c r="X131" s="1">
        <v>-3.15</v>
      </c>
      <c r="Y131" s="1" t="s">
        <v>1109</v>
      </c>
      <c r="Z131" s="1" t="s">
        <v>1417</v>
      </c>
    </row>
    <row r="132" spans="1:38">
      <c r="A132" s="1" t="s">
        <v>156</v>
      </c>
      <c r="B132" s="1" t="s">
        <v>619</v>
      </c>
      <c r="D132" s="1" t="s">
        <v>652</v>
      </c>
      <c r="E132" s="1" t="s">
        <v>703</v>
      </c>
      <c r="F132" s="1" t="s">
        <v>830</v>
      </c>
      <c r="G132" s="1" t="s">
        <v>854</v>
      </c>
      <c r="H132" s="1">
        <f>HYPERLINK("https://tidesandcurrents.noaa.gov/stationhome.html?id=8574070", "8574070")</f>
        <v>0</v>
      </c>
      <c r="I132" s="1">
        <v>-76.09</v>
      </c>
      <c r="J132" s="1">
        <v>39.5367</v>
      </c>
      <c r="K132" s="1" t="s">
        <v>860</v>
      </c>
      <c r="L132" s="1" t="s">
        <v>866</v>
      </c>
      <c r="M132" s="1" t="s">
        <v>873</v>
      </c>
      <c r="N132" s="2">
        <f>HYPERLINK("https://tidesandcurrents.noaa.gov/datums.html?datum=MLLW&amp;units=0&amp;epoch=0&amp;id=8574070", "Datum Info")</f>
        <v>0</v>
      </c>
      <c r="O132" s="1" t="s">
        <v>886</v>
      </c>
      <c r="P132" s="1">
        <v>2.44</v>
      </c>
      <c r="Q132" s="1">
        <v>2.1</v>
      </c>
      <c r="R132" s="1">
        <v>1.15</v>
      </c>
      <c r="S132" s="1">
        <v>1.18</v>
      </c>
      <c r="T132" s="1">
        <v>1.22</v>
      </c>
      <c r="U132" s="1">
        <v>0.21</v>
      </c>
      <c r="V132" s="1">
        <v>0</v>
      </c>
      <c r="W132" s="1" t="s">
        <v>989</v>
      </c>
      <c r="X132" s="1">
        <v>-6.32</v>
      </c>
      <c r="Y132" s="1" t="s">
        <v>1148</v>
      </c>
      <c r="Z132" s="1" t="s">
        <v>1418</v>
      </c>
      <c r="AA132" s="1" t="s">
        <v>886</v>
      </c>
      <c r="AB132" s="1">
        <v>1.03</v>
      </c>
      <c r="AC132" s="1" t="s">
        <v>1631</v>
      </c>
      <c r="AD132" s="1" t="s">
        <v>1690</v>
      </c>
      <c r="AE132" s="1" t="s">
        <v>1640</v>
      </c>
      <c r="AG132" s="1" t="s">
        <v>1690</v>
      </c>
      <c r="AH132" s="1">
        <v>3.5</v>
      </c>
      <c r="AI132" s="1">
        <v>4</v>
      </c>
      <c r="AJ132" s="1">
        <v>5.5</v>
      </c>
      <c r="AK132" s="1">
        <v>7</v>
      </c>
      <c r="AL132" s="1" t="s">
        <v>1744</v>
      </c>
    </row>
    <row r="133" spans="1:38">
      <c r="A133" s="1" t="s">
        <v>157</v>
      </c>
      <c r="B133" s="1" t="s">
        <v>619</v>
      </c>
      <c r="C133" s="1" t="s">
        <v>644</v>
      </c>
      <c r="D133" s="1" t="s">
        <v>652</v>
      </c>
      <c r="H133" s="1">
        <f>HYPERLINK("https://tidesandcurrents.noaa.gov/stationhome.html?id=8574680", "8574680")</f>
        <v>0</v>
      </c>
      <c r="I133" s="1">
        <v>-76.57940000000001</v>
      </c>
      <c r="J133" s="1">
        <v>39.26694</v>
      </c>
      <c r="K133" s="1" t="s">
        <v>860</v>
      </c>
      <c r="L133" s="1" t="s">
        <v>866</v>
      </c>
      <c r="M133" s="1" t="s">
        <v>873</v>
      </c>
      <c r="N133" s="2">
        <f>HYPERLINK("https://tidesandcurrents.noaa.gov/datums.html?datum=MLLW&amp;units=0&amp;epoch=0&amp;id=8574680", "Datum Info")</f>
        <v>0</v>
      </c>
      <c r="O133" s="1" t="s">
        <v>886</v>
      </c>
      <c r="P133" s="1">
        <v>1.66</v>
      </c>
      <c r="Q133" s="1">
        <v>1.37</v>
      </c>
      <c r="R133" s="1">
        <v>0.79</v>
      </c>
      <c r="S133" s="1">
        <v>0.8100000000000001</v>
      </c>
      <c r="T133" s="1">
        <v>0.83</v>
      </c>
      <c r="U133" s="1">
        <v>0.22</v>
      </c>
      <c r="V133" s="1">
        <v>0</v>
      </c>
      <c r="W133" s="1">
        <v>0.84</v>
      </c>
      <c r="X133" s="1">
        <v>-4.1</v>
      </c>
      <c r="Y133" s="1" t="s">
        <v>1149</v>
      </c>
      <c r="Z133" s="1" t="s">
        <v>1419</v>
      </c>
    </row>
    <row r="134" spans="1:38">
      <c r="A134" s="1" t="s">
        <v>158</v>
      </c>
      <c r="B134" s="1" t="s">
        <v>619</v>
      </c>
      <c r="C134" s="1" t="s">
        <v>644</v>
      </c>
      <c r="D134" s="1" t="s">
        <v>652</v>
      </c>
      <c r="E134" s="1" t="s">
        <v>704</v>
      </c>
      <c r="F134" s="1" t="s">
        <v>830</v>
      </c>
      <c r="G134" s="1" t="s">
        <v>854</v>
      </c>
      <c r="H134" s="1">
        <f>HYPERLINK("https://tidesandcurrents.noaa.gov/stationhome.html?id=8575512", "8575512")</f>
        <v>0</v>
      </c>
      <c r="I134" s="1">
        <v>-76.4816</v>
      </c>
      <c r="J134" s="1">
        <v>38.98328</v>
      </c>
      <c r="K134" s="1" t="s">
        <v>860</v>
      </c>
      <c r="L134" s="1" t="s">
        <v>866</v>
      </c>
      <c r="M134" s="1" t="s">
        <v>873</v>
      </c>
      <c r="N134" s="2">
        <f>HYPERLINK("https://tidesandcurrents.noaa.gov/datums.html?datum=MLLW&amp;units=0&amp;epoch=0&amp;id=8575512", "Datum Info")</f>
        <v>0</v>
      </c>
      <c r="O134" s="1" t="s">
        <v>886</v>
      </c>
      <c r="P134" s="1">
        <v>1.43</v>
      </c>
      <c r="Q134" s="1">
        <v>1.19</v>
      </c>
      <c r="R134" s="1">
        <v>0.7</v>
      </c>
      <c r="S134" s="1">
        <v>0.72</v>
      </c>
      <c r="T134" s="1">
        <v>0.72</v>
      </c>
      <c r="U134" s="1">
        <v>0.22</v>
      </c>
      <c r="V134" s="1">
        <v>0</v>
      </c>
      <c r="W134" s="1">
        <v>0.77</v>
      </c>
      <c r="X134" s="1">
        <v>-4.52</v>
      </c>
      <c r="Y134" s="1" t="s">
        <v>1150</v>
      </c>
      <c r="Z134" s="1" t="s">
        <v>1420</v>
      </c>
    </row>
    <row r="135" spans="1:38">
      <c r="A135" s="1" t="s">
        <v>159</v>
      </c>
      <c r="B135" s="1" t="s">
        <v>619</v>
      </c>
      <c r="C135" s="1" t="s">
        <v>644</v>
      </c>
      <c r="D135" s="1" t="s">
        <v>652</v>
      </c>
      <c r="E135" s="1" t="s">
        <v>705</v>
      </c>
      <c r="F135" s="1" t="s">
        <v>830</v>
      </c>
      <c r="G135" s="1" t="s">
        <v>854</v>
      </c>
      <c r="H135" s="1">
        <f>HYPERLINK("https://tidesandcurrents.noaa.gov/stationhome.html?id=8576363", "8576363")</f>
        <v>0</v>
      </c>
      <c r="I135" s="1">
        <v>-76.5333</v>
      </c>
      <c r="J135" s="1">
        <v>38.7</v>
      </c>
      <c r="K135" s="1" t="s">
        <v>861</v>
      </c>
      <c r="L135" s="1" t="s">
        <v>866</v>
      </c>
      <c r="M135" s="1" t="s">
        <v>873</v>
      </c>
      <c r="N135" s="2">
        <f>HYPERLINK("https://tidesandcurrents.noaa.gov/datums.html?datum=MLLW&amp;units=0&amp;epoch=0&amp;id=8576363", "Datum Info")</f>
        <v>0</v>
      </c>
    </row>
    <row r="136" spans="1:38">
      <c r="A136" s="1" t="s">
        <v>160</v>
      </c>
      <c r="B136" s="1" t="s">
        <v>619</v>
      </c>
      <c r="D136" s="1" t="s">
        <v>652</v>
      </c>
      <c r="E136" s="1" t="s">
        <v>705</v>
      </c>
      <c r="F136" s="1" t="s">
        <v>830</v>
      </c>
      <c r="G136" s="1" t="s">
        <v>854</v>
      </c>
      <c r="H136" s="1">
        <f>HYPERLINK("https://tidesandcurrents.noaa.gov/stationhome.html?id=8577188", "8577188")</f>
        <v>0</v>
      </c>
      <c r="I136" s="1">
        <v>-76.39830000000001</v>
      </c>
      <c r="J136" s="1">
        <v>38.3917</v>
      </c>
      <c r="K136" s="1" t="s">
        <v>861</v>
      </c>
      <c r="L136" s="1" t="s">
        <v>866</v>
      </c>
      <c r="M136" s="1" t="s">
        <v>873</v>
      </c>
      <c r="N136" s="2">
        <f>HYPERLINK("https://tidesandcurrents.noaa.gov/datums.html?datum=MLLW&amp;units=0&amp;epoch=0&amp;id=8577188", "Datum Info")</f>
        <v>0</v>
      </c>
      <c r="O136" s="1" t="s">
        <v>886</v>
      </c>
      <c r="P136" s="1">
        <v>1.38</v>
      </c>
      <c r="Q136" s="1">
        <v>1.13</v>
      </c>
      <c r="R136" s="1">
        <v>0.61</v>
      </c>
      <c r="S136" s="1">
        <v>0.63</v>
      </c>
      <c r="T136" s="1">
        <v>0.6899999999999999</v>
      </c>
      <c r="U136" s="1">
        <v>0.09</v>
      </c>
      <c r="V136" s="1">
        <v>0</v>
      </c>
      <c r="W136" s="1" t="s">
        <v>990</v>
      </c>
      <c r="X136" s="1">
        <v>-2.5</v>
      </c>
      <c r="Y136" s="1" t="s">
        <v>1151</v>
      </c>
      <c r="Z136" s="1" t="s">
        <v>1282</v>
      </c>
    </row>
    <row r="137" spans="1:38">
      <c r="A137" s="1" t="s">
        <v>161</v>
      </c>
      <c r="B137" s="1" t="s">
        <v>619</v>
      </c>
      <c r="D137" s="1" t="s">
        <v>652</v>
      </c>
      <c r="H137" s="1">
        <f>HYPERLINK("https://tidesandcurrents.noaa.gov/stationhome.html?id=8577330", "8577330")</f>
        <v>0</v>
      </c>
      <c r="I137" s="1">
        <v>-76.4508</v>
      </c>
      <c r="J137" s="1">
        <v>38.31722</v>
      </c>
      <c r="K137" s="1" t="s">
        <v>860</v>
      </c>
      <c r="L137" s="1" t="s">
        <v>866</v>
      </c>
      <c r="M137" s="1" t="s">
        <v>873</v>
      </c>
      <c r="N137" s="2">
        <f>HYPERLINK("https://tidesandcurrents.noaa.gov/datums.html?datum=MLLW&amp;units=0&amp;epoch=0&amp;id=8577330", "Datum Info")</f>
        <v>0</v>
      </c>
      <c r="O137" s="1" t="s">
        <v>886</v>
      </c>
      <c r="P137" s="1">
        <v>1.48</v>
      </c>
      <c r="Q137" s="1">
        <v>1.33</v>
      </c>
      <c r="R137" s="1">
        <v>0.75</v>
      </c>
      <c r="S137" s="1">
        <v>0.76</v>
      </c>
      <c r="T137" s="1">
        <v>0.74</v>
      </c>
      <c r="U137" s="1">
        <v>0.16</v>
      </c>
      <c r="V137" s="1">
        <v>0</v>
      </c>
      <c r="W137" s="1">
        <v>0.85</v>
      </c>
      <c r="X137" s="1">
        <v>-3.72</v>
      </c>
      <c r="Y137" s="1" t="s">
        <v>1152</v>
      </c>
      <c r="Z137" s="1" t="s">
        <v>1421</v>
      </c>
    </row>
    <row r="138" spans="1:38">
      <c r="A138" s="1" t="s">
        <v>162</v>
      </c>
      <c r="B138" s="1" t="s">
        <v>619</v>
      </c>
      <c r="C138" s="1" t="s">
        <v>644</v>
      </c>
      <c r="D138" s="1" t="s">
        <v>652</v>
      </c>
      <c r="H138" s="1">
        <f>HYPERLINK("https://tidesandcurrents.noaa.gov/stationhome.html?id=8578002", "8578002")</f>
        <v>0</v>
      </c>
      <c r="I138" s="1">
        <v>-76.3233</v>
      </c>
      <c r="J138" s="1">
        <v>38.04</v>
      </c>
      <c r="K138" s="1" t="s">
        <v>860</v>
      </c>
      <c r="L138" s="1" t="s">
        <v>866</v>
      </c>
      <c r="M138" s="1" t="s">
        <v>873</v>
      </c>
      <c r="N138" s="2">
        <f>HYPERLINK("https://tidesandcurrents.noaa.gov/datums.html?datum=MLLW&amp;units=0&amp;epoch=0&amp;id=8578002", "Datum Info")</f>
        <v>0</v>
      </c>
    </row>
    <row r="139" spans="1:38">
      <c r="A139" s="1" t="s">
        <v>163</v>
      </c>
      <c r="B139" s="1" t="s">
        <v>619</v>
      </c>
      <c r="D139" s="1" t="s">
        <v>652</v>
      </c>
      <c r="H139" s="1">
        <f>HYPERLINK("https://tidesandcurrents.noaa.gov/stationhome.html?id=8578240", "8578240")</f>
        <v>0</v>
      </c>
      <c r="I139" s="1">
        <v>-76.5333</v>
      </c>
      <c r="J139" s="1">
        <v>38.13333</v>
      </c>
      <c r="K139" s="1" t="s">
        <v>861</v>
      </c>
      <c r="L139" s="1" t="s">
        <v>866</v>
      </c>
      <c r="M139" s="1" t="s">
        <v>873</v>
      </c>
      <c r="N139" s="2">
        <f>HYPERLINK("https://tidesandcurrents.noaa.gov/datums.html?datum=MLLW&amp;units=0&amp;epoch=0&amp;id=8578240", "Datum Info")</f>
        <v>0</v>
      </c>
    </row>
    <row r="140" spans="1:38">
      <c r="A140" s="1" t="s">
        <v>164</v>
      </c>
      <c r="B140" s="1" t="s">
        <v>619</v>
      </c>
      <c r="D140" s="1" t="s">
        <v>652</v>
      </c>
      <c r="E140" s="1" t="s">
        <v>706</v>
      </c>
      <c r="F140" s="1" t="s">
        <v>830</v>
      </c>
      <c r="G140" s="1" t="s">
        <v>854</v>
      </c>
      <c r="H140" s="1">
        <f>HYPERLINK("https://tidesandcurrents.noaa.gov/stationhome.html?id=8579135", "8579135")</f>
        <v>0</v>
      </c>
      <c r="I140" s="1">
        <v>-76.67</v>
      </c>
      <c r="J140" s="1">
        <v>38.51333</v>
      </c>
      <c r="K140" s="1" t="s">
        <v>861</v>
      </c>
      <c r="L140" s="1" t="s">
        <v>866</v>
      </c>
      <c r="M140" s="1" t="s">
        <v>873</v>
      </c>
      <c r="N140" s="2">
        <f>HYPERLINK("https://tidesandcurrents.noaa.gov/datums.html?datum=MLLW&amp;units=0&amp;epoch=0&amp;id=8579135", "Datum Info")</f>
        <v>0</v>
      </c>
    </row>
    <row r="141" spans="1:38">
      <c r="A141" s="1" t="s">
        <v>165</v>
      </c>
      <c r="B141" s="1" t="s">
        <v>619</v>
      </c>
      <c r="D141" s="1" t="s">
        <v>652</v>
      </c>
      <c r="H141" s="1">
        <f>HYPERLINK("https://tidesandcurrents.noaa.gov/stationhome.html?id=8579381", "8579381")</f>
        <v>0</v>
      </c>
      <c r="I141" s="1">
        <v>-77.185</v>
      </c>
      <c r="J141" s="1">
        <v>38.601666</v>
      </c>
      <c r="K141" s="1" t="s">
        <v>860</v>
      </c>
      <c r="L141" s="1" t="s">
        <v>866</v>
      </c>
      <c r="M141" s="1" t="s">
        <v>873</v>
      </c>
      <c r="N141" s="2">
        <f>HYPERLINK("https://tidesandcurrents.noaa.gov/datums.html?datum=MLLW&amp;units=0&amp;epoch=0&amp;id=8579381", "Datum Info")</f>
        <v>0</v>
      </c>
      <c r="AA141" s="1" t="s">
        <v>887</v>
      </c>
      <c r="AB141" s="1">
        <v>1.23</v>
      </c>
      <c r="AC141" s="1" t="s">
        <v>1206</v>
      </c>
      <c r="AH141" s="1">
        <v>0</v>
      </c>
      <c r="AI141" s="1">
        <v>0</v>
      </c>
      <c r="AJ141" s="1">
        <v>0</v>
      </c>
      <c r="AK141" s="1">
        <v>0</v>
      </c>
      <c r="AL141" s="1" t="s">
        <v>1744</v>
      </c>
    </row>
    <row r="142" spans="1:38">
      <c r="A142" s="1" t="s">
        <v>166</v>
      </c>
      <c r="B142" s="1" t="s">
        <v>619</v>
      </c>
      <c r="D142" s="1" t="s">
        <v>652</v>
      </c>
      <c r="H142" s="1">
        <f>HYPERLINK("https://tidesandcurrents.noaa.gov/stationhome.html?id=8579629", "8579629")</f>
        <v>0</v>
      </c>
      <c r="I142" s="1">
        <v>-77.10166599999999</v>
      </c>
      <c r="J142" s="1">
        <v>38.68666</v>
      </c>
      <c r="K142" s="1" t="s">
        <v>861</v>
      </c>
      <c r="L142" s="1" t="s">
        <v>866</v>
      </c>
      <c r="M142" s="1" t="s">
        <v>873</v>
      </c>
      <c r="N142" s="2">
        <f>HYPERLINK("https://tidesandcurrents.noaa.gov/datums.html?datum=MLLW&amp;units=0&amp;epoch=0&amp;id=8579629", "Datum Info")</f>
        <v>0</v>
      </c>
    </row>
    <row r="143" spans="1:38">
      <c r="A143" s="1" t="s">
        <v>167</v>
      </c>
      <c r="B143" s="1" t="s">
        <v>619</v>
      </c>
      <c r="C143" s="1" t="s">
        <v>644</v>
      </c>
      <c r="D143" s="1" t="s">
        <v>652</v>
      </c>
      <c r="E143" s="1" t="s">
        <v>707</v>
      </c>
      <c r="F143" s="1" t="s">
        <v>830</v>
      </c>
      <c r="G143" s="1" t="s">
        <v>854</v>
      </c>
      <c r="H143" s="1">
        <f>HYPERLINK("https://tidesandcurrents.noaa.gov/stationhome.html?id=8579997", "8579997")</f>
        <v>0</v>
      </c>
      <c r="I143" s="1">
        <v>-76.94</v>
      </c>
      <c r="J143" s="1">
        <v>38.93</v>
      </c>
      <c r="K143" s="1" t="s">
        <v>861</v>
      </c>
      <c r="L143" s="1" t="s">
        <v>866</v>
      </c>
      <c r="M143" s="1" t="s">
        <v>873</v>
      </c>
      <c r="N143" s="2">
        <f>HYPERLINK("https://tidesandcurrents.noaa.gov/datums.html?datum=MLLW&amp;units=0&amp;epoch=0&amp;id=8579997", "Datum Info")</f>
        <v>0</v>
      </c>
      <c r="O143" s="1" t="s">
        <v>886</v>
      </c>
      <c r="P143" s="1">
        <v>3.35</v>
      </c>
      <c r="Q143" s="1">
        <v>3.12</v>
      </c>
      <c r="R143" s="1">
        <v>1.64</v>
      </c>
      <c r="S143" s="1">
        <v>1.63</v>
      </c>
      <c r="T143" s="1">
        <v>1.67</v>
      </c>
      <c r="U143" s="1">
        <v>0.17</v>
      </c>
      <c r="V143" s="1">
        <v>0</v>
      </c>
      <c r="W143" s="1" t="s">
        <v>991</v>
      </c>
      <c r="X143" s="1">
        <v>0.61</v>
      </c>
      <c r="Y143" s="1" t="s">
        <v>1153</v>
      </c>
      <c r="Z143" s="1" t="s">
        <v>1422</v>
      </c>
    </row>
    <row r="144" spans="1:38">
      <c r="A144" s="1" t="s">
        <v>168</v>
      </c>
      <c r="B144" s="1" t="s">
        <v>619</v>
      </c>
      <c r="C144" s="1" t="s">
        <v>644</v>
      </c>
      <c r="D144" s="1" t="s">
        <v>652</v>
      </c>
      <c r="E144" s="1" t="s">
        <v>707</v>
      </c>
      <c r="F144" s="1" t="s">
        <v>830</v>
      </c>
      <c r="G144" s="1" t="s">
        <v>854</v>
      </c>
      <c r="H144" s="1">
        <f>HYPERLINK("https://tidesandcurrents.noaa.gov/stationhome.html?id=8590111", "8590111")</f>
        <v>0</v>
      </c>
      <c r="I144" s="1">
        <v>-76.9383</v>
      </c>
      <c r="J144" s="1">
        <v>38.9333</v>
      </c>
      <c r="K144" s="1" t="s">
        <v>861</v>
      </c>
      <c r="L144" s="1" t="s">
        <v>866</v>
      </c>
      <c r="M144" s="1" t="s">
        <v>873</v>
      </c>
      <c r="N144" s="2">
        <f>HYPERLINK("https://tidesandcurrents.noaa.gov/datums.html?datum=MLLW&amp;units=0&amp;epoch=0&amp;id=8590111", "Datum Info")</f>
        <v>0</v>
      </c>
    </row>
    <row r="145" spans="1:38">
      <c r="A145" s="1" t="s">
        <v>169</v>
      </c>
      <c r="B145" s="1" t="s">
        <v>619</v>
      </c>
      <c r="C145" s="1" t="s">
        <v>644</v>
      </c>
      <c r="D145" s="1" t="s">
        <v>652</v>
      </c>
      <c r="E145" s="1" t="s">
        <v>708</v>
      </c>
      <c r="F145" s="1" t="s">
        <v>840</v>
      </c>
      <c r="G145" s="1" t="s">
        <v>854</v>
      </c>
      <c r="H145" s="1">
        <f>HYPERLINK("https://tidesandcurrents.noaa.gov/stationhome.html?id=8593909", "8593909")</f>
        <v>0</v>
      </c>
      <c r="I145" s="1">
        <v>-76.955</v>
      </c>
      <c r="J145" s="1">
        <v>38.91</v>
      </c>
      <c r="K145" s="1" t="s">
        <v>861</v>
      </c>
      <c r="L145" s="1" t="s">
        <v>866</v>
      </c>
      <c r="M145" s="1" t="s">
        <v>873</v>
      </c>
      <c r="N145" s="2">
        <f>HYPERLINK("https://tidesandcurrents.noaa.gov/datums.html?datum=MLLW&amp;units=0&amp;epoch=0&amp;id=8593909", "Datum Info")</f>
        <v>0</v>
      </c>
      <c r="O145" s="1" t="s">
        <v>886</v>
      </c>
      <c r="P145" s="1">
        <v>3.31</v>
      </c>
      <c r="Q145" s="1">
        <v>3.08</v>
      </c>
      <c r="R145" s="1">
        <v>1.61</v>
      </c>
      <c r="S145" s="1">
        <v>1.57</v>
      </c>
      <c r="T145" s="1">
        <v>1.66</v>
      </c>
      <c r="U145" s="1">
        <v>0.14</v>
      </c>
      <c r="V145" s="1">
        <v>0</v>
      </c>
      <c r="W145" s="1" t="s">
        <v>992</v>
      </c>
      <c r="X145" s="1">
        <v>-22.03</v>
      </c>
      <c r="Y145" s="1" t="s">
        <v>1154</v>
      </c>
      <c r="Z145" s="1" t="s">
        <v>1423</v>
      </c>
    </row>
    <row r="146" spans="1:38">
      <c r="A146" s="1" t="s">
        <v>170</v>
      </c>
      <c r="B146" s="1" t="s">
        <v>619</v>
      </c>
      <c r="C146" s="1" t="s">
        <v>644</v>
      </c>
      <c r="D146" s="1" t="s">
        <v>652</v>
      </c>
      <c r="E146" s="1" t="s">
        <v>708</v>
      </c>
      <c r="F146" s="1" t="s">
        <v>840</v>
      </c>
      <c r="G146" s="1" t="s">
        <v>854</v>
      </c>
      <c r="H146" s="1">
        <f>HYPERLINK("https://tidesandcurrents.noaa.gov/stationhome.html?id=8594900", "8594900")</f>
        <v>0</v>
      </c>
      <c r="I146" s="1">
        <v>-77.0217</v>
      </c>
      <c r="J146" s="1">
        <v>38.873</v>
      </c>
      <c r="K146" s="1" t="s">
        <v>860</v>
      </c>
      <c r="L146" s="1" t="s">
        <v>866</v>
      </c>
      <c r="M146" s="1" t="s">
        <v>873</v>
      </c>
      <c r="N146" s="2">
        <f>HYPERLINK("https://tidesandcurrents.noaa.gov/datums.html?datum=MLLW&amp;units=0&amp;epoch=0&amp;id=8594900", "Datum Info")</f>
        <v>0</v>
      </c>
      <c r="O146" s="1" t="s">
        <v>886</v>
      </c>
      <c r="P146" s="1">
        <v>3.17</v>
      </c>
      <c r="Q146" s="1">
        <v>2.94</v>
      </c>
      <c r="R146" s="1">
        <v>1.55</v>
      </c>
      <c r="S146" s="1">
        <v>1.55</v>
      </c>
      <c r="T146" s="1">
        <v>1.59</v>
      </c>
      <c r="U146" s="1">
        <v>0.15</v>
      </c>
      <c r="V146" s="1">
        <v>0</v>
      </c>
      <c r="W146" s="1">
        <v>1.4</v>
      </c>
      <c r="X146" s="1">
        <v>-4.55</v>
      </c>
      <c r="Y146" s="1" t="s">
        <v>1155</v>
      </c>
      <c r="Z146" s="1" t="s">
        <v>1424</v>
      </c>
    </row>
    <row r="147" spans="1:38">
      <c r="A147" s="1" t="s">
        <v>171</v>
      </c>
      <c r="B147" s="1" t="s">
        <v>619</v>
      </c>
      <c r="D147" s="1" t="s">
        <v>652</v>
      </c>
      <c r="E147" s="1" t="s">
        <v>709</v>
      </c>
      <c r="F147" s="1" t="s">
        <v>831</v>
      </c>
      <c r="G147" s="1" t="s">
        <v>854</v>
      </c>
      <c r="H147" s="1">
        <f>HYPERLINK("https://tidesandcurrents.noaa.gov/stationhome.html?id=8634214", "8634214")</f>
        <v>0</v>
      </c>
      <c r="I147" s="1">
        <v>-77.03833299999999</v>
      </c>
      <c r="J147" s="1">
        <v>38.805</v>
      </c>
      <c r="K147" s="1" t="s">
        <v>861</v>
      </c>
      <c r="L147" s="1" t="s">
        <v>866</v>
      </c>
      <c r="M147" s="1" t="s">
        <v>873</v>
      </c>
      <c r="N147" s="2">
        <f>HYPERLINK("https://tidesandcurrents.noaa.gov/datums.html?datum=MLLW&amp;units=0&amp;epoch=0&amp;id=8634214", "Datum Info")</f>
        <v>0</v>
      </c>
    </row>
    <row r="148" spans="1:38">
      <c r="A148" s="1" t="s">
        <v>172</v>
      </c>
      <c r="B148" s="1" t="s">
        <v>619</v>
      </c>
      <c r="D148" s="1" t="s">
        <v>652</v>
      </c>
      <c r="H148" s="1">
        <f>HYPERLINK("https://tidesandcurrents.noaa.gov/stationhome.html?id=8634689", "8634689")</f>
        <v>0</v>
      </c>
      <c r="I148" s="1">
        <v>-77.28666</v>
      </c>
      <c r="J148" s="1">
        <v>38.52</v>
      </c>
      <c r="K148" s="1" t="s">
        <v>860</v>
      </c>
      <c r="L148" s="1" t="s">
        <v>866</v>
      </c>
      <c r="M148" s="1" t="s">
        <v>873</v>
      </c>
      <c r="N148" s="2">
        <f>HYPERLINK("https://tidesandcurrents.noaa.gov/datums.html?datum=MLLW&amp;units=0&amp;epoch=0&amp;id=8634689", "Datum Info")</f>
        <v>0</v>
      </c>
    </row>
    <row r="149" spans="1:38">
      <c r="A149" s="1" t="s">
        <v>173</v>
      </c>
      <c r="B149" s="1" t="s">
        <v>619</v>
      </c>
      <c r="C149" s="1" t="s">
        <v>644</v>
      </c>
      <c r="D149" s="1" t="s">
        <v>652</v>
      </c>
      <c r="E149" s="1" t="s">
        <v>710</v>
      </c>
      <c r="F149" s="1" t="s">
        <v>831</v>
      </c>
      <c r="G149" s="1" t="s">
        <v>854</v>
      </c>
      <c r="H149" s="1">
        <f>HYPERLINK("https://tidesandcurrents.noaa.gov/stationhome.html?id=8634858", "8634858")</f>
        <v>0</v>
      </c>
      <c r="I149" s="1">
        <v>-77.35333</v>
      </c>
      <c r="J149" s="1">
        <v>38.418333</v>
      </c>
      <c r="K149" s="1" t="s">
        <v>861</v>
      </c>
      <c r="L149" s="1" t="s">
        <v>866</v>
      </c>
      <c r="M149" s="1" t="s">
        <v>873</v>
      </c>
      <c r="N149" s="2">
        <f>HYPERLINK("https://tidesandcurrents.noaa.gov/datums.html?datum=MLLW&amp;units=0&amp;epoch=0&amp;id=8634858", "Datum Info")</f>
        <v>0</v>
      </c>
    </row>
    <row r="150" spans="1:38">
      <c r="A150" s="1" t="s">
        <v>174</v>
      </c>
      <c r="B150" s="1" t="s">
        <v>619</v>
      </c>
      <c r="D150" s="1" t="s">
        <v>652</v>
      </c>
      <c r="E150" s="1" t="s">
        <v>711</v>
      </c>
      <c r="F150" s="1" t="s">
        <v>831</v>
      </c>
      <c r="G150" s="1" t="s">
        <v>854</v>
      </c>
      <c r="H150" s="1">
        <f>HYPERLINK("https://tidesandcurrents.noaa.gov/stationhome.html?id=8635027", "8635027")</f>
        <v>0</v>
      </c>
      <c r="I150" s="1">
        <v>-77.03660000000001</v>
      </c>
      <c r="J150" s="1">
        <v>38.31975</v>
      </c>
      <c r="K150" s="1" t="s">
        <v>860</v>
      </c>
      <c r="L150" s="1" t="s">
        <v>866</v>
      </c>
      <c r="M150" s="1" t="s">
        <v>873</v>
      </c>
      <c r="N150" s="2">
        <f>HYPERLINK("https://tidesandcurrents.noaa.gov/datums.html?datum=MLLW&amp;units=0&amp;epoch=0&amp;id=8635027", "Datum Info")</f>
        <v>0</v>
      </c>
      <c r="O150" s="1" t="s">
        <v>886</v>
      </c>
      <c r="P150" s="1">
        <v>1.91</v>
      </c>
      <c r="Q150" s="1">
        <v>1.74</v>
      </c>
      <c r="R150" s="1">
        <v>0.95</v>
      </c>
      <c r="S150" s="1">
        <v>0.9399999999999999</v>
      </c>
      <c r="T150" s="1">
        <v>0.96</v>
      </c>
      <c r="U150" s="1">
        <v>0.15</v>
      </c>
      <c r="V150" s="1">
        <v>0</v>
      </c>
      <c r="W150" s="1">
        <v>1.04</v>
      </c>
      <c r="X150" s="1">
        <v>-16.17</v>
      </c>
      <c r="Y150" s="1" t="s">
        <v>1156</v>
      </c>
      <c r="Z150" s="1" t="s">
        <v>1425</v>
      </c>
    </row>
    <row r="151" spans="1:38">
      <c r="A151" s="1" t="s">
        <v>175</v>
      </c>
      <c r="B151" s="1" t="s">
        <v>619</v>
      </c>
      <c r="D151" s="1" t="s">
        <v>652</v>
      </c>
      <c r="E151" s="1" t="s">
        <v>712</v>
      </c>
      <c r="F151" s="1" t="s">
        <v>830</v>
      </c>
      <c r="G151" s="1" t="s">
        <v>854</v>
      </c>
      <c r="H151" s="1" t="s">
        <v>859</v>
      </c>
      <c r="I151" s="1">
        <v>-76.39</v>
      </c>
      <c r="J151" s="1">
        <v>39.31</v>
      </c>
      <c r="K151" s="1" t="s">
        <v>861</v>
      </c>
      <c r="L151" s="1" t="s">
        <v>859</v>
      </c>
      <c r="M151" s="1" t="s">
        <v>873</v>
      </c>
    </row>
    <row r="152" spans="1:38">
      <c r="A152" s="1" t="s">
        <v>176</v>
      </c>
      <c r="B152" s="1" t="s">
        <v>619</v>
      </c>
      <c r="C152" s="1" t="s">
        <v>644</v>
      </c>
      <c r="D152" s="1" t="s">
        <v>652</v>
      </c>
      <c r="E152" s="1" t="s">
        <v>713</v>
      </c>
      <c r="F152" s="1" t="s">
        <v>831</v>
      </c>
      <c r="G152" s="1" t="s">
        <v>854</v>
      </c>
      <c r="H152" s="1" t="s">
        <v>859</v>
      </c>
      <c r="I152" s="1">
        <v>-77.25</v>
      </c>
      <c r="J152" s="1">
        <v>38.59</v>
      </c>
      <c r="K152" s="1" t="s">
        <v>861</v>
      </c>
      <c r="L152" s="1" t="s">
        <v>859</v>
      </c>
      <c r="M152" s="1" t="s">
        <v>873</v>
      </c>
    </row>
    <row r="153" spans="1:38">
      <c r="A153" s="1" t="s">
        <v>177</v>
      </c>
      <c r="B153" s="1" t="s">
        <v>619</v>
      </c>
      <c r="C153" s="1" t="s">
        <v>644</v>
      </c>
      <c r="D153" s="1" t="s">
        <v>652</v>
      </c>
      <c r="E153" s="1" t="s">
        <v>703</v>
      </c>
      <c r="F153" s="1" t="s">
        <v>830</v>
      </c>
      <c r="G153" s="1" t="s">
        <v>854</v>
      </c>
      <c r="H153" s="1" t="s">
        <v>859</v>
      </c>
      <c r="I153" s="1">
        <v>-76.27</v>
      </c>
      <c r="J153" s="1">
        <v>39.45</v>
      </c>
      <c r="K153" s="1" t="s">
        <v>860</v>
      </c>
      <c r="L153" s="1" t="s">
        <v>859</v>
      </c>
      <c r="M153" s="1" t="s">
        <v>873</v>
      </c>
    </row>
    <row r="154" spans="1:38">
      <c r="A154" s="1" t="s">
        <v>178</v>
      </c>
      <c r="B154" s="1" t="s">
        <v>619</v>
      </c>
      <c r="D154" s="1" t="s">
        <v>652</v>
      </c>
      <c r="E154" s="1" t="s">
        <v>706</v>
      </c>
      <c r="F154" s="1" t="s">
        <v>830</v>
      </c>
      <c r="G154" s="1" t="s">
        <v>854</v>
      </c>
      <c r="H154" s="1" t="s">
        <v>859</v>
      </c>
      <c r="I154" s="1">
        <v>-76.5</v>
      </c>
      <c r="J154" s="1">
        <v>38.14</v>
      </c>
      <c r="K154" s="1" t="s">
        <v>860</v>
      </c>
      <c r="L154" s="1" t="s">
        <v>859</v>
      </c>
      <c r="M154" s="1" t="s">
        <v>873</v>
      </c>
    </row>
    <row r="155" spans="1:38">
      <c r="A155" s="1" t="s">
        <v>179</v>
      </c>
      <c r="B155" s="1" t="s">
        <v>619</v>
      </c>
      <c r="C155" s="1" t="s">
        <v>644</v>
      </c>
      <c r="D155" s="1" t="s">
        <v>652</v>
      </c>
      <c r="E155" s="1" t="s">
        <v>708</v>
      </c>
      <c r="F155" s="1" t="s">
        <v>840</v>
      </c>
      <c r="G155" s="1" t="s">
        <v>854</v>
      </c>
      <c r="H155" s="1">
        <f>HYPERLINK("https://waterdata.usgs.gov/nwis/nwismap/?site_no=01647600&amp;agency_cd=USGS", "US01647600")</f>
        <v>0</v>
      </c>
      <c r="I155" s="1">
        <v>-77.0676644</v>
      </c>
      <c r="J155" s="1">
        <v>38.90335331</v>
      </c>
      <c r="K155" s="1" t="s">
        <v>860</v>
      </c>
      <c r="L155" s="1" t="s">
        <v>867</v>
      </c>
      <c r="M155" s="1" t="s">
        <v>873</v>
      </c>
      <c r="N155" s="2">
        <f>HYPERLINK("https://waterservices.usgs.gov/nwis/site/?site=01647600&amp;format=rdb", "Datum Info")</f>
        <v>0</v>
      </c>
      <c r="O155" s="1" t="s">
        <v>887</v>
      </c>
      <c r="W155" s="1" t="s">
        <v>956</v>
      </c>
      <c r="AA155" s="1" t="s">
        <v>1611</v>
      </c>
      <c r="AB155" s="1">
        <v>0</v>
      </c>
      <c r="AC155" s="1" t="s">
        <v>1632</v>
      </c>
      <c r="AD155" s="1" t="s">
        <v>1691</v>
      </c>
      <c r="AF155" s="1" t="s">
        <v>1617</v>
      </c>
      <c r="AG155" s="1" t="s">
        <v>1691</v>
      </c>
      <c r="AH155" s="1">
        <v>5.5</v>
      </c>
      <c r="AI155" s="1">
        <v>6</v>
      </c>
      <c r="AJ155" s="1">
        <v>7</v>
      </c>
      <c r="AK155" s="1">
        <v>10</v>
      </c>
      <c r="AL155" s="1" t="s">
        <v>1744</v>
      </c>
    </row>
    <row r="156" spans="1:38">
      <c r="A156" s="1" t="s">
        <v>180</v>
      </c>
      <c r="B156" s="1" t="s">
        <v>620</v>
      </c>
      <c r="D156" s="1" t="s">
        <v>652</v>
      </c>
      <c r="H156" s="1">
        <f>HYPERLINK("https://tidesandcurrents.noaa.gov/stationhome.html?id=8651370", "8651370")</f>
        <v>0</v>
      </c>
      <c r="I156" s="1">
        <v>-75.7467</v>
      </c>
      <c r="J156" s="1">
        <v>36.18331</v>
      </c>
      <c r="K156" s="1" t="s">
        <v>860</v>
      </c>
      <c r="L156" s="1" t="s">
        <v>866</v>
      </c>
      <c r="M156" s="1" t="s">
        <v>874</v>
      </c>
      <c r="N156" s="2">
        <f>HYPERLINK("https://tidesandcurrents.noaa.gov/datums.html?datum=MLLW&amp;units=0&amp;epoch=0&amp;id=8651370", "Datum Info")</f>
        <v>0</v>
      </c>
      <c r="O156" s="1" t="s">
        <v>886</v>
      </c>
      <c r="P156" s="1">
        <v>3.69</v>
      </c>
      <c r="Q156" s="1">
        <v>3.37</v>
      </c>
      <c r="R156" s="1">
        <v>1.75</v>
      </c>
      <c r="S156" s="1">
        <v>1.77</v>
      </c>
      <c r="T156" s="1">
        <v>1.84</v>
      </c>
      <c r="U156" s="1">
        <v>0.14</v>
      </c>
      <c r="V156" s="1">
        <v>0</v>
      </c>
      <c r="W156" s="1">
        <v>2.19</v>
      </c>
      <c r="X156" s="1">
        <v>-18.58</v>
      </c>
      <c r="Y156" s="1" t="s">
        <v>1157</v>
      </c>
      <c r="Z156" s="1" t="s">
        <v>1426</v>
      </c>
    </row>
    <row r="157" spans="1:38">
      <c r="A157" s="1" t="s">
        <v>181</v>
      </c>
      <c r="B157" s="1" t="s">
        <v>620</v>
      </c>
      <c r="C157" s="1" t="s">
        <v>645</v>
      </c>
      <c r="D157" s="1" t="s">
        <v>652</v>
      </c>
      <c r="E157" s="1" t="s">
        <v>714</v>
      </c>
      <c r="F157" s="1" t="s">
        <v>832</v>
      </c>
      <c r="G157" s="1" t="s">
        <v>854</v>
      </c>
      <c r="H157" s="1">
        <f>HYPERLINK("https://tidesandcurrents.noaa.gov/stationhome.html?id=8652232", "8652232")</f>
        <v>0</v>
      </c>
      <c r="I157" s="1">
        <v>-75.67</v>
      </c>
      <c r="J157" s="1">
        <v>35.91</v>
      </c>
      <c r="K157" s="1" t="s">
        <v>861</v>
      </c>
      <c r="L157" s="1" t="s">
        <v>866</v>
      </c>
      <c r="M157" s="1" t="s">
        <v>874</v>
      </c>
      <c r="N157" s="2">
        <f>HYPERLINK("https://tidesandcurrents.noaa.gov/datums.html?datum=MLLW&amp;units=0&amp;epoch=0&amp;id=8652232", "Datum Info")</f>
        <v>0</v>
      </c>
      <c r="O157" s="1" t="s">
        <v>886</v>
      </c>
      <c r="P157" s="1">
        <v>0.47</v>
      </c>
      <c r="Q157" s="1">
        <v>0.42</v>
      </c>
      <c r="R157" s="1">
        <v>0.27</v>
      </c>
      <c r="S157" s="1">
        <v>0.2</v>
      </c>
      <c r="T157" s="1">
        <v>0.24</v>
      </c>
      <c r="U157" s="1">
        <v>0.12</v>
      </c>
      <c r="V157" s="1">
        <v>0</v>
      </c>
      <c r="W157" s="1" t="s">
        <v>993</v>
      </c>
      <c r="X157" s="1">
        <v>-2.71</v>
      </c>
      <c r="Y157" s="1" t="s">
        <v>1158</v>
      </c>
      <c r="Z157" s="1" t="s">
        <v>1427</v>
      </c>
    </row>
    <row r="158" spans="1:38">
      <c r="A158" s="1" t="s">
        <v>182</v>
      </c>
      <c r="B158" s="1" t="s">
        <v>620</v>
      </c>
      <c r="C158" s="1" t="s">
        <v>645</v>
      </c>
      <c r="D158" s="1" t="s">
        <v>652</v>
      </c>
      <c r="E158" s="1" t="s">
        <v>714</v>
      </c>
      <c r="F158" s="1" t="s">
        <v>832</v>
      </c>
      <c r="G158" s="1" t="s">
        <v>854</v>
      </c>
      <c r="H158" s="1">
        <f>HYPERLINK("https://tidesandcurrents.noaa.gov/stationhome.html?id=8652437", "8652437")</f>
        <v>0</v>
      </c>
      <c r="I158" s="1">
        <v>-75.655</v>
      </c>
      <c r="J158" s="1">
        <v>35.845</v>
      </c>
      <c r="K158" s="1" t="s">
        <v>861</v>
      </c>
      <c r="L158" s="1" t="s">
        <v>866</v>
      </c>
      <c r="M158" s="1" t="s">
        <v>874</v>
      </c>
      <c r="N158" s="2">
        <f>HYPERLINK("https://tidesandcurrents.noaa.gov/datums.html?datum=MLLW&amp;units=0&amp;epoch=0&amp;id=8652437", "Datum Info")</f>
        <v>0</v>
      </c>
      <c r="O158" s="1" t="s">
        <v>886</v>
      </c>
      <c r="P158" s="1">
        <v>0.6</v>
      </c>
      <c r="Q158" s="1">
        <v>0.52</v>
      </c>
      <c r="R158" s="1">
        <v>0.31</v>
      </c>
      <c r="S158" s="1">
        <v>0.31</v>
      </c>
      <c r="T158" s="1">
        <v>0.3</v>
      </c>
      <c r="U158" s="1">
        <v>0.1</v>
      </c>
      <c r="V158" s="1">
        <v>0</v>
      </c>
      <c r="W158" s="1" t="s">
        <v>994</v>
      </c>
      <c r="X158" s="1">
        <v>-1.83</v>
      </c>
      <c r="Y158" s="1" t="s">
        <v>1159</v>
      </c>
      <c r="Z158" s="1" t="s">
        <v>1428</v>
      </c>
    </row>
    <row r="159" spans="1:38">
      <c r="A159" s="1" t="s">
        <v>183</v>
      </c>
      <c r="B159" s="1" t="s">
        <v>620</v>
      </c>
      <c r="C159" s="1" t="s">
        <v>645</v>
      </c>
      <c r="D159" s="1" t="s">
        <v>652</v>
      </c>
      <c r="E159" s="1" t="s">
        <v>714</v>
      </c>
      <c r="F159" s="1" t="s">
        <v>832</v>
      </c>
      <c r="G159" s="1" t="s">
        <v>854</v>
      </c>
      <c r="H159" s="1">
        <f>HYPERLINK("https://tidesandcurrents.noaa.gov/stationhome.html?id=8652587", "8652587")</f>
        <v>0</v>
      </c>
      <c r="I159" s="1">
        <v>-75.54810000000001</v>
      </c>
      <c r="J159" s="1">
        <v>35.795</v>
      </c>
      <c r="K159" s="1" t="s">
        <v>860</v>
      </c>
      <c r="L159" s="1" t="s">
        <v>866</v>
      </c>
      <c r="M159" s="1" t="s">
        <v>874</v>
      </c>
      <c r="N159" s="2">
        <f>HYPERLINK("https://tidesandcurrents.noaa.gov/datums.html?datum=MLLW&amp;units=0&amp;epoch=0&amp;id=8652587", "Datum Info")</f>
        <v>0</v>
      </c>
      <c r="O159" s="1" t="s">
        <v>886</v>
      </c>
      <c r="P159" s="1">
        <v>1.18</v>
      </c>
      <c r="Q159" s="1">
        <v>1.03</v>
      </c>
      <c r="R159" s="1">
        <v>0.58</v>
      </c>
      <c r="S159" s="1">
        <v>0.58</v>
      </c>
      <c r="T159" s="1">
        <v>0.59</v>
      </c>
      <c r="U159" s="1">
        <v>0.13</v>
      </c>
      <c r="V159" s="1">
        <v>0</v>
      </c>
      <c r="W159" s="1">
        <v>0.7</v>
      </c>
      <c r="X159" s="1">
        <v>-2.59</v>
      </c>
      <c r="Y159" s="1" t="s">
        <v>1160</v>
      </c>
      <c r="Z159" s="1" t="s">
        <v>1429</v>
      </c>
    </row>
    <row r="160" spans="1:38">
      <c r="A160" s="1" t="s">
        <v>184</v>
      </c>
      <c r="B160" s="1" t="s">
        <v>620</v>
      </c>
      <c r="C160" s="1" t="s">
        <v>645</v>
      </c>
      <c r="D160" s="1" t="s">
        <v>652</v>
      </c>
      <c r="E160" s="1" t="s">
        <v>714</v>
      </c>
      <c r="F160" s="1" t="s">
        <v>832</v>
      </c>
      <c r="G160" s="1" t="s">
        <v>854</v>
      </c>
      <c r="H160" s="1">
        <f>HYPERLINK("https://tidesandcurrents.noaa.gov/stationhome.html?id=8653215", "8653215")</f>
        <v>0</v>
      </c>
      <c r="I160" s="1">
        <v>-75.4717</v>
      </c>
      <c r="J160" s="1">
        <v>35.595</v>
      </c>
      <c r="K160" s="1" t="s">
        <v>861</v>
      </c>
      <c r="L160" s="1" t="s">
        <v>866</v>
      </c>
      <c r="M160" s="1" t="s">
        <v>874</v>
      </c>
      <c r="N160" s="2">
        <f>HYPERLINK("https://tidesandcurrents.noaa.gov/datums.html?datum=MLLW&amp;units=0&amp;epoch=0&amp;id=8653215", "Datum Info")</f>
        <v>0</v>
      </c>
      <c r="O160" s="1" t="s">
        <v>886</v>
      </c>
      <c r="P160" s="1">
        <v>0.98</v>
      </c>
      <c r="Q160" s="1">
        <v>0.8100000000000001</v>
      </c>
      <c r="R160" s="1">
        <v>0.45</v>
      </c>
      <c r="S160" s="1">
        <v>0.43</v>
      </c>
      <c r="T160" s="1">
        <v>0.49</v>
      </c>
      <c r="U160" s="1">
        <v>0.09</v>
      </c>
      <c r="V160" s="1">
        <v>0</v>
      </c>
      <c r="W160" s="1">
        <v>0.46</v>
      </c>
      <c r="X160" s="1">
        <v>-1.89</v>
      </c>
      <c r="Y160" s="1" t="s">
        <v>1161</v>
      </c>
      <c r="Z160" s="1" t="s">
        <v>1430</v>
      </c>
    </row>
    <row r="161" spans="1:26">
      <c r="A161" s="1" t="s">
        <v>185</v>
      </c>
      <c r="B161" s="1" t="s">
        <v>620</v>
      </c>
      <c r="C161" s="1" t="s">
        <v>645</v>
      </c>
      <c r="D161" s="1" t="s">
        <v>652</v>
      </c>
      <c r="E161" s="1" t="s">
        <v>714</v>
      </c>
      <c r="F161" s="1" t="s">
        <v>832</v>
      </c>
      <c r="G161" s="1" t="s">
        <v>854</v>
      </c>
      <c r="H161" s="1">
        <f>HYPERLINK("https://tidesandcurrents.noaa.gov/stationhome.html?id=8653951", "8653951")</f>
        <v>0</v>
      </c>
      <c r="I161" s="1">
        <v>-75.512</v>
      </c>
      <c r="J161" s="1">
        <v>35.35014</v>
      </c>
      <c r="K161" s="1" t="s">
        <v>861</v>
      </c>
      <c r="L161" s="1" t="s">
        <v>866</v>
      </c>
      <c r="M161" s="1" t="s">
        <v>874</v>
      </c>
      <c r="N161" s="2">
        <f>HYPERLINK("https://tidesandcurrents.noaa.gov/datums.html?datum=MLLW&amp;units=0&amp;epoch=0&amp;id=8653951", "Datum Info")</f>
        <v>0</v>
      </c>
      <c r="O161" s="1" t="s">
        <v>886</v>
      </c>
      <c r="P161" s="1">
        <v>0.61</v>
      </c>
      <c r="Q161" s="1">
        <v>0.51</v>
      </c>
      <c r="R161" s="1">
        <v>0.3</v>
      </c>
      <c r="S161" s="1">
        <v>0.29</v>
      </c>
      <c r="T161" s="1">
        <v>0.3</v>
      </c>
      <c r="U161" s="1">
        <v>0.08</v>
      </c>
      <c r="V161" s="1">
        <v>0</v>
      </c>
      <c r="W161" s="1" t="s">
        <v>995</v>
      </c>
      <c r="X161" s="1">
        <v>-29.23</v>
      </c>
      <c r="Y161" s="1" t="s">
        <v>1162</v>
      </c>
      <c r="Z161" s="1" t="s">
        <v>1431</v>
      </c>
    </row>
    <row r="162" spans="1:26">
      <c r="A162" s="1" t="s">
        <v>186</v>
      </c>
      <c r="B162" s="1" t="s">
        <v>620</v>
      </c>
      <c r="C162" s="1" t="s">
        <v>645</v>
      </c>
      <c r="D162" s="1" t="s">
        <v>652</v>
      </c>
      <c r="E162" s="1" t="s">
        <v>714</v>
      </c>
      <c r="F162" s="1" t="s">
        <v>832</v>
      </c>
      <c r="G162" s="1" t="s">
        <v>854</v>
      </c>
      <c r="H162" s="1">
        <f>HYPERLINK("https://tidesandcurrents.noaa.gov/stationhome.html?id=8654467", "8654467")</f>
        <v>0</v>
      </c>
      <c r="I162" s="1">
        <v>-75.7042</v>
      </c>
      <c r="J162" s="1">
        <v>35.20864</v>
      </c>
      <c r="K162" s="1" t="s">
        <v>860</v>
      </c>
      <c r="L162" s="1" t="s">
        <v>866</v>
      </c>
      <c r="M162" s="1" t="s">
        <v>874</v>
      </c>
      <c r="N162" s="2">
        <f>HYPERLINK("https://tidesandcurrents.noaa.gov/datums.html?datum=MLLW&amp;units=0&amp;epoch=0&amp;id=8654467", "Datum Info")</f>
        <v>0</v>
      </c>
      <c r="O162" s="1" t="s">
        <v>886</v>
      </c>
      <c r="P162" s="1">
        <v>0.65</v>
      </c>
      <c r="Q162" s="1">
        <v>0.54</v>
      </c>
      <c r="R162" s="1">
        <v>0.31</v>
      </c>
      <c r="S162" s="1">
        <v>0.32</v>
      </c>
      <c r="T162" s="1">
        <v>0.33</v>
      </c>
      <c r="U162" s="1">
        <v>0.08</v>
      </c>
      <c r="V162" s="1">
        <v>0</v>
      </c>
      <c r="W162" s="1">
        <v>0.39</v>
      </c>
      <c r="X162" s="1">
        <v>-27.47</v>
      </c>
      <c r="Y162" s="1" t="s">
        <v>1163</v>
      </c>
      <c r="Z162" s="1" t="s">
        <v>1432</v>
      </c>
    </row>
    <row r="163" spans="1:26">
      <c r="A163" s="1" t="s">
        <v>187</v>
      </c>
      <c r="B163" s="1" t="s">
        <v>620</v>
      </c>
      <c r="D163" s="1" t="s">
        <v>652</v>
      </c>
      <c r="E163" s="1" t="s">
        <v>715</v>
      </c>
      <c r="F163" s="1" t="s">
        <v>832</v>
      </c>
      <c r="G163" s="1" t="s">
        <v>854</v>
      </c>
      <c r="H163" s="1">
        <f>HYPERLINK("https://tidesandcurrents.noaa.gov/stationhome.html?id=8654792", "8654792")</f>
        <v>0</v>
      </c>
      <c r="I163" s="1">
        <v>-75.988333</v>
      </c>
      <c r="J163" s="1">
        <v>35.115</v>
      </c>
      <c r="K163" s="1" t="s">
        <v>861</v>
      </c>
      <c r="L163" s="1" t="s">
        <v>866</v>
      </c>
      <c r="M163" s="1" t="s">
        <v>874</v>
      </c>
      <c r="N163" s="2">
        <f>HYPERLINK("https://tidesandcurrents.noaa.gov/datums.html?datum=MLLW&amp;units=0&amp;epoch=0&amp;id=8654792", "Datum Info")</f>
        <v>0</v>
      </c>
      <c r="O163" s="1" t="s">
        <v>886</v>
      </c>
      <c r="P163" s="1">
        <v>1.17</v>
      </c>
      <c r="Q163" s="1">
        <v>1.05</v>
      </c>
      <c r="R163" s="1">
        <v>0.55</v>
      </c>
      <c r="S163" s="1">
        <v>0.52</v>
      </c>
      <c r="T163" s="1">
        <v>0.58</v>
      </c>
      <c r="U163" s="1">
        <v>0.06</v>
      </c>
      <c r="V163" s="1">
        <v>0</v>
      </c>
      <c r="W163" s="1" t="s">
        <v>996</v>
      </c>
      <c r="X163" s="1">
        <v>-2.97</v>
      </c>
      <c r="Y163" s="1" t="s">
        <v>1164</v>
      </c>
      <c r="Z163" s="1" t="s">
        <v>1433</v>
      </c>
    </row>
    <row r="164" spans="1:26">
      <c r="A164" s="1" t="s">
        <v>188</v>
      </c>
      <c r="B164" s="1" t="s">
        <v>620</v>
      </c>
      <c r="D164" s="1" t="s">
        <v>652</v>
      </c>
      <c r="H164" s="1">
        <f>HYPERLINK("https://tidesandcurrents.noaa.gov/stationhome.html?id=8655151", "8655151")</f>
        <v>0</v>
      </c>
      <c r="I164" s="1">
        <v>-76.31</v>
      </c>
      <c r="J164" s="1">
        <v>35.02</v>
      </c>
      <c r="K164" s="1" t="s">
        <v>861</v>
      </c>
      <c r="L164" s="1" t="s">
        <v>866</v>
      </c>
      <c r="M164" s="1" t="s">
        <v>874</v>
      </c>
      <c r="N164" s="2">
        <f>HYPERLINK("https://tidesandcurrents.noaa.gov/datums.html?datum=MLLW&amp;units=0&amp;epoch=0&amp;id=8655151", "Datum Info")</f>
        <v>0</v>
      </c>
      <c r="O164" s="1" t="s">
        <v>886</v>
      </c>
      <c r="P164" s="1">
        <v>0.42</v>
      </c>
      <c r="Q164" s="1">
        <v>0.38</v>
      </c>
      <c r="R164" s="1">
        <v>0.2</v>
      </c>
      <c r="S164" s="1">
        <v>0.12</v>
      </c>
      <c r="T164" s="1">
        <v>0.21</v>
      </c>
      <c r="U164" s="1">
        <v>0.01</v>
      </c>
      <c r="V164" s="1">
        <v>0</v>
      </c>
      <c r="W164" s="1" t="s">
        <v>997</v>
      </c>
      <c r="X164" s="1">
        <v>-2.99</v>
      </c>
      <c r="Y164" s="1" t="s">
        <v>1165</v>
      </c>
      <c r="Z164" s="1" t="s">
        <v>1427</v>
      </c>
    </row>
    <row r="165" spans="1:26">
      <c r="A165" s="1" t="s">
        <v>189</v>
      </c>
      <c r="B165" s="1" t="s">
        <v>620</v>
      </c>
      <c r="D165" s="1" t="s">
        <v>652</v>
      </c>
      <c r="H165" s="1">
        <f>HYPERLINK("https://tidesandcurrents.noaa.gov/stationhome.html?id=8656483", "8656483")</f>
        <v>0</v>
      </c>
      <c r="I165" s="1">
        <v>-76.67</v>
      </c>
      <c r="J165" s="1">
        <v>34.72</v>
      </c>
      <c r="K165" s="1" t="s">
        <v>860</v>
      </c>
      <c r="L165" s="1" t="s">
        <v>866</v>
      </c>
      <c r="M165" s="1" t="s">
        <v>874</v>
      </c>
      <c r="N165" s="2">
        <f>HYPERLINK("https://tidesandcurrents.noaa.gov/datums.html?datum=MLLW&amp;units=0&amp;epoch=0&amp;id=8656483", "Datum Info")</f>
        <v>0</v>
      </c>
      <c r="O165" s="1" t="s">
        <v>886</v>
      </c>
      <c r="P165" s="1">
        <v>3.54</v>
      </c>
      <c r="Q165" s="1">
        <v>3.25</v>
      </c>
      <c r="R165" s="1">
        <v>1.7</v>
      </c>
      <c r="S165" s="1">
        <v>1.71</v>
      </c>
      <c r="T165" s="1">
        <v>1.77</v>
      </c>
      <c r="U165" s="1">
        <v>0.15</v>
      </c>
      <c r="V165" s="1">
        <v>0</v>
      </c>
      <c r="W165" s="1">
        <v>2.08</v>
      </c>
      <c r="X165" s="1">
        <v>-1.84</v>
      </c>
      <c r="Y165" s="1" t="s">
        <v>1166</v>
      </c>
      <c r="Z165" s="1" t="s">
        <v>1434</v>
      </c>
    </row>
    <row r="166" spans="1:26">
      <c r="A166" s="1" t="s">
        <v>190</v>
      </c>
      <c r="B166" s="1" t="s">
        <v>620</v>
      </c>
      <c r="D166" s="1" t="s">
        <v>652</v>
      </c>
      <c r="H166" s="1">
        <f>HYPERLINK("https://tidesandcurrents.noaa.gov/stationhome.html?id=8657419", "8657419")</f>
        <v>0</v>
      </c>
      <c r="I166" s="1">
        <v>-77.495</v>
      </c>
      <c r="J166" s="1">
        <v>34.4517</v>
      </c>
      <c r="K166" s="1" t="s">
        <v>861</v>
      </c>
      <c r="L166" s="1" t="s">
        <v>866</v>
      </c>
      <c r="M166" s="1" t="s">
        <v>874</v>
      </c>
      <c r="N166" s="2">
        <f>HYPERLINK("https://tidesandcurrents.noaa.gov/datums.html?datum=MLLW&amp;units=0&amp;epoch=0&amp;id=8657419", "Datum Info")</f>
        <v>0</v>
      </c>
      <c r="O166" s="1" t="s">
        <v>886</v>
      </c>
      <c r="P166" s="1">
        <v>4.67</v>
      </c>
      <c r="Q166" s="1">
        <v>4.35</v>
      </c>
      <c r="R166" s="1">
        <v>2.25</v>
      </c>
      <c r="S166" s="1">
        <v>2.26</v>
      </c>
      <c r="T166" s="1">
        <v>2.34</v>
      </c>
      <c r="U166" s="1">
        <v>0.15</v>
      </c>
      <c r="V166" s="1">
        <v>0</v>
      </c>
      <c r="W166" s="1" t="s">
        <v>998</v>
      </c>
      <c r="X166" s="1">
        <v>-3.56</v>
      </c>
      <c r="Y166" s="1" t="s">
        <v>1167</v>
      </c>
      <c r="Z166" s="1" t="s">
        <v>1203</v>
      </c>
    </row>
    <row r="167" spans="1:26">
      <c r="A167" s="1" t="s">
        <v>191</v>
      </c>
      <c r="B167" s="1" t="s">
        <v>620</v>
      </c>
      <c r="D167" s="1" t="s">
        <v>652</v>
      </c>
      <c r="H167" s="1" t="s">
        <v>859</v>
      </c>
      <c r="I167" s="1">
        <v>-76.04000000000001</v>
      </c>
      <c r="J167" s="1">
        <v>35.65</v>
      </c>
      <c r="K167" s="1" t="s">
        <v>861</v>
      </c>
      <c r="L167" s="1" t="s">
        <v>859</v>
      </c>
      <c r="M167" s="1" t="s">
        <v>874</v>
      </c>
    </row>
    <row r="168" spans="1:26">
      <c r="A168" s="1" t="s">
        <v>192</v>
      </c>
      <c r="B168" s="1" t="s">
        <v>620</v>
      </c>
      <c r="C168" s="1" t="s">
        <v>645</v>
      </c>
      <c r="D168" s="1" t="s">
        <v>652</v>
      </c>
      <c r="H168" s="1" t="s">
        <v>859</v>
      </c>
      <c r="I168" s="1">
        <v>-77.04000000000001</v>
      </c>
      <c r="J168" s="1">
        <v>35.1</v>
      </c>
      <c r="K168" s="1" t="s">
        <v>861</v>
      </c>
      <c r="L168" s="1" t="s">
        <v>859</v>
      </c>
      <c r="M168" s="1" t="s">
        <v>874</v>
      </c>
    </row>
    <row r="169" spans="1:26">
      <c r="A169" s="1" t="s">
        <v>193</v>
      </c>
      <c r="B169" s="1" t="s">
        <v>620</v>
      </c>
      <c r="C169" s="1" t="s">
        <v>645</v>
      </c>
      <c r="D169" s="1" t="s">
        <v>652</v>
      </c>
      <c r="E169" s="1" t="s">
        <v>688</v>
      </c>
      <c r="F169" s="1" t="s">
        <v>832</v>
      </c>
      <c r="G169" s="1" t="s">
        <v>854</v>
      </c>
      <c r="H169" s="1" t="s">
        <v>859</v>
      </c>
      <c r="I169" s="1">
        <v>-76.62</v>
      </c>
      <c r="J169" s="1">
        <v>35.54</v>
      </c>
      <c r="K169" s="1" t="s">
        <v>861</v>
      </c>
      <c r="L169" s="1" t="s">
        <v>859</v>
      </c>
      <c r="M169" s="1" t="s">
        <v>874</v>
      </c>
    </row>
    <row r="170" spans="1:26">
      <c r="A170" s="1" t="s">
        <v>194</v>
      </c>
      <c r="B170" s="1" t="s">
        <v>620</v>
      </c>
      <c r="D170" s="1" t="s">
        <v>652</v>
      </c>
      <c r="H170" s="1" t="s">
        <v>859</v>
      </c>
      <c r="I170" s="1">
        <v>-77.09999999999999</v>
      </c>
      <c r="J170" s="1">
        <v>34.65</v>
      </c>
      <c r="K170" s="1" t="s">
        <v>861</v>
      </c>
      <c r="L170" s="1" t="s">
        <v>859</v>
      </c>
      <c r="M170" s="1" t="s">
        <v>874</v>
      </c>
    </row>
    <row r="171" spans="1:26">
      <c r="A171" s="1" t="s">
        <v>195</v>
      </c>
      <c r="B171" s="1" t="s">
        <v>620</v>
      </c>
      <c r="C171" s="1" t="s">
        <v>645</v>
      </c>
      <c r="D171" s="1" t="s">
        <v>652</v>
      </c>
      <c r="E171" s="1" t="s">
        <v>716</v>
      </c>
      <c r="F171" s="1" t="s">
        <v>832</v>
      </c>
      <c r="G171" s="1" t="s">
        <v>854</v>
      </c>
      <c r="H171" s="1" t="s">
        <v>859</v>
      </c>
      <c r="I171" s="1">
        <v>-76.25</v>
      </c>
      <c r="J171" s="1">
        <v>35.92</v>
      </c>
      <c r="K171" s="1" t="s">
        <v>861</v>
      </c>
      <c r="L171" s="1" t="s">
        <v>859</v>
      </c>
      <c r="M171" s="1" t="s">
        <v>874</v>
      </c>
    </row>
    <row r="172" spans="1:26">
      <c r="A172" s="1" t="s">
        <v>196</v>
      </c>
      <c r="B172" s="1" t="s">
        <v>620</v>
      </c>
      <c r="C172" s="1" t="s">
        <v>645</v>
      </c>
      <c r="D172" s="1" t="s">
        <v>652</v>
      </c>
      <c r="E172" s="1" t="s">
        <v>715</v>
      </c>
      <c r="F172" s="1" t="s">
        <v>832</v>
      </c>
      <c r="G172" s="1" t="s">
        <v>854</v>
      </c>
      <c r="H172" s="1" t="s">
        <v>859</v>
      </c>
      <c r="I172" s="1">
        <v>-75.98999999999999</v>
      </c>
      <c r="J172" s="1">
        <v>35.51</v>
      </c>
      <c r="K172" s="1" t="s">
        <v>860</v>
      </c>
      <c r="L172" s="1" t="s">
        <v>859</v>
      </c>
      <c r="M172" s="1" t="s">
        <v>874</v>
      </c>
    </row>
    <row r="173" spans="1:26">
      <c r="A173" s="1" t="s">
        <v>197</v>
      </c>
      <c r="B173" s="1" t="s">
        <v>620</v>
      </c>
      <c r="C173" s="1" t="s">
        <v>645</v>
      </c>
      <c r="D173" s="1" t="s">
        <v>652</v>
      </c>
      <c r="H173" s="1" t="s">
        <v>859</v>
      </c>
      <c r="I173" s="1">
        <v>-77.0634</v>
      </c>
      <c r="J173" s="1">
        <v>34.6677</v>
      </c>
      <c r="K173" s="1" t="s">
        <v>861</v>
      </c>
      <c r="L173" s="1" t="s">
        <v>859</v>
      </c>
      <c r="M173" s="1" t="s">
        <v>874</v>
      </c>
    </row>
    <row r="174" spans="1:26">
      <c r="A174" s="1" t="s">
        <v>198</v>
      </c>
      <c r="B174" s="1" t="s">
        <v>620</v>
      </c>
      <c r="C174" s="1" t="s">
        <v>645</v>
      </c>
      <c r="D174" s="1" t="s">
        <v>652</v>
      </c>
      <c r="E174" s="1" t="s">
        <v>714</v>
      </c>
      <c r="F174" s="1" t="s">
        <v>832</v>
      </c>
      <c r="G174" s="1" t="s">
        <v>854</v>
      </c>
      <c r="H174" s="1" t="s">
        <v>859</v>
      </c>
      <c r="I174" s="1">
        <v>-75.5218</v>
      </c>
      <c r="J174" s="1">
        <v>35.2676</v>
      </c>
      <c r="K174" s="1" t="s">
        <v>861</v>
      </c>
      <c r="L174" s="1" t="s">
        <v>859</v>
      </c>
      <c r="M174" s="1" t="s">
        <v>874</v>
      </c>
    </row>
    <row r="175" spans="1:26">
      <c r="A175" s="1" t="s">
        <v>199</v>
      </c>
      <c r="B175" s="1" t="s">
        <v>620</v>
      </c>
      <c r="C175" s="1" t="s">
        <v>645</v>
      </c>
      <c r="D175" s="1" t="s">
        <v>652</v>
      </c>
      <c r="E175" s="1" t="s">
        <v>717</v>
      </c>
      <c r="F175" s="1" t="s">
        <v>832</v>
      </c>
      <c r="G175" s="1" t="s">
        <v>854</v>
      </c>
      <c r="H175" s="1" t="s">
        <v>859</v>
      </c>
      <c r="I175" s="1">
        <v>-77.17583</v>
      </c>
      <c r="J175" s="1">
        <v>35.57389</v>
      </c>
      <c r="K175" s="1" t="s">
        <v>861</v>
      </c>
      <c r="L175" s="1" t="s">
        <v>859</v>
      </c>
      <c r="M175" s="1" t="s">
        <v>874</v>
      </c>
    </row>
    <row r="176" spans="1:26">
      <c r="A176" s="1" t="s">
        <v>200</v>
      </c>
      <c r="B176" s="1" t="s">
        <v>620</v>
      </c>
      <c r="C176" s="1" t="s">
        <v>645</v>
      </c>
      <c r="D176" s="1" t="s">
        <v>652</v>
      </c>
      <c r="E176" s="1" t="s">
        <v>718</v>
      </c>
      <c r="F176" s="1" t="s">
        <v>832</v>
      </c>
      <c r="G176" s="1" t="s">
        <v>854</v>
      </c>
      <c r="H176" s="1" t="s">
        <v>859</v>
      </c>
      <c r="I176" s="1">
        <v>-76.923</v>
      </c>
      <c r="J176" s="1">
        <v>34.891</v>
      </c>
      <c r="K176" s="1" t="s">
        <v>861</v>
      </c>
      <c r="L176" s="1" t="s">
        <v>859</v>
      </c>
      <c r="M176" s="1" t="s">
        <v>874</v>
      </c>
    </row>
    <row r="177" spans="1:38">
      <c r="A177" s="1" t="s">
        <v>201</v>
      </c>
      <c r="B177" s="1" t="s">
        <v>620</v>
      </c>
      <c r="C177" s="1" t="s">
        <v>645</v>
      </c>
      <c r="D177" s="1" t="s">
        <v>652</v>
      </c>
      <c r="H177" s="1" t="s">
        <v>859</v>
      </c>
      <c r="I177" s="1">
        <v>-77.43778</v>
      </c>
      <c r="J177" s="1">
        <v>34.74889</v>
      </c>
      <c r="K177" s="1" t="s">
        <v>861</v>
      </c>
      <c r="L177" s="1" t="s">
        <v>859</v>
      </c>
      <c r="M177" s="1" t="s">
        <v>874</v>
      </c>
    </row>
    <row r="178" spans="1:38">
      <c r="A178" s="1" t="s">
        <v>202</v>
      </c>
      <c r="B178" s="1" t="s">
        <v>620</v>
      </c>
      <c r="C178" s="1" t="s">
        <v>645</v>
      </c>
      <c r="D178" s="1" t="s">
        <v>652</v>
      </c>
      <c r="E178" s="1" t="s">
        <v>714</v>
      </c>
      <c r="F178" s="1" t="s">
        <v>832</v>
      </c>
      <c r="G178" s="1" t="s">
        <v>854</v>
      </c>
      <c r="H178" s="1" t="s">
        <v>859</v>
      </c>
      <c r="I178" s="1">
        <v>-75.69994</v>
      </c>
      <c r="J178" s="1">
        <v>36.06071</v>
      </c>
      <c r="K178" s="1" t="s">
        <v>861</v>
      </c>
      <c r="L178" s="1" t="s">
        <v>859</v>
      </c>
      <c r="M178" s="1" t="s">
        <v>874</v>
      </c>
    </row>
    <row r="179" spans="1:38">
      <c r="A179" s="1" t="s">
        <v>203</v>
      </c>
      <c r="B179" s="1" t="s">
        <v>620</v>
      </c>
      <c r="C179" s="1" t="s">
        <v>645</v>
      </c>
      <c r="D179" s="1" t="s">
        <v>652</v>
      </c>
      <c r="E179" s="1" t="s">
        <v>719</v>
      </c>
      <c r="F179" s="1" t="s">
        <v>832</v>
      </c>
      <c r="G179" s="1" t="s">
        <v>854</v>
      </c>
      <c r="H179" s="1" t="s">
        <v>859</v>
      </c>
      <c r="I179" s="1">
        <v>-76.6919444</v>
      </c>
      <c r="J179" s="1">
        <v>35.0244</v>
      </c>
      <c r="K179" s="1" t="s">
        <v>861</v>
      </c>
      <c r="L179" s="1" t="s">
        <v>859</v>
      </c>
      <c r="M179" s="1" t="s">
        <v>874</v>
      </c>
    </row>
    <row r="180" spans="1:38">
      <c r="A180" s="1" t="s">
        <v>204</v>
      </c>
      <c r="B180" s="1" t="s">
        <v>620</v>
      </c>
      <c r="C180" s="1" t="s">
        <v>645</v>
      </c>
      <c r="D180" s="1" t="s">
        <v>652</v>
      </c>
      <c r="E180" s="1" t="s">
        <v>715</v>
      </c>
      <c r="F180" s="1" t="s">
        <v>832</v>
      </c>
      <c r="G180" s="1" t="s">
        <v>854</v>
      </c>
      <c r="H180" s="1" t="s">
        <v>859</v>
      </c>
      <c r="I180" s="1">
        <v>-76.33</v>
      </c>
      <c r="J180" s="1">
        <v>35.39</v>
      </c>
      <c r="K180" s="1" t="s">
        <v>861</v>
      </c>
      <c r="L180" s="1" t="s">
        <v>859</v>
      </c>
      <c r="M180" s="1" t="s">
        <v>874</v>
      </c>
    </row>
    <row r="181" spans="1:38">
      <c r="A181" s="1" t="s">
        <v>205</v>
      </c>
      <c r="B181" s="1" t="s">
        <v>620</v>
      </c>
      <c r="D181" s="1" t="s">
        <v>652</v>
      </c>
      <c r="H181" s="1">
        <f>HYPERLINK("https://waterdata.usgs.gov/nwis/nwismap/?site_no=02084472&amp;agency_cd=USGS", "US02084472")</f>
        <v>0</v>
      </c>
      <c r="I181" s="1">
        <v>-77.06194228</v>
      </c>
      <c r="J181" s="1">
        <v>35.54332622</v>
      </c>
      <c r="K181" s="1" t="s">
        <v>861</v>
      </c>
      <c r="L181" s="1" t="s">
        <v>867</v>
      </c>
      <c r="M181" s="1" t="s">
        <v>874</v>
      </c>
      <c r="N181" s="2">
        <f>HYPERLINK("https://waterservices.usgs.gov/nwis/site/?site=02084472&amp;format=rdb", "Datum Info")</f>
        <v>0</v>
      </c>
      <c r="O181" s="1" t="s">
        <v>887</v>
      </c>
      <c r="W181" s="1" t="s">
        <v>999</v>
      </c>
      <c r="AB181" s="1">
        <v>0.93</v>
      </c>
      <c r="AC181" s="1" t="s">
        <v>1633</v>
      </c>
      <c r="AE181" s="1" t="s">
        <v>1705</v>
      </c>
      <c r="AH181" s="1">
        <v>3.5</v>
      </c>
      <c r="AI181" s="1">
        <v>4</v>
      </c>
      <c r="AJ181" s="1">
        <v>5</v>
      </c>
      <c r="AK181" s="1">
        <v>7</v>
      </c>
      <c r="AL181" s="1" t="s">
        <v>1744</v>
      </c>
    </row>
    <row r="182" spans="1:38">
      <c r="A182" s="1" t="s">
        <v>206</v>
      </c>
      <c r="B182" s="1" t="s">
        <v>621</v>
      </c>
      <c r="D182" s="1" t="s">
        <v>652</v>
      </c>
      <c r="H182" s="1">
        <f>HYPERLINK("https://tidesandcurrents.noaa.gov/stationhome.html?id=8461490", "8461490")</f>
        <v>0</v>
      </c>
      <c r="I182" s="1">
        <v>-72.0955</v>
      </c>
      <c r="J182" s="1">
        <v>41.3717</v>
      </c>
      <c r="K182" s="1" t="s">
        <v>860</v>
      </c>
      <c r="L182" s="1" t="s">
        <v>866</v>
      </c>
      <c r="M182" s="1" t="s">
        <v>874</v>
      </c>
      <c r="N182" s="2">
        <f>HYPERLINK("https://tidesandcurrents.noaa.gov/datums.html?datum=MLLW&amp;units=0&amp;epoch=0&amp;id=8461490", "Datum Info")</f>
        <v>0</v>
      </c>
      <c r="O182" s="1" t="s">
        <v>886</v>
      </c>
      <c r="P182" s="1">
        <v>3.05</v>
      </c>
      <c r="Q182" s="1">
        <v>2.76</v>
      </c>
      <c r="R182" s="1">
        <v>1.48</v>
      </c>
      <c r="S182" s="1">
        <v>1.54</v>
      </c>
      <c r="T182" s="1">
        <v>1.53</v>
      </c>
      <c r="U182" s="1">
        <v>0.19</v>
      </c>
      <c r="V182" s="1">
        <v>0</v>
      </c>
      <c r="W182" s="1">
        <v>1.84</v>
      </c>
      <c r="X182" s="1">
        <v>-3.52</v>
      </c>
      <c r="Y182" s="1" t="s">
        <v>1168</v>
      </c>
      <c r="Z182" s="1" t="s">
        <v>1435</v>
      </c>
    </row>
    <row r="183" spans="1:38">
      <c r="A183" s="1" t="s">
        <v>207</v>
      </c>
      <c r="B183" s="1" t="s">
        <v>621</v>
      </c>
      <c r="D183" s="1" t="s">
        <v>652</v>
      </c>
      <c r="E183" s="1" t="s">
        <v>679</v>
      </c>
      <c r="F183" s="1" t="s">
        <v>841</v>
      </c>
      <c r="G183" s="1" t="s">
        <v>854</v>
      </c>
      <c r="H183" s="1">
        <f>HYPERLINK("https://tidesandcurrents.noaa.gov/stationhome.html?id=8462752", "8462752")</f>
        <v>0</v>
      </c>
      <c r="I183" s="1">
        <v>-72.34999999999999</v>
      </c>
      <c r="J183" s="1">
        <v>41.283333</v>
      </c>
      <c r="K183" s="1" t="s">
        <v>861</v>
      </c>
      <c r="L183" s="1" t="s">
        <v>866</v>
      </c>
      <c r="M183" s="1" t="s">
        <v>874</v>
      </c>
      <c r="N183" s="2">
        <f>HYPERLINK("https://tidesandcurrents.noaa.gov/datums.html?datum=MLLW&amp;units=0&amp;epoch=0&amp;id=8462752", "Datum Info")</f>
        <v>0</v>
      </c>
    </row>
    <row r="184" spans="1:38">
      <c r="A184" s="1" t="s">
        <v>208</v>
      </c>
      <c r="B184" s="1" t="s">
        <v>621</v>
      </c>
      <c r="C184" s="1" t="s">
        <v>646</v>
      </c>
      <c r="D184" s="1" t="s">
        <v>652</v>
      </c>
      <c r="E184" s="1" t="s">
        <v>720</v>
      </c>
      <c r="F184" s="1" t="s">
        <v>841</v>
      </c>
      <c r="G184" s="1" t="s">
        <v>854</v>
      </c>
      <c r="H184" s="1">
        <f>HYPERLINK("https://tidesandcurrents.noaa.gov/stationhome.html?id=8462925", "8462925")</f>
        <v>0</v>
      </c>
      <c r="I184" s="1">
        <v>-72.1867</v>
      </c>
      <c r="J184" s="1">
        <v>41.325</v>
      </c>
      <c r="K184" s="1" t="s">
        <v>860</v>
      </c>
      <c r="L184" s="1" t="s">
        <v>866</v>
      </c>
      <c r="M184" s="1" t="s">
        <v>874</v>
      </c>
      <c r="N184" s="2">
        <f>HYPERLINK("https://tidesandcurrents.noaa.gov/datums.html?datum=MLLW&amp;units=0&amp;epoch=0&amp;id=8462925", "Datum Info")</f>
        <v>0</v>
      </c>
    </row>
    <row r="185" spans="1:38">
      <c r="A185" s="1" t="s">
        <v>209</v>
      </c>
      <c r="B185" s="1" t="s">
        <v>621</v>
      </c>
      <c r="C185" s="1" t="s">
        <v>646</v>
      </c>
      <c r="D185" s="1" t="s">
        <v>652</v>
      </c>
      <c r="H185" s="1">
        <f>HYPERLINK("https://tidesandcurrents.noaa.gov/stationhome.html?id=8463701", "8463701")</f>
        <v>0</v>
      </c>
      <c r="I185" s="1">
        <v>-72.5317</v>
      </c>
      <c r="J185" s="1">
        <v>41.2683</v>
      </c>
      <c r="K185" s="1" t="s">
        <v>861</v>
      </c>
      <c r="L185" s="1" t="s">
        <v>866</v>
      </c>
      <c r="M185" s="1" t="s">
        <v>874</v>
      </c>
      <c r="N185" s="2">
        <f>HYPERLINK("https://tidesandcurrents.noaa.gov/datums.html?datum=MLLW&amp;units=0&amp;epoch=0&amp;id=8463701", "Datum Info")</f>
        <v>0</v>
      </c>
      <c r="O185" s="1" t="s">
        <v>886</v>
      </c>
      <c r="P185" s="1">
        <v>5.09</v>
      </c>
      <c r="Q185" s="1">
        <v>4.79</v>
      </c>
      <c r="R185" s="1">
        <v>2.51</v>
      </c>
      <c r="S185" s="1">
        <v>2.47</v>
      </c>
      <c r="T185" s="1">
        <v>2.55</v>
      </c>
      <c r="U185" s="1">
        <v>0.24</v>
      </c>
      <c r="V185" s="1">
        <v>0</v>
      </c>
      <c r="W185" s="1">
        <v>2.8</v>
      </c>
      <c r="X185" s="1">
        <v>-25.25</v>
      </c>
      <c r="Y185" s="1" t="s">
        <v>1169</v>
      </c>
      <c r="Z185" s="1" t="s">
        <v>1436</v>
      </c>
    </row>
    <row r="186" spans="1:38">
      <c r="A186" s="1" t="s">
        <v>210</v>
      </c>
      <c r="B186" s="1" t="s">
        <v>621</v>
      </c>
      <c r="D186" s="1" t="s">
        <v>652</v>
      </c>
      <c r="H186" s="1">
        <f>HYPERLINK("https://tidesandcurrents.noaa.gov/stationhome.html?id=8465705", "8465705")</f>
        <v>0</v>
      </c>
      <c r="I186" s="1">
        <v>-72.9083</v>
      </c>
      <c r="J186" s="1">
        <v>41.28333</v>
      </c>
      <c r="K186" s="1" t="s">
        <v>860</v>
      </c>
      <c r="L186" s="1" t="s">
        <v>866</v>
      </c>
      <c r="M186" s="1" t="s">
        <v>874</v>
      </c>
      <c r="N186" s="2">
        <f>HYPERLINK("https://tidesandcurrents.noaa.gov/datums.html?datum=MLLW&amp;units=0&amp;epoch=0&amp;id=8465705", "Datum Info")</f>
        <v>0</v>
      </c>
      <c r="O186" s="1" t="s">
        <v>886</v>
      </c>
      <c r="P186" s="1">
        <v>6.72</v>
      </c>
      <c r="Q186" s="1">
        <v>6.4</v>
      </c>
      <c r="R186" s="1">
        <v>3.32</v>
      </c>
      <c r="S186" s="1">
        <v>3.33</v>
      </c>
      <c r="T186" s="1">
        <v>3.36</v>
      </c>
      <c r="U186" s="1">
        <v>0.24</v>
      </c>
      <c r="V186" s="1">
        <v>0</v>
      </c>
      <c r="W186" s="1" t="s">
        <v>1000</v>
      </c>
      <c r="X186" s="1">
        <v>-18.42</v>
      </c>
      <c r="Y186" s="1" t="s">
        <v>1170</v>
      </c>
      <c r="Z186" s="1" t="s">
        <v>1437</v>
      </c>
    </row>
    <row r="187" spans="1:38">
      <c r="A187" s="1" t="s">
        <v>211</v>
      </c>
      <c r="B187" s="1" t="s">
        <v>621</v>
      </c>
      <c r="C187" s="1" t="s">
        <v>646</v>
      </c>
      <c r="D187" s="1" t="s">
        <v>652</v>
      </c>
      <c r="E187" s="1" t="s">
        <v>721</v>
      </c>
      <c r="F187" s="1" t="s">
        <v>841</v>
      </c>
      <c r="G187" s="1" t="s">
        <v>854</v>
      </c>
      <c r="H187" s="1">
        <f>HYPERLINK("https://tidesandcurrents.noaa.gov/stationhome.html?id=8467150", "8467150")</f>
        <v>0</v>
      </c>
      <c r="I187" s="1">
        <v>-73.18170000000001</v>
      </c>
      <c r="J187" s="1">
        <v>41.1733</v>
      </c>
      <c r="K187" s="1" t="s">
        <v>860</v>
      </c>
      <c r="L187" s="1" t="s">
        <v>866</v>
      </c>
      <c r="M187" s="1" t="s">
        <v>874</v>
      </c>
      <c r="N187" s="2">
        <f>HYPERLINK("https://tidesandcurrents.noaa.gov/datums.html?datum=MLLW&amp;units=0&amp;epoch=0&amp;id=8467150", "Datum Info")</f>
        <v>0</v>
      </c>
      <c r="O187" s="1" t="s">
        <v>886</v>
      </c>
      <c r="P187" s="1">
        <v>7.32</v>
      </c>
      <c r="Q187" s="1">
        <v>6.99</v>
      </c>
      <c r="R187" s="1">
        <v>3.61</v>
      </c>
      <c r="S187" s="1">
        <v>3.62</v>
      </c>
      <c r="T187" s="1">
        <v>3.66</v>
      </c>
      <c r="U187" s="1">
        <v>0.24</v>
      </c>
      <c r="V187" s="1">
        <v>0</v>
      </c>
      <c r="W187" s="1">
        <v>3.84</v>
      </c>
      <c r="X187" s="1">
        <v>-1.98</v>
      </c>
      <c r="Y187" s="1" t="s">
        <v>1171</v>
      </c>
      <c r="Z187" s="1" t="s">
        <v>1438</v>
      </c>
    </row>
    <row r="188" spans="1:38">
      <c r="A188" s="1" t="s">
        <v>212</v>
      </c>
      <c r="B188" s="1" t="s">
        <v>621</v>
      </c>
      <c r="C188" s="1" t="s">
        <v>646</v>
      </c>
      <c r="D188" s="1" t="s">
        <v>652</v>
      </c>
      <c r="E188" s="1" t="s">
        <v>721</v>
      </c>
      <c r="F188" s="1" t="s">
        <v>841</v>
      </c>
      <c r="G188" s="1" t="s">
        <v>854</v>
      </c>
      <c r="H188" s="1">
        <f>HYPERLINK("https://tidesandcurrents.noaa.gov/stationhome.html?id=8469198", "8469198")</f>
        <v>0</v>
      </c>
      <c r="I188" s="1">
        <v>-73.5467</v>
      </c>
      <c r="J188" s="1">
        <v>41.0383</v>
      </c>
      <c r="K188" s="1" t="s">
        <v>860</v>
      </c>
      <c r="L188" s="1" t="s">
        <v>866</v>
      </c>
      <c r="M188" s="1" t="s">
        <v>874</v>
      </c>
      <c r="N188" s="2">
        <f>HYPERLINK("https://tidesandcurrents.noaa.gov/datums.html?datum=MLLW&amp;units=0&amp;epoch=0&amp;id=8469198", "Datum Info")</f>
        <v>0</v>
      </c>
      <c r="O188" s="1" t="s">
        <v>886</v>
      </c>
      <c r="P188" s="1">
        <v>7.77</v>
      </c>
      <c r="Q188" s="1">
        <v>7.42</v>
      </c>
      <c r="R188" s="1">
        <v>3.83</v>
      </c>
      <c r="S188" s="1">
        <v>3.85</v>
      </c>
      <c r="T188" s="1">
        <v>3.89</v>
      </c>
      <c r="U188" s="1">
        <v>0.24</v>
      </c>
      <c r="V188" s="1">
        <v>0</v>
      </c>
      <c r="W188" s="1">
        <v>4.04</v>
      </c>
      <c r="X188" s="1">
        <v>-6.57</v>
      </c>
      <c r="Y188" s="1" t="s">
        <v>1172</v>
      </c>
      <c r="Z188" s="1" t="s">
        <v>1439</v>
      </c>
      <c r="AH188" s="1">
        <v>0</v>
      </c>
      <c r="AI188" s="1">
        <v>9.4</v>
      </c>
      <c r="AJ188" s="1">
        <v>11</v>
      </c>
      <c r="AK188" s="1">
        <v>12.4</v>
      </c>
      <c r="AL188" s="1" t="s">
        <v>1744</v>
      </c>
    </row>
    <row r="189" spans="1:38">
      <c r="A189" s="1" t="s">
        <v>213</v>
      </c>
      <c r="B189" s="1" t="s">
        <v>621</v>
      </c>
      <c r="D189" s="1" t="s">
        <v>652</v>
      </c>
      <c r="H189" s="1">
        <f>HYPERLINK("https://tidesandcurrents.noaa.gov/stationhome.html?id=8510560", "8510560")</f>
        <v>0</v>
      </c>
      <c r="I189" s="1">
        <v>-71.9594</v>
      </c>
      <c r="J189" s="1">
        <v>41.04833</v>
      </c>
      <c r="K189" s="1" t="s">
        <v>860</v>
      </c>
      <c r="L189" s="1" t="s">
        <v>866</v>
      </c>
      <c r="M189" s="1" t="s">
        <v>874</v>
      </c>
      <c r="N189" s="2">
        <f>HYPERLINK("https://tidesandcurrents.noaa.gov/datums.html?datum=MLLW&amp;units=0&amp;epoch=0&amp;id=8510560", "Datum Info")</f>
        <v>0</v>
      </c>
      <c r="O189" s="1" t="s">
        <v>886</v>
      </c>
      <c r="P189" s="1">
        <v>2.53</v>
      </c>
      <c r="Q189" s="1">
        <v>2.24</v>
      </c>
      <c r="R189" s="1">
        <v>1.21</v>
      </c>
      <c r="S189" s="1">
        <v>1.24</v>
      </c>
      <c r="T189" s="1">
        <v>1.26</v>
      </c>
      <c r="U189" s="1">
        <v>0.17</v>
      </c>
      <c r="V189" s="1">
        <v>0</v>
      </c>
      <c r="W189" s="1">
        <v>1.57</v>
      </c>
      <c r="X189" s="1">
        <v>-3.86</v>
      </c>
      <c r="Y189" s="1" t="s">
        <v>1173</v>
      </c>
      <c r="Z189" s="1" t="s">
        <v>1440</v>
      </c>
    </row>
    <row r="190" spans="1:38">
      <c r="A190" s="1" t="s">
        <v>214</v>
      </c>
      <c r="B190" s="1" t="s">
        <v>621</v>
      </c>
      <c r="D190" s="1" t="s">
        <v>652</v>
      </c>
      <c r="H190" s="1">
        <f>HYPERLINK("https://tidesandcurrents.noaa.gov/stationhome.html?id=8511671", "8511671")</f>
        <v>0</v>
      </c>
      <c r="I190" s="1">
        <v>-72.30670000000001</v>
      </c>
      <c r="J190" s="1">
        <v>41.1367</v>
      </c>
      <c r="K190" s="1" t="s">
        <v>860</v>
      </c>
      <c r="L190" s="1" t="s">
        <v>866</v>
      </c>
      <c r="M190" s="1" t="s">
        <v>874</v>
      </c>
      <c r="N190" s="2">
        <f>HYPERLINK("https://tidesandcurrents.noaa.gov/datums.html?datum=MLLW&amp;units=0&amp;epoch=0&amp;id=8511671", "Datum Info")</f>
        <v>0</v>
      </c>
      <c r="O190" s="1" t="s">
        <v>886</v>
      </c>
      <c r="P190" s="1">
        <v>3.04</v>
      </c>
      <c r="Q190" s="1">
        <v>2.72</v>
      </c>
      <c r="R190" s="1">
        <v>1.46</v>
      </c>
      <c r="S190" s="1">
        <v>1.52</v>
      </c>
      <c r="T190" s="1">
        <v>1.52</v>
      </c>
      <c r="U190" s="1">
        <v>0.2</v>
      </c>
      <c r="V190" s="1">
        <v>0</v>
      </c>
      <c r="W190" s="1" t="s">
        <v>1001</v>
      </c>
      <c r="X190" s="1">
        <v>-24.77</v>
      </c>
      <c r="Y190" s="1" t="s">
        <v>1174</v>
      </c>
      <c r="Z190" s="1" t="s">
        <v>1441</v>
      </c>
      <c r="AH190" s="1">
        <v>4.5</v>
      </c>
      <c r="AI190" s="1">
        <v>4.7</v>
      </c>
      <c r="AJ190" s="1">
        <v>5.7</v>
      </c>
      <c r="AK190" s="1">
        <v>6.7</v>
      </c>
      <c r="AL190" s="1" t="s">
        <v>1744</v>
      </c>
    </row>
    <row r="191" spans="1:38">
      <c r="A191" s="1" t="s">
        <v>215</v>
      </c>
      <c r="B191" s="1" t="s">
        <v>621</v>
      </c>
      <c r="C191" s="1" t="s">
        <v>646</v>
      </c>
      <c r="D191" s="1" t="s">
        <v>652</v>
      </c>
      <c r="E191" s="1" t="s">
        <v>722</v>
      </c>
      <c r="F191" s="1" t="s">
        <v>833</v>
      </c>
      <c r="G191" s="1" t="s">
        <v>854</v>
      </c>
      <c r="H191" s="1">
        <f>HYPERLINK("https://tidesandcurrents.noaa.gov/stationhome.html?id=8512451", "8512451")</f>
        <v>0</v>
      </c>
      <c r="I191" s="1">
        <v>-72.5033</v>
      </c>
      <c r="J191" s="1">
        <v>40.85</v>
      </c>
      <c r="K191" s="1" t="s">
        <v>860</v>
      </c>
      <c r="L191" s="1" t="s">
        <v>866</v>
      </c>
      <c r="M191" s="1" t="s">
        <v>874</v>
      </c>
      <c r="N191" s="2">
        <f>HYPERLINK("https://tidesandcurrents.noaa.gov/datums.html?datum=MLLW&amp;units=0&amp;epoch=0&amp;id=8512451", "Datum Info")</f>
        <v>0</v>
      </c>
      <c r="O191" s="1" t="s">
        <v>886</v>
      </c>
      <c r="P191" s="1">
        <v>3.18</v>
      </c>
      <c r="Q191" s="1">
        <v>2.93</v>
      </c>
      <c r="R191" s="1">
        <v>1.52</v>
      </c>
      <c r="S191" s="1">
        <v>1.52</v>
      </c>
      <c r="T191" s="1">
        <v>1.59</v>
      </c>
      <c r="U191" s="1">
        <v>0.13</v>
      </c>
      <c r="V191" s="1">
        <v>0</v>
      </c>
      <c r="W191" s="1">
        <v>1.82</v>
      </c>
      <c r="X191" s="1">
        <v>-4.68</v>
      </c>
      <c r="Y191" s="1" t="s">
        <v>1175</v>
      </c>
      <c r="Z191" s="1" t="s">
        <v>1442</v>
      </c>
      <c r="AH191" s="1">
        <v>0</v>
      </c>
      <c r="AI191" s="1">
        <v>4.9</v>
      </c>
      <c r="AJ191" s="1">
        <v>5.9</v>
      </c>
      <c r="AK191" s="1">
        <v>6.9</v>
      </c>
      <c r="AL191" s="1" t="s">
        <v>1744</v>
      </c>
    </row>
    <row r="192" spans="1:38">
      <c r="A192" s="1" t="s">
        <v>216</v>
      </c>
      <c r="B192" s="1" t="s">
        <v>621</v>
      </c>
      <c r="D192" s="1" t="s">
        <v>652</v>
      </c>
      <c r="H192" s="1">
        <f>HYPERLINK("https://tidesandcurrents.noaa.gov/stationhome.html?id=8512668", "8512668")</f>
        <v>0</v>
      </c>
      <c r="I192" s="1">
        <v>-72.5617</v>
      </c>
      <c r="J192" s="1">
        <v>41.015</v>
      </c>
      <c r="K192" s="1" t="s">
        <v>861</v>
      </c>
      <c r="L192" s="1" t="s">
        <v>866</v>
      </c>
      <c r="M192" s="1" t="s">
        <v>874</v>
      </c>
      <c r="N192" s="2">
        <f>HYPERLINK("https://tidesandcurrents.noaa.gov/datums.html?datum=MLLW&amp;units=0&amp;epoch=0&amp;id=8512668", "Datum Info")</f>
        <v>0</v>
      </c>
      <c r="O192" s="1" t="s">
        <v>886</v>
      </c>
      <c r="P192" s="1">
        <v>5.57</v>
      </c>
      <c r="Q192" s="1">
        <v>5.28</v>
      </c>
      <c r="R192" s="1">
        <v>2.74</v>
      </c>
      <c r="S192" s="1">
        <v>2.71</v>
      </c>
      <c r="T192" s="1">
        <v>2.78</v>
      </c>
      <c r="U192" s="1">
        <v>0.2</v>
      </c>
      <c r="V192" s="1">
        <v>0</v>
      </c>
      <c r="W192" s="1" t="s">
        <v>1002</v>
      </c>
      <c r="X192" s="1">
        <v>-19.8</v>
      </c>
      <c r="Y192" s="1" t="s">
        <v>1176</v>
      </c>
      <c r="Z192" s="1" t="s">
        <v>1443</v>
      </c>
    </row>
    <row r="193" spans="1:38">
      <c r="A193" s="1" t="s">
        <v>217</v>
      </c>
      <c r="B193" s="1" t="s">
        <v>621</v>
      </c>
      <c r="C193" s="1" t="s">
        <v>646</v>
      </c>
      <c r="D193" s="1" t="s">
        <v>652</v>
      </c>
      <c r="H193" s="1">
        <f>HYPERLINK("https://tidesandcurrents.noaa.gov/stationhome.html?id=8512735", "8512735")</f>
        <v>0</v>
      </c>
      <c r="I193" s="1">
        <v>-72.5817</v>
      </c>
      <c r="J193" s="1">
        <v>40.935</v>
      </c>
      <c r="K193" s="1" t="s">
        <v>861</v>
      </c>
      <c r="L193" s="1" t="s">
        <v>866</v>
      </c>
      <c r="M193" s="1" t="s">
        <v>874</v>
      </c>
      <c r="N193" s="2">
        <f>HYPERLINK("https://tidesandcurrents.noaa.gov/datums.html?datum=MLLW&amp;units=0&amp;epoch=0&amp;id=8512735", "Datum Info")</f>
        <v>0</v>
      </c>
      <c r="O193" s="1" t="s">
        <v>886</v>
      </c>
      <c r="P193" s="1">
        <v>3.31</v>
      </c>
      <c r="Q193" s="1">
        <v>3.01</v>
      </c>
      <c r="R193" s="1">
        <v>1.6</v>
      </c>
      <c r="S193" s="1">
        <v>1.64</v>
      </c>
      <c r="T193" s="1">
        <v>1.66</v>
      </c>
      <c r="U193" s="1">
        <v>0.18</v>
      </c>
      <c r="V193" s="1">
        <v>0</v>
      </c>
      <c r="W193" s="1" t="s">
        <v>1003</v>
      </c>
      <c r="X193" s="1">
        <v>-1.38</v>
      </c>
      <c r="Y193" s="1" t="s">
        <v>1092</v>
      </c>
      <c r="Z193" s="1" t="s">
        <v>1444</v>
      </c>
    </row>
    <row r="194" spans="1:38">
      <c r="A194" s="1" t="s">
        <v>218</v>
      </c>
      <c r="B194" s="1" t="s">
        <v>621</v>
      </c>
      <c r="D194" s="1" t="s">
        <v>652</v>
      </c>
      <c r="H194" s="1">
        <f>HYPERLINK("https://tidesandcurrents.noaa.gov/stationhome.html?id=8513388", "8513388")</f>
        <v>0</v>
      </c>
      <c r="I194" s="1">
        <v>-72.75</v>
      </c>
      <c r="J194" s="1">
        <v>40.7867</v>
      </c>
      <c r="K194" s="1" t="s">
        <v>860</v>
      </c>
      <c r="L194" s="1" t="s">
        <v>866</v>
      </c>
      <c r="M194" s="1" t="s">
        <v>874</v>
      </c>
      <c r="N194" s="2">
        <f>HYPERLINK("https://tidesandcurrents.noaa.gov/datums.html?datum=MLLW&amp;units=0&amp;epoch=0&amp;id=8513388", "Datum Info")</f>
        <v>0</v>
      </c>
      <c r="O194" s="1" t="s">
        <v>886</v>
      </c>
      <c r="P194" s="1">
        <v>2.5</v>
      </c>
      <c r="Q194" s="1">
        <v>2.27</v>
      </c>
      <c r="R194" s="1">
        <v>1.2</v>
      </c>
      <c r="S194" s="1">
        <v>1.19</v>
      </c>
      <c r="T194" s="1">
        <v>1.25</v>
      </c>
      <c r="U194" s="1">
        <v>0.12</v>
      </c>
      <c r="V194" s="1">
        <v>0</v>
      </c>
      <c r="W194" s="1" t="s">
        <v>1004</v>
      </c>
      <c r="X194" s="1">
        <v>-1.74</v>
      </c>
      <c r="Y194" s="1" t="s">
        <v>1057</v>
      </c>
      <c r="Z194" s="1" t="s">
        <v>1445</v>
      </c>
      <c r="AH194" s="1">
        <v>4</v>
      </c>
      <c r="AI194" s="1">
        <v>4.4</v>
      </c>
      <c r="AJ194" s="1">
        <v>5.4</v>
      </c>
      <c r="AK194" s="1">
        <v>6.4</v>
      </c>
      <c r="AL194" s="1" t="s">
        <v>1744</v>
      </c>
    </row>
    <row r="195" spans="1:38">
      <c r="A195" s="1" t="s">
        <v>219</v>
      </c>
      <c r="B195" s="1" t="s">
        <v>621</v>
      </c>
      <c r="C195" s="1" t="s">
        <v>646</v>
      </c>
      <c r="D195" s="1" t="s">
        <v>652</v>
      </c>
      <c r="E195" s="1" t="s">
        <v>722</v>
      </c>
      <c r="F195" s="1" t="s">
        <v>833</v>
      </c>
      <c r="G195" s="1" t="s">
        <v>854</v>
      </c>
      <c r="H195" s="1">
        <f>HYPERLINK("https://tidesandcurrents.noaa.gov/stationhome.html?id=8514322", "8514322")</f>
        <v>0</v>
      </c>
      <c r="I195" s="1">
        <v>-73</v>
      </c>
      <c r="J195" s="1">
        <v>40.75</v>
      </c>
      <c r="K195" s="1" t="s">
        <v>860</v>
      </c>
      <c r="L195" s="1" t="s">
        <v>866</v>
      </c>
      <c r="M195" s="1" t="s">
        <v>874</v>
      </c>
      <c r="N195" s="2">
        <f>HYPERLINK("https://tidesandcurrents.noaa.gov/datums.html?datum=MLLW&amp;units=0&amp;epoch=0&amp;id=8514322", "Datum Info")</f>
        <v>0</v>
      </c>
      <c r="O195" s="1" t="s">
        <v>886</v>
      </c>
      <c r="P195" s="1">
        <v>1.38</v>
      </c>
      <c r="Q195" s="1">
        <v>1.22</v>
      </c>
      <c r="R195" s="1">
        <v>0.66</v>
      </c>
      <c r="S195" s="1">
        <v>0.66</v>
      </c>
      <c r="T195" s="1">
        <v>0.6899999999999999</v>
      </c>
      <c r="U195" s="1">
        <v>0.11</v>
      </c>
      <c r="V195" s="1">
        <v>0</v>
      </c>
      <c r="W195" s="1" t="s">
        <v>1005</v>
      </c>
      <c r="X195" s="1">
        <v>-3.9</v>
      </c>
      <c r="Y195" s="1" t="s">
        <v>1177</v>
      </c>
      <c r="Z195" s="1" t="s">
        <v>1446</v>
      </c>
      <c r="AH195" s="1">
        <v>2.8</v>
      </c>
      <c r="AI195" s="1">
        <v>3.1</v>
      </c>
      <c r="AJ195" s="1">
        <v>3.6</v>
      </c>
      <c r="AK195" s="1">
        <v>4.1</v>
      </c>
      <c r="AL195" s="1" t="s">
        <v>1744</v>
      </c>
    </row>
    <row r="196" spans="1:38">
      <c r="A196" s="1" t="s">
        <v>220</v>
      </c>
      <c r="B196" s="1" t="s">
        <v>621</v>
      </c>
      <c r="D196" s="1" t="s">
        <v>652</v>
      </c>
      <c r="E196" s="1" t="s">
        <v>722</v>
      </c>
      <c r="F196" s="1" t="s">
        <v>833</v>
      </c>
      <c r="G196" s="1" t="s">
        <v>854</v>
      </c>
      <c r="H196" s="1">
        <f>HYPERLINK("https://tidesandcurrents.noaa.gov/stationhome.html?id=8514594", "8514594")</f>
        <v>0</v>
      </c>
      <c r="I196" s="1">
        <v>-73.091667</v>
      </c>
      <c r="J196" s="1">
        <v>40.971666</v>
      </c>
      <c r="K196" s="1" t="s">
        <v>860</v>
      </c>
      <c r="L196" s="1" t="s">
        <v>866</v>
      </c>
      <c r="M196" s="1" t="s">
        <v>874</v>
      </c>
      <c r="N196" s="2">
        <f>HYPERLINK("https://tidesandcurrents.noaa.gov/datums.html?datum=MLLW&amp;units=0&amp;epoch=0&amp;id=8514594", "Datum Info")</f>
        <v>0</v>
      </c>
      <c r="AH196" s="1">
        <v>9</v>
      </c>
      <c r="AI196" s="1">
        <v>9.199999999999999</v>
      </c>
      <c r="AJ196" s="1">
        <v>10.2</v>
      </c>
      <c r="AK196" s="1">
        <v>12.2</v>
      </c>
      <c r="AL196" s="1" t="s">
        <v>1744</v>
      </c>
    </row>
    <row r="197" spans="1:38">
      <c r="A197" s="1" t="s">
        <v>221</v>
      </c>
      <c r="B197" s="1" t="s">
        <v>621</v>
      </c>
      <c r="C197" s="1" t="s">
        <v>646</v>
      </c>
      <c r="D197" s="1" t="s">
        <v>652</v>
      </c>
      <c r="E197" s="1" t="s">
        <v>723</v>
      </c>
      <c r="F197" s="1" t="s">
        <v>833</v>
      </c>
      <c r="G197" s="1" t="s">
        <v>854</v>
      </c>
      <c r="H197" s="1">
        <f>HYPERLINK("https://tidesandcurrents.noaa.gov/stationhome.html?id=8516402", "8516402")</f>
        <v>0</v>
      </c>
      <c r="I197" s="1">
        <v>-73.58</v>
      </c>
      <c r="J197" s="1">
        <v>40.59</v>
      </c>
      <c r="K197" s="1" t="s">
        <v>860</v>
      </c>
      <c r="L197" s="1" t="s">
        <v>866</v>
      </c>
      <c r="M197" s="1" t="s">
        <v>874</v>
      </c>
      <c r="N197" s="2">
        <f>HYPERLINK("https://tidesandcurrents.noaa.gov/datums.html?datum=MLLW&amp;units=0&amp;epoch=0&amp;id=8516402", "Datum Info")</f>
        <v>0</v>
      </c>
      <c r="O197" s="1" t="s">
        <v>886</v>
      </c>
      <c r="P197" s="1">
        <v>4.66</v>
      </c>
      <c r="Q197" s="1">
        <v>4.33</v>
      </c>
      <c r="R197" s="1">
        <v>2.26</v>
      </c>
      <c r="S197" s="1">
        <v>2.24</v>
      </c>
      <c r="T197" s="1">
        <v>2.33</v>
      </c>
      <c r="U197" s="1">
        <v>0.19</v>
      </c>
      <c r="V197" s="1">
        <v>0</v>
      </c>
      <c r="W197" s="1" t="s">
        <v>1006</v>
      </c>
      <c r="X197" s="1">
        <v>-23.83</v>
      </c>
      <c r="Y197" s="1" t="s">
        <v>1178</v>
      </c>
      <c r="Z197" s="1" t="s">
        <v>1447</v>
      </c>
      <c r="AH197" s="1">
        <v>5.5</v>
      </c>
      <c r="AI197" s="1">
        <v>5.8</v>
      </c>
      <c r="AJ197" s="1">
        <v>6.8</v>
      </c>
      <c r="AK197" s="1">
        <v>7.8</v>
      </c>
      <c r="AL197" s="1" t="s">
        <v>1744</v>
      </c>
    </row>
    <row r="198" spans="1:38">
      <c r="A198" s="1" t="s">
        <v>222</v>
      </c>
      <c r="B198" s="1" t="s">
        <v>621</v>
      </c>
      <c r="C198" s="1" t="s">
        <v>646</v>
      </c>
      <c r="D198" s="1" t="s">
        <v>652</v>
      </c>
      <c r="H198" s="1">
        <f>HYPERLINK("https://tidesandcurrents.noaa.gov/stationhome.html?id=8516411", "8516411")</f>
        <v>0</v>
      </c>
      <c r="I198" s="1">
        <v>-73.584</v>
      </c>
      <c r="J198" s="1">
        <v>40.5939</v>
      </c>
      <c r="K198" s="1" t="s">
        <v>860</v>
      </c>
      <c r="L198" s="1" t="s">
        <v>866</v>
      </c>
      <c r="M198" s="1" t="s">
        <v>874</v>
      </c>
      <c r="N198" s="2">
        <f>HYPERLINK("https://tidesandcurrents.noaa.gov/datums.html?datum=MLLW&amp;units=0&amp;epoch=0&amp;id=8516411", "Datum Info")</f>
        <v>0</v>
      </c>
      <c r="AH198" s="1">
        <v>5.8</v>
      </c>
      <c r="AI198" s="1">
        <v>6</v>
      </c>
      <c r="AJ198" s="1">
        <v>6.5</v>
      </c>
      <c r="AK198" s="1">
        <v>7.2</v>
      </c>
      <c r="AL198" s="1" t="s">
        <v>1744</v>
      </c>
    </row>
    <row r="199" spans="1:38">
      <c r="A199" s="1" t="s">
        <v>223</v>
      </c>
      <c r="B199" s="1" t="s">
        <v>621</v>
      </c>
      <c r="D199" s="1" t="s">
        <v>652</v>
      </c>
      <c r="H199" s="1">
        <f>HYPERLINK("https://tidesandcurrents.noaa.gov/stationhome.html?id=8516614", "8516614")</f>
        <v>0</v>
      </c>
      <c r="I199" s="1">
        <v>-73.655</v>
      </c>
      <c r="J199" s="1">
        <v>40.8633</v>
      </c>
      <c r="K199" s="1" t="s">
        <v>860</v>
      </c>
      <c r="L199" s="1" t="s">
        <v>866</v>
      </c>
      <c r="M199" s="1" t="s">
        <v>874</v>
      </c>
      <c r="N199" s="2">
        <f>HYPERLINK("https://tidesandcurrents.noaa.gov/datums.html?datum=MLLW&amp;units=0&amp;epoch=0&amp;id=8516614", "Datum Info")</f>
        <v>0</v>
      </c>
      <c r="O199" s="1" t="s">
        <v>886</v>
      </c>
      <c r="P199" s="1">
        <v>7.87</v>
      </c>
      <c r="Q199" s="1">
        <v>7.51</v>
      </c>
      <c r="R199" s="1">
        <v>3.87</v>
      </c>
      <c r="S199" s="1">
        <v>3.88</v>
      </c>
      <c r="T199" s="1">
        <v>3.94</v>
      </c>
      <c r="U199" s="1">
        <v>0.24</v>
      </c>
      <c r="V199" s="1">
        <v>0</v>
      </c>
      <c r="W199" s="1">
        <v>4.15</v>
      </c>
      <c r="X199" s="1">
        <v>-2.17</v>
      </c>
      <c r="Y199" s="1" t="s">
        <v>1179</v>
      </c>
      <c r="Z199" s="1" t="s">
        <v>1448</v>
      </c>
      <c r="AH199" s="1">
        <v>9.800000000000001</v>
      </c>
      <c r="AI199" s="1">
        <v>10.1</v>
      </c>
      <c r="AJ199" s="1">
        <v>11.1</v>
      </c>
      <c r="AK199" s="1">
        <v>13.1</v>
      </c>
      <c r="AL199" s="1" t="s">
        <v>1744</v>
      </c>
    </row>
    <row r="200" spans="1:38">
      <c r="A200" s="1" t="s">
        <v>224</v>
      </c>
      <c r="B200" s="1" t="s">
        <v>621</v>
      </c>
      <c r="D200" s="1" t="s">
        <v>652</v>
      </c>
      <c r="E200" s="1" t="s">
        <v>724</v>
      </c>
      <c r="F200" s="1" t="s">
        <v>833</v>
      </c>
      <c r="G200" s="1" t="s">
        <v>854</v>
      </c>
      <c r="H200" s="1">
        <f>HYPERLINK("https://tidesandcurrents.noaa.gov/stationhome.html?id=8516881", "8516881")</f>
        <v>0</v>
      </c>
      <c r="I200" s="1">
        <v>-73.7433</v>
      </c>
      <c r="J200" s="1">
        <v>40.595</v>
      </c>
      <c r="K200" s="1" t="s">
        <v>860</v>
      </c>
      <c r="L200" s="1" t="s">
        <v>866</v>
      </c>
      <c r="M200" s="1" t="s">
        <v>874</v>
      </c>
      <c r="N200" s="2">
        <f>HYPERLINK("https://tidesandcurrents.noaa.gov/datums.html?datum=MLLW&amp;units=0&amp;epoch=0&amp;id=8516881", "Datum Info")</f>
        <v>0</v>
      </c>
      <c r="O200" s="1" t="s">
        <v>886</v>
      </c>
      <c r="P200" s="1">
        <v>4.9</v>
      </c>
      <c r="Q200" s="1">
        <v>4.56</v>
      </c>
      <c r="R200" s="1">
        <v>2.38</v>
      </c>
      <c r="S200" s="1">
        <v>2.37</v>
      </c>
      <c r="T200" s="1">
        <v>2.45</v>
      </c>
      <c r="U200" s="1">
        <v>0.19</v>
      </c>
      <c r="V200" s="1">
        <v>0</v>
      </c>
      <c r="W200" s="1">
        <v>2.86</v>
      </c>
      <c r="X200" s="1">
        <v>-19.31</v>
      </c>
      <c r="Y200" s="1" t="s">
        <v>1180</v>
      </c>
      <c r="Z200" s="1" t="s">
        <v>1449</v>
      </c>
      <c r="AB200" s="1">
        <v>0</v>
      </c>
      <c r="AH200" s="1">
        <v>5.8</v>
      </c>
      <c r="AI200" s="1">
        <v>6</v>
      </c>
      <c r="AJ200" s="1">
        <v>7</v>
      </c>
      <c r="AK200" s="1">
        <v>8</v>
      </c>
      <c r="AL200" s="1" t="s">
        <v>1744</v>
      </c>
    </row>
    <row r="201" spans="1:38">
      <c r="A201" s="1" t="s">
        <v>225</v>
      </c>
      <c r="B201" s="1" t="s">
        <v>621</v>
      </c>
      <c r="C201" s="1" t="s">
        <v>646</v>
      </c>
      <c r="D201" s="1" t="s">
        <v>652</v>
      </c>
      <c r="E201" s="1" t="s">
        <v>723</v>
      </c>
      <c r="F201" s="1" t="s">
        <v>833</v>
      </c>
      <c r="G201" s="1" t="s">
        <v>854</v>
      </c>
      <c r="H201" s="1">
        <f>HYPERLINK("https://tidesandcurrents.noaa.gov/stationhome.html?id=8516925", "8516925")</f>
        <v>0</v>
      </c>
      <c r="I201" s="1">
        <v>-73.75833299999999</v>
      </c>
      <c r="J201" s="1">
        <v>40.616666</v>
      </c>
      <c r="K201" s="1" t="s">
        <v>860</v>
      </c>
      <c r="L201" s="1" t="s">
        <v>866</v>
      </c>
      <c r="M201" s="1" t="s">
        <v>874</v>
      </c>
      <c r="N201" s="2">
        <f>HYPERLINK("https://tidesandcurrents.noaa.gov/datums.html?datum=MLLW&amp;units=0&amp;epoch=0&amp;id=8516925", "Datum Info")</f>
        <v>0</v>
      </c>
      <c r="AH201" s="1">
        <v>7.2</v>
      </c>
      <c r="AI201" s="1">
        <v>7.5</v>
      </c>
      <c r="AJ201" s="1">
        <v>8.199999999999999</v>
      </c>
      <c r="AK201" s="1">
        <v>9</v>
      </c>
      <c r="AL201" s="1" t="s">
        <v>1744</v>
      </c>
    </row>
    <row r="202" spans="1:38">
      <c r="A202" s="1" t="s">
        <v>226</v>
      </c>
      <c r="B202" s="1" t="s">
        <v>621</v>
      </c>
      <c r="D202" s="1" t="s">
        <v>652</v>
      </c>
      <c r="H202" s="1">
        <f>HYPERLINK("https://tidesandcurrents.noaa.gov/stationhome.html?id=8516945", "8516945")</f>
        <v>0</v>
      </c>
      <c r="I202" s="1">
        <v>-73.765</v>
      </c>
      <c r="J202" s="1">
        <v>40.81031</v>
      </c>
      <c r="K202" s="1" t="s">
        <v>860</v>
      </c>
      <c r="L202" s="1" t="s">
        <v>866</v>
      </c>
      <c r="M202" s="1" t="s">
        <v>874</v>
      </c>
      <c r="N202" s="2">
        <f>HYPERLINK("https://tidesandcurrents.noaa.gov/datums.html?datum=MLLW&amp;units=0&amp;epoch=0&amp;id=8516945", "Datum Info")</f>
        <v>0</v>
      </c>
      <c r="O202" s="1" t="s">
        <v>886</v>
      </c>
      <c r="P202" s="1">
        <v>7.8</v>
      </c>
      <c r="Q202" s="1">
        <v>7.45</v>
      </c>
      <c r="R202" s="1">
        <v>3.86</v>
      </c>
      <c r="S202" s="1">
        <v>3.89</v>
      </c>
      <c r="T202" s="1">
        <v>3.9</v>
      </c>
      <c r="U202" s="1">
        <v>0.28</v>
      </c>
      <c r="V202" s="1">
        <v>0</v>
      </c>
      <c r="W202" s="1">
        <v>4.21</v>
      </c>
      <c r="X202" s="1">
        <v>-12.88</v>
      </c>
      <c r="Y202" s="1" t="s">
        <v>1181</v>
      </c>
      <c r="Z202" s="1" t="s">
        <v>1450</v>
      </c>
    </row>
    <row r="203" spans="1:38">
      <c r="A203" s="1" t="s">
        <v>227</v>
      </c>
      <c r="B203" s="1" t="s">
        <v>621</v>
      </c>
      <c r="C203" s="1" t="s">
        <v>646</v>
      </c>
      <c r="D203" s="1" t="s">
        <v>652</v>
      </c>
      <c r="H203" s="1">
        <f>HYPERLINK("https://tidesandcurrents.noaa.gov/stationhome.html?id=8517394", "8517394")</f>
        <v>0</v>
      </c>
      <c r="I203" s="1">
        <v>-73.888333</v>
      </c>
      <c r="J203" s="1">
        <v>40.578333</v>
      </c>
      <c r="K203" s="1" t="s">
        <v>860</v>
      </c>
      <c r="L203" s="1" t="s">
        <v>866</v>
      </c>
      <c r="M203" s="1" t="s">
        <v>874</v>
      </c>
      <c r="N203" s="2">
        <f>HYPERLINK("https://tidesandcurrents.noaa.gov/datums.html?datum=MLLW&amp;units=0&amp;epoch=0&amp;id=8517394", "Datum Info")</f>
        <v>0</v>
      </c>
      <c r="AH203" s="1">
        <v>7</v>
      </c>
      <c r="AI203" s="1">
        <v>7.3</v>
      </c>
      <c r="AJ203" s="1">
        <v>8.300000000000001</v>
      </c>
      <c r="AK203" s="1">
        <v>9.300000000000001</v>
      </c>
      <c r="AL203" s="1" t="s">
        <v>1744</v>
      </c>
    </row>
    <row r="204" spans="1:38">
      <c r="A204" s="1" t="s">
        <v>228</v>
      </c>
      <c r="B204" s="1" t="s">
        <v>621</v>
      </c>
      <c r="D204" s="1" t="s">
        <v>652</v>
      </c>
      <c r="H204" s="1">
        <f>HYPERLINK("https://tidesandcurrents.noaa.gov/stationhome.html?id=8518091", "8518091")</f>
        <v>0</v>
      </c>
      <c r="I204" s="1">
        <v>-73.6717</v>
      </c>
      <c r="J204" s="1">
        <v>40.9617</v>
      </c>
      <c r="K204" s="1" t="s">
        <v>861</v>
      </c>
      <c r="L204" s="1" t="s">
        <v>866</v>
      </c>
      <c r="M204" s="1" t="s">
        <v>874</v>
      </c>
      <c r="N204" s="2">
        <f>HYPERLINK("https://tidesandcurrents.noaa.gov/datums.html?datum=MLLW&amp;units=0&amp;epoch=0&amp;id=8518091", "Datum Info")</f>
        <v>0</v>
      </c>
      <c r="O204" s="1" t="s">
        <v>886</v>
      </c>
      <c r="P204" s="1">
        <v>7.89</v>
      </c>
      <c r="Q204" s="1">
        <v>7.53</v>
      </c>
      <c r="R204" s="1">
        <v>3.89</v>
      </c>
      <c r="S204" s="1">
        <v>3.9</v>
      </c>
      <c r="T204" s="1">
        <v>3.95</v>
      </c>
      <c r="U204" s="1">
        <v>0.24</v>
      </c>
      <c r="V204" s="1">
        <v>0</v>
      </c>
      <c r="W204" s="1">
        <v>4.14</v>
      </c>
      <c r="X204" s="1">
        <v>-3.57</v>
      </c>
      <c r="Y204" s="1" t="s">
        <v>1182</v>
      </c>
      <c r="Z204" s="1" t="s">
        <v>1451</v>
      </c>
    </row>
    <row r="205" spans="1:38">
      <c r="A205" s="1" t="s">
        <v>229</v>
      </c>
      <c r="B205" s="1" t="s">
        <v>621</v>
      </c>
      <c r="C205" s="1" t="s">
        <v>646</v>
      </c>
      <c r="D205" s="1" t="s">
        <v>652</v>
      </c>
      <c r="H205" s="1">
        <f>HYPERLINK("https://tidesandcurrents.noaa.gov/stationhome.html?id=8518750", "8518750")</f>
        <v>0</v>
      </c>
      <c r="I205" s="1">
        <v>-74.0142</v>
      </c>
      <c r="J205" s="1">
        <v>40.70056</v>
      </c>
      <c r="K205" s="1" t="s">
        <v>860</v>
      </c>
      <c r="L205" s="1" t="s">
        <v>866</v>
      </c>
      <c r="M205" s="1" t="s">
        <v>874</v>
      </c>
      <c r="N205" s="2">
        <f>HYPERLINK("https://tidesandcurrents.noaa.gov/datums.html?datum=MLLW&amp;units=0&amp;epoch=0&amp;id=8518750", "Datum Info")</f>
        <v>0</v>
      </c>
      <c r="O205" s="1" t="s">
        <v>886</v>
      </c>
      <c r="P205" s="1">
        <v>5.05</v>
      </c>
      <c r="Q205" s="1">
        <v>4.73</v>
      </c>
      <c r="R205" s="1">
        <v>2.47</v>
      </c>
      <c r="S205" s="1">
        <v>2.57</v>
      </c>
      <c r="T205" s="1">
        <v>2.53</v>
      </c>
      <c r="U205" s="1">
        <v>0.2</v>
      </c>
      <c r="V205" s="1">
        <v>0</v>
      </c>
      <c r="W205" s="1">
        <v>2.77</v>
      </c>
      <c r="X205" s="1">
        <v>-3.29</v>
      </c>
      <c r="Y205" s="1" t="s">
        <v>1183</v>
      </c>
      <c r="Z205" s="1" t="s">
        <v>1452</v>
      </c>
    </row>
    <row r="206" spans="1:38">
      <c r="A206" s="1" t="s">
        <v>230</v>
      </c>
      <c r="B206" s="1" t="s">
        <v>621</v>
      </c>
      <c r="C206" s="1" t="s">
        <v>646</v>
      </c>
      <c r="D206" s="1" t="s">
        <v>652</v>
      </c>
      <c r="E206" s="1" t="s">
        <v>725</v>
      </c>
      <c r="F206" s="1" t="s">
        <v>833</v>
      </c>
      <c r="G206" s="1" t="s">
        <v>854</v>
      </c>
      <c r="H206" s="1">
        <f>HYPERLINK("https://tidesandcurrents.noaa.gov/stationhome.html?id=8518919", "8518919")</f>
        <v>0</v>
      </c>
      <c r="I206" s="1">
        <v>-73.87</v>
      </c>
      <c r="J206" s="1">
        <v>41.0783333</v>
      </c>
      <c r="K206" s="1" t="s">
        <v>860</v>
      </c>
      <c r="L206" s="1" t="s">
        <v>866</v>
      </c>
      <c r="M206" s="1" t="s">
        <v>874</v>
      </c>
      <c r="N206" s="2">
        <f>HYPERLINK("https://tidesandcurrents.noaa.gov/datums.html?datum=MLLW&amp;units=0&amp;epoch=0&amp;id=8518919", "Datum Info")</f>
        <v>0</v>
      </c>
      <c r="AH206" s="1">
        <v>6.3</v>
      </c>
      <c r="AI206" s="1">
        <v>6.4</v>
      </c>
      <c r="AJ206" s="1">
        <v>7.4</v>
      </c>
      <c r="AK206" s="1">
        <v>8.4</v>
      </c>
      <c r="AL206" s="1" t="s">
        <v>1744</v>
      </c>
    </row>
    <row r="207" spans="1:38">
      <c r="A207" s="1" t="s">
        <v>231</v>
      </c>
      <c r="B207" s="1" t="s">
        <v>621</v>
      </c>
      <c r="D207" s="1" t="s">
        <v>652</v>
      </c>
      <c r="E207" s="1" t="s">
        <v>726</v>
      </c>
      <c r="F207" s="1" t="s">
        <v>833</v>
      </c>
      <c r="G207" s="1" t="s">
        <v>854</v>
      </c>
      <c r="H207" s="1">
        <f>HYPERLINK("https://tidesandcurrents.noaa.gov/stationhome.html?id=8519483", "8519483")</f>
        <v>0</v>
      </c>
      <c r="I207" s="1">
        <v>-74.1463</v>
      </c>
      <c r="J207" s="1">
        <v>40.6391</v>
      </c>
      <c r="K207" s="1" t="s">
        <v>860</v>
      </c>
      <c r="L207" s="1" t="s">
        <v>866</v>
      </c>
      <c r="M207" s="1" t="s">
        <v>874</v>
      </c>
      <c r="N207" s="2">
        <f>HYPERLINK("https://tidesandcurrents.noaa.gov/datums.html?datum=MLLW&amp;units=0&amp;epoch=0&amp;id=8519483", "Datum Info")</f>
        <v>0</v>
      </c>
      <c r="O207" s="1" t="s">
        <v>886</v>
      </c>
      <c r="P207" s="1">
        <v>5.51</v>
      </c>
      <c r="Q207" s="1">
        <v>5.19</v>
      </c>
      <c r="R207" s="1">
        <v>2.7</v>
      </c>
      <c r="S207" s="1">
        <v>2.77</v>
      </c>
      <c r="T207" s="1">
        <v>2.75</v>
      </c>
      <c r="U207" s="1">
        <v>0.21</v>
      </c>
      <c r="V207" s="1">
        <v>0</v>
      </c>
      <c r="W207" s="1" t="s">
        <v>946</v>
      </c>
      <c r="X207" s="1">
        <v>-4.24</v>
      </c>
      <c r="Y207" s="1" t="s">
        <v>1184</v>
      </c>
      <c r="Z207" s="1" t="s">
        <v>1453</v>
      </c>
    </row>
    <row r="208" spans="1:38">
      <c r="A208" s="1" t="s">
        <v>232</v>
      </c>
      <c r="B208" s="1" t="s">
        <v>621</v>
      </c>
      <c r="C208" s="1" t="s">
        <v>644</v>
      </c>
      <c r="D208" s="1" t="s">
        <v>652</v>
      </c>
      <c r="E208" s="1" t="s">
        <v>727</v>
      </c>
      <c r="F208" s="1" t="s">
        <v>842</v>
      </c>
      <c r="G208" s="1" t="s">
        <v>854</v>
      </c>
      <c r="H208" s="1">
        <f>HYPERLINK("https://tidesandcurrents.noaa.gov/stationhome.html?id=8530278", "8530278")</f>
        <v>0</v>
      </c>
      <c r="I208" s="1">
        <v>-74.04000000000001</v>
      </c>
      <c r="J208" s="1">
        <v>40.88</v>
      </c>
      <c r="K208" s="1" t="s">
        <v>861</v>
      </c>
      <c r="L208" s="1" t="s">
        <v>866</v>
      </c>
      <c r="M208" s="1" t="s">
        <v>874</v>
      </c>
      <c r="N208" s="2">
        <f>HYPERLINK("https://tidesandcurrents.noaa.gov/datums.html?datum=MLLW&amp;units=0&amp;epoch=0&amp;id=8530278", "Datum Info")</f>
        <v>0</v>
      </c>
      <c r="O208" s="1" t="s">
        <v>886</v>
      </c>
      <c r="P208" s="1">
        <v>6.63</v>
      </c>
      <c r="Q208" s="1">
        <v>6.3</v>
      </c>
      <c r="R208" s="1">
        <v>3.3</v>
      </c>
      <c r="S208" s="1">
        <v>3.57</v>
      </c>
      <c r="T208" s="1">
        <v>3.31</v>
      </c>
      <c r="U208" s="1">
        <v>0.29</v>
      </c>
      <c r="V208" s="1">
        <v>0</v>
      </c>
      <c r="W208" s="1">
        <v>3.55</v>
      </c>
      <c r="X208" s="1">
        <v>-5.84</v>
      </c>
      <c r="Y208" s="1" t="s">
        <v>1185</v>
      </c>
      <c r="Z208" s="1" t="s">
        <v>1454</v>
      </c>
    </row>
    <row r="209" spans="1:38">
      <c r="A209" s="1" t="s">
        <v>233</v>
      </c>
      <c r="B209" s="1" t="s">
        <v>621</v>
      </c>
      <c r="C209" s="1" t="s">
        <v>644</v>
      </c>
      <c r="D209" s="1" t="s">
        <v>652</v>
      </c>
      <c r="E209" s="1" t="s">
        <v>728</v>
      </c>
      <c r="F209" s="1" t="s">
        <v>842</v>
      </c>
      <c r="G209" s="1" t="s">
        <v>854</v>
      </c>
      <c r="H209" s="1">
        <f>HYPERLINK("https://tidesandcurrents.noaa.gov/stationhome.html?id=8530743", "8530743")</f>
        <v>0</v>
      </c>
      <c r="I209" s="1">
        <v>-74.11669999999999</v>
      </c>
      <c r="J209" s="1">
        <v>40.7317</v>
      </c>
      <c r="K209" s="1" t="s">
        <v>860</v>
      </c>
      <c r="L209" s="1" t="s">
        <v>866</v>
      </c>
      <c r="M209" s="1" t="s">
        <v>874</v>
      </c>
      <c r="N209" s="2">
        <f>HYPERLINK("https://tidesandcurrents.noaa.gov/datums.html?datum=MLLW&amp;units=0&amp;epoch=0&amp;id=8530743", "Datum Info")</f>
        <v>0</v>
      </c>
      <c r="O209" s="1" t="s">
        <v>886</v>
      </c>
      <c r="P209" s="1">
        <v>5.74</v>
      </c>
      <c r="Q209" s="1">
        <v>5.43</v>
      </c>
      <c r="R209" s="1">
        <v>2.82</v>
      </c>
      <c r="S209" s="1">
        <v>2.9</v>
      </c>
      <c r="T209" s="1">
        <v>2.87</v>
      </c>
      <c r="U209" s="1">
        <v>0.22</v>
      </c>
      <c r="V209" s="1">
        <v>0</v>
      </c>
      <c r="W209" s="1" t="s">
        <v>1007</v>
      </c>
      <c r="X209" s="1">
        <v>-0.8100000000000001</v>
      </c>
      <c r="Y209" s="1" t="s">
        <v>1186</v>
      </c>
      <c r="Z209" s="1" t="s">
        <v>1455</v>
      </c>
      <c r="AA209" s="1" t="s">
        <v>1612</v>
      </c>
      <c r="AH209" s="1">
        <v>0</v>
      </c>
      <c r="AI209" s="1">
        <v>0</v>
      </c>
      <c r="AJ209" s="1">
        <v>0</v>
      </c>
      <c r="AK209" s="1">
        <v>0</v>
      </c>
      <c r="AL209" s="1" t="s">
        <v>1744</v>
      </c>
    </row>
    <row r="210" spans="1:38">
      <c r="A210" s="1" t="s">
        <v>234</v>
      </c>
      <c r="B210" s="1" t="s">
        <v>621</v>
      </c>
      <c r="D210" s="1" t="s">
        <v>652</v>
      </c>
      <c r="H210" s="1">
        <f>HYPERLINK("https://tidesandcurrents.noaa.gov/stationhome.html?id=8531680", "8531680")</f>
        <v>0</v>
      </c>
      <c r="I210" s="1">
        <v>-74.0094</v>
      </c>
      <c r="J210" s="1">
        <v>40.46694</v>
      </c>
      <c r="K210" s="1" t="s">
        <v>860</v>
      </c>
      <c r="L210" s="1" t="s">
        <v>866</v>
      </c>
      <c r="M210" s="1" t="s">
        <v>874</v>
      </c>
      <c r="N210" s="2">
        <f>HYPERLINK("https://tidesandcurrents.noaa.gov/datums.html?datum=MLLW&amp;units=0&amp;epoch=0&amp;id=8531680", "Datum Info")</f>
        <v>0</v>
      </c>
      <c r="O210" s="1" t="s">
        <v>886</v>
      </c>
      <c r="P210" s="1">
        <v>5.23</v>
      </c>
      <c r="Q210" s="1">
        <v>4.9</v>
      </c>
      <c r="R210" s="1">
        <v>2.55</v>
      </c>
      <c r="S210" s="1">
        <v>2.58</v>
      </c>
      <c r="T210" s="1">
        <v>2.61</v>
      </c>
      <c r="U210" s="1">
        <v>0.2</v>
      </c>
      <c r="V210" s="1">
        <v>0</v>
      </c>
      <c r="W210" s="1">
        <v>2.82</v>
      </c>
      <c r="X210" s="1">
        <v>-2.51</v>
      </c>
      <c r="Y210" s="1" t="s">
        <v>1001</v>
      </c>
      <c r="Z210" s="1" t="s">
        <v>1456</v>
      </c>
    </row>
    <row r="211" spans="1:38">
      <c r="A211" s="1" t="s">
        <v>235</v>
      </c>
      <c r="B211" s="1" t="s">
        <v>621</v>
      </c>
      <c r="C211" s="1" t="s">
        <v>646</v>
      </c>
      <c r="D211" s="1" t="s">
        <v>652</v>
      </c>
      <c r="E211" s="1" t="s">
        <v>722</v>
      </c>
      <c r="F211" s="1" t="s">
        <v>833</v>
      </c>
      <c r="G211" s="1" t="s">
        <v>854</v>
      </c>
      <c r="H211" s="1" t="s">
        <v>859</v>
      </c>
      <c r="I211" s="1">
        <v>-73.36</v>
      </c>
      <c r="J211" s="1">
        <v>40.67</v>
      </c>
      <c r="K211" s="1" t="s">
        <v>860</v>
      </c>
      <c r="L211" s="1" t="s">
        <v>859</v>
      </c>
      <c r="M211" s="1" t="s">
        <v>874</v>
      </c>
      <c r="AH211" s="1">
        <v>2.8</v>
      </c>
      <c r="AI211" s="1">
        <v>3.1</v>
      </c>
      <c r="AJ211" s="1">
        <v>3.6</v>
      </c>
      <c r="AK211" s="1">
        <v>4.1</v>
      </c>
      <c r="AL211" s="1" t="s">
        <v>1744</v>
      </c>
    </row>
    <row r="212" spans="1:38">
      <c r="A212" s="1" t="s">
        <v>236</v>
      </c>
      <c r="B212" s="1" t="s">
        <v>621</v>
      </c>
      <c r="D212" s="1" t="s">
        <v>652</v>
      </c>
      <c r="H212" s="1" t="s">
        <v>859</v>
      </c>
      <c r="I212" s="1">
        <v>-72.19</v>
      </c>
      <c r="J212" s="1">
        <v>40.94</v>
      </c>
      <c r="K212" s="1" t="s">
        <v>861</v>
      </c>
      <c r="L212" s="1" t="s">
        <v>859</v>
      </c>
      <c r="M212" s="1" t="s">
        <v>874</v>
      </c>
    </row>
    <row r="213" spans="1:38">
      <c r="A213" s="1" t="s">
        <v>237</v>
      </c>
      <c r="B213" s="1" t="s">
        <v>621</v>
      </c>
      <c r="C213" s="1" t="s">
        <v>646</v>
      </c>
      <c r="D213" s="1" t="s">
        <v>652</v>
      </c>
      <c r="E213" s="1" t="s">
        <v>722</v>
      </c>
      <c r="F213" s="1" t="s">
        <v>833</v>
      </c>
      <c r="G213" s="1" t="s">
        <v>854</v>
      </c>
      <c r="H213" s="1" t="s">
        <v>859</v>
      </c>
      <c r="I213" s="1">
        <v>-72.64</v>
      </c>
      <c r="J213" s="1">
        <v>40.92</v>
      </c>
      <c r="K213" s="1" t="s">
        <v>860</v>
      </c>
      <c r="L213" s="1" t="s">
        <v>859</v>
      </c>
      <c r="M213" s="1" t="s">
        <v>874</v>
      </c>
      <c r="AH213" s="1">
        <v>5.2</v>
      </c>
      <c r="AI213" s="1">
        <v>5.6</v>
      </c>
      <c r="AJ213" s="1">
        <v>6.3</v>
      </c>
      <c r="AK213" s="1">
        <v>7.1</v>
      </c>
      <c r="AL213" s="1" t="s">
        <v>1744</v>
      </c>
    </row>
    <row r="214" spans="1:38">
      <c r="A214" s="1" t="s">
        <v>238</v>
      </c>
      <c r="B214" s="1" t="s">
        <v>621</v>
      </c>
      <c r="C214" s="1" t="s">
        <v>646</v>
      </c>
      <c r="D214" s="1" t="s">
        <v>652</v>
      </c>
      <c r="H214" s="1">
        <f>HYPERLINK("https://waterdata.usgs.gov/nwis/nwismap/?site_no=01194796&amp;agency_cd=USGS", "US01194796")</f>
        <v>0</v>
      </c>
      <c r="I214" s="1">
        <v>-72.3459166</v>
      </c>
      <c r="J214" s="1">
        <v>41.3125983</v>
      </c>
      <c r="K214" s="1" t="s">
        <v>861</v>
      </c>
      <c r="L214" s="1" t="s">
        <v>867</v>
      </c>
      <c r="M214" s="1" t="s">
        <v>874</v>
      </c>
      <c r="N214" s="2">
        <f>HYPERLINK("https://waterservices.usgs.gov/nwis/site/?site=01194796&amp;format=rdb", "Datum Info")</f>
        <v>0</v>
      </c>
    </row>
    <row r="215" spans="1:38">
      <c r="A215" s="1" t="s">
        <v>239</v>
      </c>
      <c r="B215" s="1" t="s">
        <v>621</v>
      </c>
      <c r="C215" s="1" t="s">
        <v>646</v>
      </c>
      <c r="D215" s="1" t="s">
        <v>652</v>
      </c>
      <c r="E215" s="1" t="s">
        <v>723</v>
      </c>
      <c r="F215" s="1" t="s">
        <v>833</v>
      </c>
      <c r="G215" s="1" t="s">
        <v>854</v>
      </c>
      <c r="H215" s="1">
        <f>HYPERLINK("https://waterdata.usgs.gov/nwis/nwismap/?site_no=01302250&amp;agency_cd=USGS", "US01302250")</f>
        <v>0</v>
      </c>
      <c r="I215" s="1">
        <v>-73.71019440000001</v>
      </c>
      <c r="J215" s="1">
        <v>40.8662222</v>
      </c>
      <c r="K215" s="1" t="s">
        <v>860</v>
      </c>
      <c r="L215" s="1" t="s">
        <v>867</v>
      </c>
      <c r="M215" s="1" t="s">
        <v>874</v>
      </c>
      <c r="N215" s="2">
        <f>HYPERLINK("https://waterservices.usgs.gov/nwis/site/?site=01302250&amp;format=rdb", "Datum Info")</f>
        <v>0</v>
      </c>
      <c r="AH215" s="1">
        <v>9.5</v>
      </c>
      <c r="AI215" s="1">
        <v>10</v>
      </c>
      <c r="AJ215" s="1">
        <v>11</v>
      </c>
      <c r="AK215" s="1">
        <v>12</v>
      </c>
      <c r="AL215" s="1" t="s">
        <v>1744</v>
      </c>
    </row>
    <row r="216" spans="1:38">
      <c r="A216" s="1" t="s">
        <v>240</v>
      </c>
      <c r="B216" s="1" t="s">
        <v>621</v>
      </c>
      <c r="D216" s="1" t="s">
        <v>652</v>
      </c>
      <c r="E216" s="1" t="s">
        <v>722</v>
      </c>
      <c r="F216" s="1" t="s">
        <v>833</v>
      </c>
      <c r="G216" s="1" t="s">
        <v>854</v>
      </c>
      <c r="H216" s="1">
        <f>HYPERLINK("https://waterdata.usgs.gov/nwis/nwismap/?site_no=01306402&amp;agency_cd=USGS", "US01306402")</f>
        <v>0</v>
      </c>
      <c r="I216" s="1">
        <v>-73.09125</v>
      </c>
      <c r="J216" s="1">
        <v>40.72105556</v>
      </c>
      <c r="K216" s="1" t="s">
        <v>860</v>
      </c>
      <c r="L216" s="1" t="s">
        <v>867</v>
      </c>
      <c r="M216" s="1" t="s">
        <v>874</v>
      </c>
      <c r="N216" s="2">
        <f>HYPERLINK("https://waterservices.usgs.gov/nwis/site/?site=01306402&amp;format=rdb", "Datum Info")</f>
        <v>0</v>
      </c>
      <c r="O216" s="1" t="s">
        <v>889</v>
      </c>
      <c r="Y216" s="1" t="s">
        <v>958</v>
      </c>
      <c r="AH216" s="1">
        <v>0</v>
      </c>
      <c r="AI216" s="1">
        <v>3</v>
      </c>
      <c r="AJ216" s="1">
        <v>3.5</v>
      </c>
      <c r="AK216" s="1">
        <v>4</v>
      </c>
      <c r="AL216" s="1" t="s">
        <v>1744</v>
      </c>
    </row>
    <row r="217" spans="1:38">
      <c r="A217" s="1" t="s">
        <v>241</v>
      </c>
      <c r="B217" s="1" t="s">
        <v>621</v>
      </c>
      <c r="D217" s="1" t="s">
        <v>652</v>
      </c>
      <c r="H217" s="1">
        <f>HYPERLINK("https://waterdata.usgs.gov/nwis/nwismap/?site_no=01311143&amp;agency_cd=USGS", "US01311143")</f>
        <v>0</v>
      </c>
      <c r="I217" s="1">
        <v>-73.6561111</v>
      </c>
      <c r="J217" s="1">
        <v>40.6088333</v>
      </c>
      <c r="K217" s="1" t="s">
        <v>860</v>
      </c>
      <c r="L217" s="1" t="s">
        <v>867</v>
      </c>
      <c r="M217" s="1" t="s">
        <v>874</v>
      </c>
      <c r="N217" s="2">
        <f>HYPERLINK("https://waterservices.usgs.gov/nwis/site/?site=01311143&amp;format=rdb", "Datum Info")</f>
        <v>0</v>
      </c>
      <c r="AH217" s="1">
        <v>0</v>
      </c>
      <c r="AI217" s="1">
        <v>6</v>
      </c>
      <c r="AJ217" s="1">
        <v>7</v>
      </c>
      <c r="AK217" s="1">
        <v>8</v>
      </c>
      <c r="AL217" s="1" t="s">
        <v>1744</v>
      </c>
    </row>
    <row r="218" spans="1:38">
      <c r="A218" s="1" t="s">
        <v>242</v>
      </c>
      <c r="B218" s="1" t="s">
        <v>621</v>
      </c>
      <c r="D218" s="1" t="s">
        <v>652</v>
      </c>
      <c r="E218" s="1" t="s">
        <v>726</v>
      </c>
      <c r="F218" s="1" t="s">
        <v>833</v>
      </c>
      <c r="G218" s="1" t="s">
        <v>854</v>
      </c>
      <c r="H218" s="1">
        <f>HYPERLINK("https://waterdata.usgs.gov/nwis/nwismap/?site_no=01376562&amp;agency_cd=USGS", "US01376562")</f>
        <v>0</v>
      </c>
      <c r="I218" s="1">
        <v>-74.12988889</v>
      </c>
      <c r="J218" s="1">
        <v>40.53888889</v>
      </c>
      <c r="K218" s="1" t="s">
        <v>860</v>
      </c>
      <c r="L218" s="1" t="s">
        <v>867</v>
      </c>
      <c r="M218" s="1" t="s">
        <v>874</v>
      </c>
      <c r="N218" s="2">
        <f>HYPERLINK("https://waterservices.usgs.gov/nwis/site/?site=01376562&amp;format=rdb", "Datum Info")</f>
        <v>0</v>
      </c>
      <c r="O218" s="1" t="s">
        <v>889</v>
      </c>
      <c r="Y218" s="1" t="s">
        <v>958</v>
      </c>
      <c r="AH218" s="1">
        <v>0</v>
      </c>
      <c r="AI218" s="1">
        <v>7.2</v>
      </c>
      <c r="AJ218" s="1">
        <v>8.199999999999999</v>
      </c>
      <c r="AK218" s="1">
        <v>9.199999999999999</v>
      </c>
      <c r="AL218" s="1" t="s">
        <v>1744</v>
      </c>
    </row>
    <row r="219" spans="1:38">
      <c r="A219" s="1" t="s">
        <v>243</v>
      </c>
      <c r="B219" s="1" t="s">
        <v>622</v>
      </c>
      <c r="C219" s="1" t="s">
        <v>644</v>
      </c>
      <c r="D219" s="1" t="s">
        <v>652</v>
      </c>
      <c r="E219" s="1" t="s">
        <v>679</v>
      </c>
      <c r="F219" s="1" t="s">
        <v>842</v>
      </c>
      <c r="G219" s="1" t="s">
        <v>854</v>
      </c>
      <c r="H219" s="1">
        <f>HYPERLINK("https://tidesandcurrents.noaa.gov/stationhome.html?id=8531232", "8531232")</f>
        <v>0</v>
      </c>
      <c r="I219" s="1">
        <v>-74.2817</v>
      </c>
      <c r="J219" s="1">
        <v>40.4917</v>
      </c>
      <c r="K219" s="1" t="s">
        <v>860</v>
      </c>
      <c r="L219" s="1" t="s">
        <v>866</v>
      </c>
      <c r="M219" s="1" t="s">
        <v>874</v>
      </c>
      <c r="N219" s="2">
        <f>HYPERLINK("https://tidesandcurrents.noaa.gov/datums.html?datum=MLLW&amp;units=0&amp;epoch=0&amp;id=8531232", "Datum Info")</f>
        <v>0</v>
      </c>
      <c r="AB219" s="1">
        <v>0</v>
      </c>
      <c r="AC219" s="1" t="s">
        <v>1634</v>
      </c>
      <c r="AF219" s="1" t="s">
        <v>1714</v>
      </c>
      <c r="AH219" s="1">
        <v>0</v>
      </c>
      <c r="AI219" s="1">
        <v>7.2</v>
      </c>
      <c r="AJ219" s="1">
        <v>8.199999999999999</v>
      </c>
      <c r="AK219" s="1">
        <v>9.199999999999999</v>
      </c>
      <c r="AL219" s="1" t="s">
        <v>1744</v>
      </c>
    </row>
    <row r="220" spans="1:38">
      <c r="A220" s="1" t="s">
        <v>244</v>
      </c>
      <c r="B220" s="1" t="s">
        <v>622</v>
      </c>
      <c r="C220" s="1" t="s">
        <v>644</v>
      </c>
      <c r="D220" s="1" t="s">
        <v>652</v>
      </c>
      <c r="E220" s="1" t="s">
        <v>679</v>
      </c>
      <c r="F220" s="1" t="s">
        <v>842</v>
      </c>
      <c r="G220" s="1" t="s">
        <v>854</v>
      </c>
      <c r="H220" s="1">
        <f>HYPERLINK("https://tidesandcurrents.noaa.gov/stationhome.html?id=8531232", "8531232")</f>
        <v>0</v>
      </c>
      <c r="I220" s="1">
        <v>-74.2817</v>
      </c>
      <c r="J220" s="1">
        <v>40.4917</v>
      </c>
      <c r="K220" s="1" t="s">
        <v>861</v>
      </c>
      <c r="L220" s="1" t="s">
        <v>866</v>
      </c>
      <c r="M220" s="1" t="s">
        <v>874</v>
      </c>
      <c r="N220" s="2">
        <f>HYPERLINK("https://tidesandcurrents.noaa.gov/datums.html?datum=MLLW&amp;units=0&amp;epoch=0&amp;id=8531232", "Datum Info")</f>
        <v>0</v>
      </c>
    </row>
    <row r="221" spans="1:38">
      <c r="A221" s="1" t="s">
        <v>245</v>
      </c>
      <c r="B221" s="1" t="s">
        <v>622</v>
      </c>
      <c r="C221" s="1" t="s">
        <v>644</v>
      </c>
      <c r="D221" s="1" t="s">
        <v>652</v>
      </c>
      <c r="E221" s="1" t="s">
        <v>729</v>
      </c>
      <c r="F221" s="1" t="s">
        <v>842</v>
      </c>
      <c r="G221" s="1" t="s">
        <v>854</v>
      </c>
      <c r="H221" s="1">
        <f>HYPERLINK("https://tidesandcurrents.noaa.gov/stationhome.html?id=8531592", "8531592")</f>
        <v>0</v>
      </c>
      <c r="I221" s="1">
        <v>-74.1433</v>
      </c>
      <c r="J221" s="1">
        <v>40.4483</v>
      </c>
      <c r="K221" s="1" t="s">
        <v>860</v>
      </c>
      <c r="L221" s="1" t="s">
        <v>866</v>
      </c>
      <c r="M221" s="1" t="s">
        <v>874</v>
      </c>
      <c r="N221" s="2">
        <f>HYPERLINK("https://tidesandcurrents.noaa.gov/datums.html?datum=MLLW&amp;units=0&amp;epoch=0&amp;id=8531592", "Datum Info")</f>
        <v>0</v>
      </c>
      <c r="AB221" s="1">
        <v>0</v>
      </c>
      <c r="AC221" s="1" t="s">
        <v>1172</v>
      </c>
      <c r="AF221" s="1" t="s">
        <v>1185</v>
      </c>
      <c r="AH221" s="1">
        <v>0</v>
      </c>
      <c r="AI221" s="1">
        <v>7</v>
      </c>
      <c r="AJ221" s="1">
        <v>8</v>
      </c>
      <c r="AK221" s="1">
        <v>9</v>
      </c>
      <c r="AL221" s="1" t="s">
        <v>1744</v>
      </c>
    </row>
    <row r="222" spans="1:38">
      <c r="A222" s="1" t="s">
        <v>246</v>
      </c>
      <c r="B222" s="1" t="s">
        <v>622</v>
      </c>
      <c r="D222" s="1" t="s">
        <v>652</v>
      </c>
      <c r="H222" s="1">
        <f>HYPERLINK("https://tidesandcurrents.noaa.gov/stationhome.html?id=8531804", "8531804")</f>
        <v>0</v>
      </c>
      <c r="I222" s="1">
        <v>-73.97499999999999</v>
      </c>
      <c r="J222" s="1">
        <v>40.365</v>
      </c>
      <c r="K222" s="1" t="s">
        <v>860</v>
      </c>
      <c r="L222" s="1" t="s">
        <v>866</v>
      </c>
      <c r="M222" s="1" t="s">
        <v>874</v>
      </c>
      <c r="N222" s="2">
        <f>HYPERLINK("https://tidesandcurrents.noaa.gov/datums.html?datum=MLLW&amp;units=0&amp;epoch=0&amp;id=8531804", "Datum Info")</f>
        <v>0</v>
      </c>
      <c r="O222" s="1" t="s">
        <v>886</v>
      </c>
      <c r="P222" s="1">
        <v>3.92</v>
      </c>
      <c r="Q222" s="1">
        <v>3.64</v>
      </c>
      <c r="R222" s="1">
        <v>1.89</v>
      </c>
      <c r="S222" s="1">
        <v>1.89</v>
      </c>
      <c r="T222" s="1">
        <v>1.96</v>
      </c>
      <c r="U222" s="1">
        <v>0.13</v>
      </c>
      <c r="V222" s="1">
        <v>0</v>
      </c>
      <c r="W222" s="1">
        <v>2.13</v>
      </c>
      <c r="X222" s="1">
        <v>-2.51</v>
      </c>
      <c r="Y222" s="1" t="s">
        <v>1187</v>
      </c>
      <c r="Z222" s="1" t="s">
        <v>1457</v>
      </c>
      <c r="AB222" s="1">
        <v>0</v>
      </c>
      <c r="AC222" s="1" t="s">
        <v>1635</v>
      </c>
      <c r="AF222" s="1" t="s">
        <v>1715</v>
      </c>
      <c r="AH222" s="1">
        <v>0</v>
      </c>
      <c r="AI222" s="1">
        <v>5.2</v>
      </c>
      <c r="AJ222" s="1">
        <v>6.2</v>
      </c>
      <c r="AK222" s="1">
        <v>7.2</v>
      </c>
      <c r="AL222" s="1" t="s">
        <v>1744</v>
      </c>
    </row>
    <row r="223" spans="1:38">
      <c r="A223" s="1" t="s">
        <v>247</v>
      </c>
      <c r="B223" s="1" t="s">
        <v>622</v>
      </c>
      <c r="D223" s="1" t="s">
        <v>652</v>
      </c>
      <c r="H223" s="1">
        <f>HYPERLINK("https://tidesandcurrents.noaa.gov/stationhome.html?id=8532337", "8532337")</f>
        <v>0</v>
      </c>
      <c r="I223" s="1">
        <v>-74.00830000000001</v>
      </c>
      <c r="J223" s="1">
        <v>40.185</v>
      </c>
      <c r="K223" s="1" t="s">
        <v>860</v>
      </c>
      <c r="L223" s="1" t="s">
        <v>866</v>
      </c>
      <c r="M223" s="1" t="s">
        <v>874</v>
      </c>
      <c r="N223" s="2">
        <f>HYPERLINK("https://tidesandcurrents.noaa.gov/datums.html?datum=MLLW&amp;units=0&amp;epoch=0&amp;id=8532337", "Datum Info")</f>
        <v>0</v>
      </c>
      <c r="AB223" s="1">
        <v>0</v>
      </c>
      <c r="AC223" s="1" t="s">
        <v>1636</v>
      </c>
      <c r="AF223" s="1" t="s">
        <v>1716</v>
      </c>
      <c r="AH223" s="1">
        <v>0</v>
      </c>
      <c r="AI223" s="1">
        <v>5.9</v>
      </c>
      <c r="AJ223" s="1">
        <v>6.9</v>
      </c>
      <c r="AK223" s="1">
        <v>7.9</v>
      </c>
      <c r="AL223" s="1" t="s">
        <v>1744</v>
      </c>
    </row>
    <row r="224" spans="1:38">
      <c r="A224" s="1" t="s">
        <v>248</v>
      </c>
      <c r="B224" s="1" t="s">
        <v>622</v>
      </c>
      <c r="D224" s="1" t="s">
        <v>652</v>
      </c>
      <c r="H224" s="1">
        <f>HYPERLINK("https://tidesandcurrents.noaa.gov/stationhome.html?id=8532786", "8532786")</f>
        <v>0</v>
      </c>
      <c r="I224" s="1">
        <v>-74.05329999999999</v>
      </c>
      <c r="J224" s="1">
        <v>40.0367</v>
      </c>
      <c r="K224" s="1" t="s">
        <v>860</v>
      </c>
      <c r="L224" s="1" t="s">
        <v>866</v>
      </c>
      <c r="M224" s="1" t="s">
        <v>874</v>
      </c>
      <c r="N224" s="2">
        <f>HYPERLINK("https://tidesandcurrents.noaa.gov/datums.html?datum=MLLW&amp;units=0&amp;epoch=0&amp;id=8532786", "Datum Info")</f>
        <v>0</v>
      </c>
      <c r="AA224" s="1" t="s">
        <v>887</v>
      </c>
      <c r="AB224" s="1">
        <v>0</v>
      </c>
      <c r="AC224" s="1" t="s">
        <v>1637</v>
      </c>
      <c r="AF224" s="1" t="s">
        <v>1717</v>
      </c>
      <c r="AH224" s="1">
        <v>0</v>
      </c>
      <c r="AI224" s="1">
        <v>1.7</v>
      </c>
      <c r="AJ224" s="1">
        <v>2.7</v>
      </c>
      <c r="AK224" s="1">
        <v>3.7</v>
      </c>
      <c r="AL224" s="1" t="s">
        <v>1744</v>
      </c>
    </row>
    <row r="225" spans="1:38">
      <c r="A225" s="1" t="s">
        <v>249</v>
      </c>
      <c r="B225" s="1" t="s">
        <v>622</v>
      </c>
      <c r="C225" s="1" t="s">
        <v>644</v>
      </c>
      <c r="D225" s="1" t="s">
        <v>652</v>
      </c>
      <c r="E225" s="1" t="s">
        <v>730</v>
      </c>
      <c r="F225" s="1" t="s">
        <v>842</v>
      </c>
      <c r="G225" s="1" t="s">
        <v>854</v>
      </c>
      <c r="H225" s="1">
        <f>HYPERLINK("https://tidesandcurrents.noaa.gov/stationhome.html?id=8533055", "8533055")</f>
        <v>0</v>
      </c>
      <c r="I225" s="1">
        <v>-74.11499999999999</v>
      </c>
      <c r="J225" s="1">
        <v>39.9483</v>
      </c>
      <c r="K225" s="1" t="s">
        <v>860</v>
      </c>
      <c r="L225" s="1" t="s">
        <v>866</v>
      </c>
      <c r="M225" s="1" t="s">
        <v>874</v>
      </c>
      <c r="N225" s="2">
        <f>HYPERLINK("https://tidesandcurrents.noaa.gov/datums.html?datum=MLLW&amp;units=0&amp;epoch=0&amp;id=8533055", "Datum Info")</f>
        <v>0</v>
      </c>
      <c r="AA225" s="1" t="s">
        <v>1608</v>
      </c>
      <c r="AB225" s="1">
        <v>0</v>
      </c>
      <c r="AC225" s="1" t="s">
        <v>1638</v>
      </c>
      <c r="AF225" s="1" t="s">
        <v>1718</v>
      </c>
      <c r="AH225" s="1">
        <v>0</v>
      </c>
      <c r="AI225" s="1">
        <v>2</v>
      </c>
      <c r="AJ225" s="1">
        <v>3</v>
      </c>
      <c r="AK225" s="1">
        <v>4</v>
      </c>
      <c r="AL225" s="1" t="s">
        <v>1744</v>
      </c>
    </row>
    <row r="226" spans="1:38">
      <c r="A226" s="1" t="s">
        <v>250</v>
      </c>
      <c r="B226" s="1" t="s">
        <v>622</v>
      </c>
      <c r="D226" s="1" t="s">
        <v>652</v>
      </c>
      <c r="H226" s="1">
        <f>HYPERLINK("https://tidesandcurrents.noaa.gov/stationhome.html?id=8533541", "8533541")</f>
        <v>0</v>
      </c>
      <c r="I226" s="1">
        <v>-74.18170000000001</v>
      </c>
      <c r="J226" s="1">
        <v>39.7917</v>
      </c>
      <c r="K226" s="1" t="s">
        <v>860</v>
      </c>
      <c r="L226" s="1" t="s">
        <v>866</v>
      </c>
      <c r="M226" s="1" t="s">
        <v>874</v>
      </c>
      <c r="N226" s="2">
        <f>HYPERLINK("https://tidesandcurrents.noaa.gov/datums.html?datum=MLLW&amp;units=0&amp;epoch=0&amp;id=8533541", "Datum Info")</f>
        <v>0</v>
      </c>
      <c r="AB226" s="1">
        <v>0</v>
      </c>
      <c r="AC226" s="1" t="s">
        <v>1639</v>
      </c>
      <c r="AF226" s="1" t="s">
        <v>1719</v>
      </c>
      <c r="AH226" s="1">
        <v>0</v>
      </c>
      <c r="AI226" s="1">
        <v>2.1</v>
      </c>
      <c r="AJ226" s="1">
        <v>3.1</v>
      </c>
      <c r="AK226" s="1">
        <v>4.1</v>
      </c>
      <c r="AL226" s="1" t="s">
        <v>1744</v>
      </c>
    </row>
    <row r="227" spans="1:38">
      <c r="A227" s="1" t="s">
        <v>251</v>
      </c>
      <c r="B227" s="1" t="s">
        <v>622</v>
      </c>
      <c r="D227" s="1" t="s">
        <v>652</v>
      </c>
      <c r="H227" s="1">
        <f>HYPERLINK("https://tidesandcurrents.noaa.gov/stationhome.html?id=8533615", "8533615")</f>
        <v>0</v>
      </c>
      <c r="I227" s="1">
        <v>-74.1117</v>
      </c>
      <c r="J227" s="1">
        <v>39.7617</v>
      </c>
      <c r="K227" s="1" t="s">
        <v>860</v>
      </c>
      <c r="L227" s="1" t="s">
        <v>866</v>
      </c>
      <c r="M227" s="1" t="s">
        <v>874</v>
      </c>
      <c r="N227" s="2">
        <f>HYPERLINK("https://tidesandcurrents.noaa.gov/datums.html?datum=MLLW&amp;units=0&amp;epoch=0&amp;id=8533615", "Datum Info")</f>
        <v>0</v>
      </c>
      <c r="O227" s="1" t="s">
        <v>886</v>
      </c>
      <c r="P227" s="1">
        <v>2.51</v>
      </c>
      <c r="Q227" s="1">
        <v>2.27</v>
      </c>
      <c r="R227" s="1">
        <v>1.2</v>
      </c>
      <c r="S227" s="1">
        <v>1.16</v>
      </c>
      <c r="T227" s="1">
        <v>1.25</v>
      </c>
      <c r="U227" s="1">
        <v>0.12</v>
      </c>
      <c r="V227" s="1">
        <v>0</v>
      </c>
      <c r="W227" s="1">
        <v>1.18</v>
      </c>
      <c r="X227" s="1">
        <v>-3.5</v>
      </c>
      <c r="Y227" s="1" t="s">
        <v>1188</v>
      </c>
      <c r="Z227" s="1" t="s">
        <v>1458</v>
      </c>
      <c r="AA227" s="1" t="s">
        <v>1608</v>
      </c>
      <c r="AB227" s="1">
        <v>0</v>
      </c>
      <c r="AC227" s="1" t="s">
        <v>1640</v>
      </c>
      <c r="AF227" s="1" t="s">
        <v>1720</v>
      </c>
      <c r="AH227" s="1">
        <v>0</v>
      </c>
      <c r="AI227" s="1">
        <v>3.5</v>
      </c>
      <c r="AJ227" s="1">
        <v>4.5</v>
      </c>
      <c r="AK227" s="1">
        <v>5.5</v>
      </c>
      <c r="AL227" s="1" t="s">
        <v>1744</v>
      </c>
    </row>
    <row r="228" spans="1:38">
      <c r="A228" s="1" t="s">
        <v>252</v>
      </c>
      <c r="B228" s="1" t="s">
        <v>622</v>
      </c>
      <c r="D228" s="1" t="s">
        <v>652</v>
      </c>
      <c r="H228" s="1">
        <f>HYPERLINK("https://tidesandcurrents.noaa.gov/stationhome.html?id=8533935", "8533935")</f>
        <v>0</v>
      </c>
      <c r="I228" s="1">
        <v>-74.185</v>
      </c>
      <c r="J228" s="1">
        <v>39.6533</v>
      </c>
      <c r="K228" s="1" t="s">
        <v>860</v>
      </c>
      <c r="L228" s="1" t="s">
        <v>866</v>
      </c>
      <c r="M228" s="1" t="s">
        <v>874</v>
      </c>
      <c r="N228" s="2">
        <f>HYPERLINK("https://tidesandcurrents.noaa.gov/datums.html?datum=MLLW&amp;units=0&amp;epoch=0&amp;id=8533935", "Datum Info")</f>
        <v>0</v>
      </c>
      <c r="AA228" s="1" t="s">
        <v>1608</v>
      </c>
      <c r="AB228" s="1">
        <v>0</v>
      </c>
      <c r="AC228" s="1" t="s">
        <v>1641</v>
      </c>
      <c r="AF228" s="1" t="s">
        <v>1721</v>
      </c>
      <c r="AH228" s="1">
        <v>0</v>
      </c>
      <c r="AI228" s="1">
        <v>3</v>
      </c>
      <c r="AJ228" s="1">
        <v>4</v>
      </c>
      <c r="AK228" s="1">
        <v>5</v>
      </c>
      <c r="AL228" s="1" t="s">
        <v>1744</v>
      </c>
    </row>
    <row r="229" spans="1:38">
      <c r="A229" s="1" t="s">
        <v>253</v>
      </c>
      <c r="B229" s="1" t="s">
        <v>622</v>
      </c>
      <c r="D229" s="1" t="s">
        <v>652</v>
      </c>
      <c r="E229" s="1" t="s">
        <v>730</v>
      </c>
      <c r="F229" s="1" t="s">
        <v>842</v>
      </c>
      <c r="G229" s="1" t="s">
        <v>854</v>
      </c>
      <c r="H229" s="1">
        <f>HYPERLINK("https://tidesandcurrents.noaa.gov/stationhome.html?id=8534319", "8534319")</f>
        <v>0</v>
      </c>
      <c r="I229" s="1">
        <v>-74.325</v>
      </c>
      <c r="J229" s="1">
        <v>39.5083</v>
      </c>
      <c r="K229" s="1" t="s">
        <v>860</v>
      </c>
      <c r="L229" s="1" t="s">
        <v>866</v>
      </c>
      <c r="M229" s="1" t="s">
        <v>874</v>
      </c>
      <c r="N229" s="2">
        <f>HYPERLINK("https://tidesandcurrents.noaa.gov/datums.html?datum=MLLW&amp;units=0&amp;epoch=0&amp;id=8534319", "Datum Info")</f>
        <v>0</v>
      </c>
      <c r="O229" s="1" t="s">
        <v>886</v>
      </c>
      <c r="P229" s="1">
        <v>3.33</v>
      </c>
      <c r="Q229" s="1">
        <v>3</v>
      </c>
      <c r="R229" s="1">
        <v>1.57</v>
      </c>
      <c r="S229" s="1">
        <v>1.55</v>
      </c>
      <c r="T229" s="1">
        <v>1.67</v>
      </c>
      <c r="U229" s="1">
        <v>0.14</v>
      </c>
      <c r="V229" s="1">
        <v>0</v>
      </c>
      <c r="W229" s="1">
        <v>1.83</v>
      </c>
      <c r="X229" s="1">
        <v>1.83</v>
      </c>
      <c r="Y229" s="1" t="s">
        <v>1189</v>
      </c>
      <c r="Z229" s="1" t="s">
        <v>1423</v>
      </c>
      <c r="AB229" s="1">
        <v>0</v>
      </c>
      <c r="AC229" s="1" t="s">
        <v>1642</v>
      </c>
      <c r="AF229" s="1" t="s">
        <v>1722</v>
      </c>
      <c r="AH229" s="1">
        <v>0</v>
      </c>
      <c r="AI229" s="1">
        <v>4.4</v>
      </c>
      <c r="AJ229" s="1">
        <v>5.4</v>
      </c>
      <c r="AK229" s="1">
        <v>6.4</v>
      </c>
      <c r="AL229" s="1" t="s">
        <v>1744</v>
      </c>
    </row>
    <row r="230" spans="1:38">
      <c r="A230" s="1" t="s">
        <v>254</v>
      </c>
      <c r="B230" s="1" t="s">
        <v>622</v>
      </c>
      <c r="C230" s="1" t="s">
        <v>644</v>
      </c>
      <c r="D230" s="1" t="s">
        <v>652</v>
      </c>
      <c r="E230" s="1" t="s">
        <v>731</v>
      </c>
      <c r="F230" s="1" t="s">
        <v>842</v>
      </c>
      <c r="G230" s="1" t="s">
        <v>854</v>
      </c>
      <c r="H230" s="1">
        <f>HYPERLINK("https://tidesandcurrents.noaa.gov/stationhome.html?id=8534540", "8534540")</f>
        <v>0</v>
      </c>
      <c r="I230" s="1">
        <v>-74.5</v>
      </c>
      <c r="J230" s="1">
        <v>39.4233</v>
      </c>
      <c r="K230" s="1" t="s">
        <v>860</v>
      </c>
      <c r="L230" s="1" t="s">
        <v>866</v>
      </c>
      <c r="M230" s="1" t="s">
        <v>873</v>
      </c>
      <c r="N230" s="2">
        <f>HYPERLINK("https://tidesandcurrents.noaa.gov/datums.html?datum=MLLW&amp;units=0&amp;epoch=0&amp;id=8534540", "Datum Info")</f>
        <v>0</v>
      </c>
      <c r="O230" s="1" t="s">
        <v>886</v>
      </c>
      <c r="P230" s="1">
        <v>4.39</v>
      </c>
      <c r="Q230" s="1">
        <v>4.03</v>
      </c>
      <c r="R230" s="1">
        <v>2.09</v>
      </c>
      <c r="S230" s="1">
        <v>2.22</v>
      </c>
      <c r="T230" s="1">
        <v>2.2</v>
      </c>
      <c r="U230" s="1">
        <v>0.16</v>
      </c>
      <c r="V230" s="1">
        <v>0</v>
      </c>
      <c r="W230" s="1">
        <v>2.41</v>
      </c>
      <c r="X230" s="1">
        <v>-2.19</v>
      </c>
      <c r="AA230" s="1" t="s">
        <v>1608</v>
      </c>
      <c r="AB230" s="1">
        <v>0</v>
      </c>
      <c r="AC230" s="1" t="s">
        <v>1643</v>
      </c>
      <c r="AF230" s="1" t="s">
        <v>1723</v>
      </c>
      <c r="AH230" s="1">
        <v>0</v>
      </c>
      <c r="AI230" s="1">
        <v>5.6</v>
      </c>
      <c r="AJ230" s="1">
        <v>6.6</v>
      </c>
      <c r="AK230" s="1">
        <v>7.6</v>
      </c>
      <c r="AL230" s="1" t="s">
        <v>1744</v>
      </c>
    </row>
    <row r="231" spans="1:38">
      <c r="A231" s="1" t="s">
        <v>255</v>
      </c>
      <c r="B231" s="1" t="s">
        <v>622</v>
      </c>
      <c r="D231" s="1" t="s">
        <v>652</v>
      </c>
      <c r="E231" s="1" t="s">
        <v>731</v>
      </c>
      <c r="F231" s="1" t="s">
        <v>842</v>
      </c>
      <c r="G231" s="1" t="s">
        <v>854</v>
      </c>
      <c r="H231" s="1">
        <f>HYPERLINK("https://tidesandcurrents.noaa.gov/stationhome.html?id=8534638", "8534638")</f>
        <v>0</v>
      </c>
      <c r="I231" s="1">
        <v>-74.425</v>
      </c>
      <c r="J231" s="1">
        <v>39.385</v>
      </c>
      <c r="K231" s="1" t="s">
        <v>860</v>
      </c>
      <c r="L231" s="1" t="s">
        <v>866</v>
      </c>
      <c r="M231" s="1" t="s">
        <v>873</v>
      </c>
      <c r="N231" s="2">
        <f>HYPERLINK("https://tidesandcurrents.noaa.gov/datums.html?datum=MLLW&amp;units=0&amp;epoch=0&amp;id=8534638", "Datum Info")</f>
        <v>0</v>
      </c>
      <c r="AA231" s="1" t="s">
        <v>1608</v>
      </c>
      <c r="AB231" s="1">
        <v>0</v>
      </c>
      <c r="AC231" s="1" t="s">
        <v>1644</v>
      </c>
      <c r="AF231" s="1" t="s">
        <v>1242</v>
      </c>
      <c r="AH231" s="1">
        <v>0</v>
      </c>
      <c r="AI231" s="1">
        <v>5.7</v>
      </c>
      <c r="AJ231" s="1">
        <v>6.7</v>
      </c>
      <c r="AK231" s="1">
        <v>7.7</v>
      </c>
      <c r="AL231" s="1" t="s">
        <v>1744</v>
      </c>
    </row>
    <row r="232" spans="1:38">
      <c r="A232" s="1" t="s">
        <v>256</v>
      </c>
      <c r="B232" s="1" t="s">
        <v>622</v>
      </c>
      <c r="D232" s="1" t="s">
        <v>652</v>
      </c>
      <c r="H232" s="1">
        <f>HYPERLINK("https://tidesandcurrents.noaa.gov/stationhome.html?id=8534720", "8534720")</f>
        <v>0</v>
      </c>
      <c r="I232" s="1">
        <v>-74.4181</v>
      </c>
      <c r="J232" s="1">
        <v>39.35667</v>
      </c>
      <c r="K232" s="1" t="s">
        <v>860</v>
      </c>
      <c r="L232" s="1" t="s">
        <v>866</v>
      </c>
      <c r="M232" s="1" t="s">
        <v>873</v>
      </c>
      <c r="N232" s="2">
        <f>HYPERLINK("https://tidesandcurrents.noaa.gov/datums.html?datum=MLLW&amp;units=0&amp;epoch=0&amp;id=8534720", "Datum Info")</f>
        <v>0</v>
      </c>
      <c r="O232" s="1" t="s">
        <v>886</v>
      </c>
      <c r="P232" s="1">
        <v>4.6</v>
      </c>
      <c r="Q232" s="1">
        <v>4.18</v>
      </c>
      <c r="R232" s="1">
        <v>2.18</v>
      </c>
      <c r="S232" s="1">
        <v>2.21</v>
      </c>
      <c r="T232" s="1">
        <v>2.3</v>
      </c>
      <c r="U232" s="1">
        <v>0.17</v>
      </c>
      <c r="V232" s="1">
        <v>0</v>
      </c>
      <c r="W232" s="1">
        <v>2.61</v>
      </c>
      <c r="X232" s="1">
        <v>-4.96</v>
      </c>
      <c r="Y232" s="1" t="s">
        <v>1190</v>
      </c>
      <c r="Z232" s="1" t="s">
        <v>1459</v>
      </c>
    </row>
    <row r="233" spans="1:38">
      <c r="A233" s="1" t="s">
        <v>257</v>
      </c>
      <c r="B233" s="1" t="s">
        <v>622</v>
      </c>
      <c r="D233" s="1" t="s">
        <v>652</v>
      </c>
      <c r="H233" s="1">
        <f>HYPERLINK("https://tidesandcurrents.noaa.gov/stationhome.html?id=8534836", "8534836")</f>
        <v>0</v>
      </c>
      <c r="I233" s="1">
        <v>-74.5333</v>
      </c>
      <c r="J233" s="1">
        <v>39.3083</v>
      </c>
      <c r="K233" s="1" t="s">
        <v>860</v>
      </c>
      <c r="L233" s="1" t="s">
        <v>866</v>
      </c>
      <c r="M233" s="1" t="s">
        <v>873</v>
      </c>
      <c r="N233" s="2">
        <f>HYPERLINK("https://tidesandcurrents.noaa.gov/datums.html?datum=MLLW&amp;units=0&amp;epoch=0&amp;id=8534836", "Datum Info")</f>
        <v>0</v>
      </c>
      <c r="O233" s="1" t="s">
        <v>886</v>
      </c>
      <c r="P233" s="1">
        <v>4.33</v>
      </c>
      <c r="Q233" s="1">
        <v>3.93</v>
      </c>
      <c r="R233" s="1">
        <v>2.04</v>
      </c>
      <c r="S233" s="1">
        <v>2.03</v>
      </c>
      <c r="T233" s="1">
        <v>2.17</v>
      </c>
      <c r="U233" s="1">
        <v>0.15</v>
      </c>
      <c r="V233" s="1">
        <v>0</v>
      </c>
      <c r="W233" s="1" t="s">
        <v>1008</v>
      </c>
      <c r="X233" s="1">
        <v>-2.05</v>
      </c>
      <c r="Y233" s="1" t="s">
        <v>1191</v>
      </c>
      <c r="Z233" s="1" t="s">
        <v>1460</v>
      </c>
      <c r="AA233" s="1" t="s">
        <v>887</v>
      </c>
      <c r="AB233" s="1">
        <v>0</v>
      </c>
      <c r="AC233" s="1" t="s">
        <v>1645</v>
      </c>
      <c r="AF233" s="1" t="s">
        <v>1724</v>
      </c>
      <c r="AH233" s="1">
        <v>0</v>
      </c>
      <c r="AI233" s="1">
        <v>5.6</v>
      </c>
      <c r="AJ233" s="1">
        <v>6.6</v>
      </c>
      <c r="AK233" s="1">
        <v>7.6</v>
      </c>
      <c r="AL233" s="1" t="s">
        <v>1744</v>
      </c>
    </row>
    <row r="234" spans="1:38">
      <c r="A234" s="1" t="s">
        <v>258</v>
      </c>
      <c r="B234" s="1" t="s">
        <v>622</v>
      </c>
      <c r="D234" s="1" t="s">
        <v>652</v>
      </c>
      <c r="H234" s="1">
        <f>HYPERLINK("https://tidesandcurrents.noaa.gov/stationhome.html?id=8534975", "8534975")</f>
        <v>0</v>
      </c>
      <c r="I234" s="1">
        <v>-74.6283</v>
      </c>
      <c r="J234" s="1">
        <v>39.2883</v>
      </c>
      <c r="K234" s="1" t="s">
        <v>860</v>
      </c>
      <c r="L234" s="1" t="s">
        <v>866</v>
      </c>
      <c r="M234" s="1" t="s">
        <v>873</v>
      </c>
      <c r="N234" s="2">
        <f>HYPERLINK("https://tidesandcurrents.noaa.gov/datums.html?datum=MLLW&amp;units=0&amp;epoch=0&amp;id=8534975", "Datum Info")</f>
        <v>0</v>
      </c>
      <c r="AA234" s="1" t="s">
        <v>887</v>
      </c>
      <c r="AB234" s="1">
        <v>0</v>
      </c>
      <c r="AC234" s="1" t="s">
        <v>1646</v>
      </c>
      <c r="AF234" s="1" t="s">
        <v>1725</v>
      </c>
      <c r="AH234" s="1">
        <v>0</v>
      </c>
      <c r="AI234" s="1">
        <v>5.3</v>
      </c>
      <c r="AJ234" s="1">
        <v>6.3</v>
      </c>
      <c r="AK234" s="1">
        <v>7.3</v>
      </c>
      <c r="AL234" s="1" t="s">
        <v>1744</v>
      </c>
    </row>
    <row r="235" spans="1:38">
      <c r="A235" s="1" t="s">
        <v>259</v>
      </c>
      <c r="B235" s="1" t="s">
        <v>622</v>
      </c>
      <c r="C235" s="1" t="s">
        <v>644</v>
      </c>
      <c r="D235" s="1" t="s">
        <v>652</v>
      </c>
      <c r="E235" s="1" t="s">
        <v>732</v>
      </c>
      <c r="F235" s="1" t="s">
        <v>842</v>
      </c>
      <c r="G235" s="1" t="s">
        <v>854</v>
      </c>
      <c r="H235" s="1">
        <f>HYPERLINK("https://tidesandcurrents.noaa.gov/stationhome.html?id=8535221", "8535221")</f>
        <v>0</v>
      </c>
      <c r="I235" s="1">
        <v>-74.70999999999999</v>
      </c>
      <c r="J235" s="1">
        <v>39.1767</v>
      </c>
      <c r="K235" s="1" t="s">
        <v>860</v>
      </c>
      <c r="L235" s="1" t="s">
        <v>866</v>
      </c>
      <c r="M235" s="1" t="s">
        <v>873</v>
      </c>
      <c r="N235" s="2">
        <f>HYPERLINK("https://tidesandcurrents.noaa.gov/datums.html?datum=MLLW&amp;units=0&amp;epoch=0&amp;id=8535221", "Datum Info")</f>
        <v>0</v>
      </c>
      <c r="O235" s="1" t="s">
        <v>886</v>
      </c>
      <c r="P235" s="1">
        <v>4.48</v>
      </c>
      <c r="Q235" s="1">
        <v>4.1</v>
      </c>
      <c r="R235" s="1">
        <v>2.13</v>
      </c>
      <c r="S235" s="1">
        <v>2.16</v>
      </c>
      <c r="T235" s="1">
        <v>2.24</v>
      </c>
      <c r="U235" s="1">
        <v>0.16</v>
      </c>
      <c r="V235" s="1">
        <v>0</v>
      </c>
      <c r="W235" s="1" t="s">
        <v>1009</v>
      </c>
      <c r="X235" s="1">
        <v>-0.09</v>
      </c>
      <c r="Y235" s="1" t="s">
        <v>1192</v>
      </c>
      <c r="Z235" s="1" t="s">
        <v>1461</v>
      </c>
      <c r="AA235" s="1" t="s">
        <v>1608</v>
      </c>
      <c r="AB235" s="1">
        <v>0</v>
      </c>
      <c r="AC235" s="1" t="s">
        <v>1647</v>
      </c>
      <c r="AF235" s="1" t="s">
        <v>1723</v>
      </c>
      <c r="AH235" s="1">
        <v>0</v>
      </c>
      <c r="AI235" s="1">
        <v>5.7</v>
      </c>
      <c r="AJ235" s="1">
        <v>6.7</v>
      </c>
      <c r="AK235" s="1">
        <v>7.7</v>
      </c>
      <c r="AL235" s="1" t="s">
        <v>1744</v>
      </c>
    </row>
    <row r="236" spans="1:38">
      <c r="A236" s="1" t="s">
        <v>260</v>
      </c>
      <c r="B236" s="1" t="s">
        <v>622</v>
      </c>
      <c r="C236" s="1" t="s">
        <v>644</v>
      </c>
      <c r="D236" s="1" t="s">
        <v>652</v>
      </c>
      <c r="H236" s="1">
        <f>HYPERLINK("https://tidesandcurrents.noaa.gov/stationhome.html?id=8535419", "8535419")</f>
        <v>0</v>
      </c>
      <c r="I236" s="1">
        <v>-74.7383</v>
      </c>
      <c r="J236" s="1">
        <v>39.11</v>
      </c>
      <c r="K236" s="1" t="s">
        <v>860</v>
      </c>
      <c r="L236" s="1" t="s">
        <v>866</v>
      </c>
      <c r="M236" s="1" t="s">
        <v>873</v>
      </c>
      <c r="N236" s="2">
        <f>HYPERLINK("https://tidesandcurrents.noaa.gov/datums.html?datum=MLLW&amp;units=0&amp;epoch=0&amp;id=8535419", "Datum Info")</f>
        <v>0</v>
      </c>
      <c r="O236" s="1" t="s">
        <v>886</v>
      </c>
      <c r="P236" s="1">
        <v>4.61</v>
      </c>
      <c r="Q236" s="1">
        <v>4.21</v>
      </c>
      <c r="R236" s="1">
        <v>2.19</v>
      </c>
      <c r="S236" s="1">
        <v>2.22</v>
      </c>
      <c r="T236" s="1">
        <v>2.3</v>
      </c>
      <c r="U236" s="1">
        <v>0.17</v>
      </c>
      <c r="V236" s="1">
        <v>0</v>
      </c>
      <c r="W236" s="1">
        <v>2.53</v>
      </c>
      <c r="X236" s="1">
        <v>-4.18</v>
      </c>
      <c r="Y236" s="1" t="s">
        <v>1193</v>
      </c>
      <c r="Z236" s="1" t="s">
        <v>1462</v>
      </c>
      <c r="AA236" s="1" t="s">
        <v>1608</v>
      </c>
      <c r="AB236" s="1">
        <v>0</v>
      </c>
      <c r="AC236" s="1" t="s">
        <v>1648</v>
      </c>
      <c r="AF236" s="1" t="s">
        <v>1242</v>
      </c>
      <c r="AH236" s="1">
        <v>0</v>
      </c>
      <c r="AI236" s="1">
        <v>6</v>
      </c>
      <c r="AJ236" s="1">
        <v>7</v>
      </c>
      <c r="AK236" s="1">
        <v>8</v>
      </c>
      <c r="AL236" s="1" t="s">
        <v>1744</v>
      </c>
    </row>
    <row r="237" spans="1:38">
      <c r="A237" s="1" t="s">
        <v>261</v>
      </c>
      <c r="B237" s="1" t="s">
        <v>622</v>
      </c>
      <c r="D237" s="1" t="s">
        <v>652</v>
      </c>
      <c r="H237" s="1">
        <f>HYPERLINK("https://tidesandcurrents.noaa.gov/stationhome.html?id=8535581", "8535581")</f>
        <v>0</v>
      </c>
      <c r="I237" s="1">
        <v>-74.765</v>
      </c>
      <c r="J237" s="1">
        <v>39.0567</v>
      </c>
      <c r="K237" s="1" t="s">
        <v>860</v>
      </c>
      <c r="L237" s="1" t="s">
        <v>866</v>
      </c>
      <c r="M237" s="1" t="s">
        <v>873</v>
      </c>
      <c r="N237" s="2">
        <f>HYPERLINK("https://tidesandcurrents.noaa.gov/datums.html?datum=MLLW&amp;units=0&amp;epoch=0&amp;id=8535581", "Datum Info")</f>
        <v>0</v>
      </c>
      <c r="O237" s="1" t="s">
        <v>886</v>
      </c>
      <c r="P237" s="1">
        <v>4.74</v>
      </c>
      <c r="Q237" s="1">
        <v>4.35</v>
      </c>
      <c r="R237" s="1">
        <v>2.26</v>
      </c>
      <c r="S237" s="1">
        <v>2.34</v>
      </c>
      <c r="T237" s="1">
        <v>2.37</v>
      </c>
      <c r="U237" s="1">
        <v>0.16</v>
      </c>
      <c r="V237" s="1">
        <v>0</v>
      </c>
      <c r="W237" s="1">
        <v>2.66</v>
      </c>
      <c r="X237" s="1">
        <v>2.66</v>
      </c>
      <c r="Y237" s="1" t="s">
        <v>1194</v>
      </c>
      <c r="Z237" s="1" t="s">
        <v>1463</v>
      </c>
      <c r="AA237" s="1" t="s">
        <v>1608</v>
      </c>
      <c r="AB237" s="1">
        <v>0</v>
      </c>
      <c r="AC237" s="1" t="s">
        <v>1649</v>
      </c>
      <c r="AF237" s="1" t="s">
        <v>1242</v>
      </c>
      <c r="AH237" s="1">
        <v>0</v>
      </c>
      <c r="AI237" s="1">
        <v>6.1</v>
      </c>
      <c r="AJ237" s="1">
        <v>7.1</v>
      </c>
      <c r="AK237" s="1">
        <v>8.1</v>
      </c>
      <c r="AL237" s="1" t="s">
        <v>1744</v>
      </c>
    </row>
    <row r="238" spans="1:38">
      <c r="A238" s="1" t="s">
        <v>262</v>
      </c>
      <c r="B238" s="1" t="s">
        <v>622</v>
      </c>
      <c r="D238" s="1" t="s">
        <v>652</v>
      </c>
      <c r="H238" s="1">
        <f>HYPERLINK("https://tidesandcurrents.noaa.gov/stationhome.html?id=8535901", "8535901")</f>
        <v>0</v>
      </c>
      <c r="I238" s="1">
        <v>-74.8917</v>
      </c>
      <c r="J238" s="1">
        <v>38.9483</v>
      </c>
      <c r="K238" s="1" t="s">
        <v>860</v>
      </c>
      <c r="L238" s="1" t="s">
        <v>866</v>
      </c>
      <c r="M238" s="1" t="s">
        <v>873</v>
      </c>
      <c r="N238" s="2">
        <f>HYPERLINK("https://tidesandcurrents.noaa.gov/datums.html?datum=MLLW&amp;units=0&amp;epoch=0&amp;id=8535901", "Datum Info")</f>
        <v>0</v>
      </c>
      <c r="AA238" s="1" t="s">
        <v>1608</v>
      </c>
      <c r="AB238" s="1">
        <v>0</v>
      </c>
      <c r="AC238" s="1" t="s">
        <v>1650</v>
      </c>
      <c r="AF238" s="1" t="s">
        <v>1726</v>
      </c>
      <c r="AH238" s="1">
        <v>0</v>
      </c>
      <c r="AI238" s="1">
        <v>6.2</v>
      </c>
      <c r="AJ238" s="1">
        <v>7.2</v>
      </c>
      <c r="AK238" s="1">
        <v>8.199999999999999</v>
      </c>
      <c r="AL238" s="1" t="s">
        <v>1744</v>
      </c>
    </row>
    <row r="239" spans="1:38">
      <c r="A239" s="1" t="s">
        <v>263</v>
      </c>
      <c r="B239" s="1" t="s">
        <v>622</v>
      </c>
      <c r="C239" s="1" t="s">
        <v>644</v>
      </c>
      <c r="D239" s="1" t="s">
        <v>652</v>
      </c>
      <c r="E239" s="1" t="s">
        <v>733</v>
      </c>
      <c r="F239" s="1" t="s">
        <v>842</v>
      </c>
      <c r="G239" s="1" t="s">
        <v>854</v>
      </c>
      <c r="H239" s="1">
        <f>HYPERLINK("https://tidesandcurrents.noaa.gov/stationhome.html?id=8536889", "8536889")</f>
        <v>0</v>
      </c>
      <c r="I239" s="1">
        <v>-75.0367</v>
      </c>
      <c r="J239" s="1">
        <v>39.23</v>
      </c>
      <c r="K239" s="1" t="s">
        <v>860</v>
      </c>
      <c r="L239" s="1" t="s">
        <v>866</v>
      </c>
      <c r="M239" s="1" t="s">
        <v>873</v>
      </c>
      <c r="N239" s="2">
        <f>HYPERLINK("https://tidesandcurrents.noaa.gov/datums.html?datum=MLLW&amp;units=0&amp;epoch=0&amp;id=8536889", "Datum Info")</f>
        <v>0</v>
      </c>
      <c r="AA239" s="1" t="s">
        <v>1608</v>
      </c>
      <c r="AB239" s="1">
        <v>0</v>
      </c>
      <c r="AC239" s="1" t="s">
        <v>1651</v>
      </c>
      <c r="AF239" s="1" t="s">
        <v>1727</v>
      </c>
      <c r="AH239" s="1">
        <v>0</v>
      </c>
      <c r="AI239" s="1">
        <v>7.6</v>
      </c>
      <c r="AJ239" s="1">
        <v>8.6</v>
      </c>
      <c r="AK239" s="1">
        <v>9.6</v>
      </c>
      <c r="AL239" s="1" t="s">
        <v>1744</v>
      </c>
    </row>
    <row r="240" spans="1:38">
      <c r="A240" s="1" t="s">
        <v>264</v>
      </c>
      <c r="B240" s="1" t="s">
        <v>622</v>
      </c>
      <c r="D240" s="1" t="s">
        <v>652</v>
      </c>
      <c r="H240" s="1">
        <f>HYPERLINK("https://tidesandcurrents.noaa.gov/stationhome.html?id=8537121", "8537121")</f>
        <v>0</v>
      </c>
      <c r="I240" s="1">
        <v>-75.375</v>
      </c>
      <c r="J240" s="1">
        <v>39.305</v>
      </c>
      <c r="K240" s="1" t="s">
        <v>861</v>
      </c>
      <c r="L240" s="1" t="s">
        <v>866</v>
      </c>
      <c r="M240" s="1" t="s">
        <v>873</v>
      </c>
      <c r="N240" s="2">
        <f>HYPERLINK("https://tidesandcurrents.noaa.gov/datums.html?datum=MLLW&amp;units=0&amp;epoch=0&amp;id=8537121", "Datum Info")</f>
        <v>0</v>
      </c>
      <c r="O240" s="1" t="s">
        <v>886</v>
      </c>
      <c r="P240" s="1">
        <v>6.2</v>
      </c>
      <c r="Q240" s="1">
        <v>5.76</v>
      </c>
      <c r="R240" s="1">
        <v>2.98</v>
      </c>
      <c r="S240" s="1">
        <v>3.04</v>
      </c>
      <c r="T240" s="1">
        <v>3.1</v>
      </c>
      <c r="U240" s="1">
        <v>0.19</v>
      </c>
      <c r="V240" s="1">
        <v>0</v>
      </c>
      <c r="W240" s="1" t="s">
        <v>1010</v>
      </c>
      <c r="X240" s="1">
        <v>-18.24</v>
      </c>
      <c r="Y240" s="1" t="s">
        <v>1195</v>
      </c>
      <c r="Z240" s="1" t="s">
        <v>1387</v>
      </c>
    </row>
    <row r="241" spans="1:38">
      <c r="A241" s="1" t="s">
        <v>265</v>
      </c>
      <c r="B241" s="1" t="s">
        <v>622</v>
      </c>
      <c r="C241" s="1" t="s">
        <v>644</v>
      </c>
      <c r="D241" s="1" t="s">
        <v>652</v>
      </c>
      <c r="E241" s="1" t="s">
        <v>733</v>
      </c>
      <c r="F241" s="1" t="s">
        <v>842</v>
      </c>
      <c r="G241" s="1" t="s">
        <v>854</v>
      </c>
      <c r="H241" s="1">
        <f>HYPERLINK("https://tidesandcurrents.noaa.gov/stationhome.html?id=8537374", "8537374")</f>
        <v>0</v>
      </c>
      <c r="I241" s="1">
        <v>-75.34999999999999</v>
      </c>
      <c r="J241" s="1">
        <v>39.3833</v>
      </c>
      <c r="K241" s="1" t="s">
        <v>860</v>
      </c>
      <c r="L241" s="1" t="s">
        <v>866</v>
      </c>
      <c r="M241" s="1" t="s">
        <v>873</v>
      </c>
      <c r="N241" s="2">
        <f>HYPERLINK("https://tidesandcurrents.noaa.gov/datums.html?datum=MLLW&amp;units=0&amp;epoch=0&amp;id=8537374", "Datum Info")</f>
        <v>0</v>
      </c>
      <c r="AA241" s="1" t="s">
        <v>1608</v>
      </c>
      <c r="AB241" s="1">
        <v>0</v>
      </c>
      <c r="AC241" s="1" t="s">
        <v>1652</v>
      </c>
      <c r="AF241" s="1" t="s">
        <v>1728</v>
      </c>
      <c r="AH241" s="1">
        <v>0</v>
      </c>
      <c r="AI241" s="1">
        <v>7.2</v>
      </c>
      <c r="AJ241" s="1">
        <v>8.199999999999999</v>
      </c>
      <c r="AK241" s="1">
        <v>9.199999999999999</v>
      </c>
      <c r="AL241" s="1" t="s">
        <v>1744</v>
      </c>
    </row>
    <row r="242" spans="1:38">
      <c r="A242" s="1" t="s">
        <v>266</v>
      </c>
      <c r="B242" s="1" t="s">
        <v>622</v>
      </c>
      <c r="C242" s="1" t="s">
        <v>644</v>
      </c>
      <c r="D242" s="1" t="s">
        <v>652</v>
      </c>
      <c r="E242" s="1" t="s">
        <v>734</v>
      </c>
      <c r="F242" s="1" t="s">
        <v>843</v>
      </c>
      <c r="G242" s="1" t="s">
        <v>854</v>
      </c>
      <c r="H242" s="1">
        <f>HYPERLINK("https://tidesandcurrents.noaa.gov/stationhome.html?id=8538886", "8538886")</f>
        <v>0</v>
      </c>
      <c r="I242" s="1">
        <v>-75.04300000000001</v>
      </c>
      <c r="J242" s="1">
        <v>40.01194</v>
      </c>
      <c r="K242" s="1" t="s">
        <v>861</v>
      </c>
      <c r="L242" s="1" t="s">
        <v>866</v>
      </c>
      <c r="M242" s="1" t="s">
        <v>873</v>
      </c>
      <c r="N242" s="2">
        <f>HYPERLINK("https://tidesandcurrents.noaa.gov/datums.html?datum=MLLW&amp;units=0&amp;epoch=0&amp;id=8538886", "Datum Info")</f>
        <v>0</v>
      </c>
      <c r="O242" s="1" t="s">
        <v>886</v>
      </c>
      <c r="P242" s="1">
        <v>7.15</v>
      </c>
      <c r="Q242" s="1">
        <v>6.78</v>
      </c>
      <c r="R242" s="1">
        <v>3.49</v>
      </c>
      <c r="S242" s="1">
        <v>3.64</v>
      </c>
      <c r="T242" s="1">
        <v>3.58</v>
      </c>
      <c r="U242" s="1">
        <v>0.19</v>
      </c>
      <c r="V242" s="1">
        <v>0</v>
      </c>
      <c r="W242" s="1" t="s">
        <v>1011</v>
      </c>
      <c r="X242" s="1">
        <v>-17.37</v>
      </c>
      <c r="Y242" s="1" t="s">
        <v>1196</v>
      </c>
      <c r="Z242" s="1" t="s">
        <v>1464</v>
      </c>
    </row>
    <row r="243" spans="1:38">
      <c r="A243" s="1" t="s">
        <v>267</v>
      </c>
      <c r="B243" s="1" t="s">
        <v>622</v>
      </c>
      <c r="C243" s="1" t="s">
        <v>644</v>
      </c>
      <c r="D243" s="1" t="s">
        <v>652</v>
      </c>
      <c r="E243" s="1" t="s">
        <v>735</v>
      </c>
      <c r="F243" s="1" t="s">
        <v>843</v>
      </c>
      <c r="G243" s="1" t="s">
        <v>854</v>
      </c>
      <c r="H243" s="1">
        <f>HYPERLINK("https://tidesandcurrents.noaa.gov/stationhome.html?id=8539094", "8539094")</f>
        <v>0</v>
      </c>
      <c r="I243" s="1">
        <v>-74.86969999999999</v>
      </c>
      <c r="J243" s="1">
        <v>40.0817</v>
      </c>
      <c r="K243" s="1" t="s">
        <v>860</v>
      </c>
      <c r="L243" s="1" t="s">
        <v>866</v>
      </c>
      <c r="M243" s="1" t="s">
        <v>873</v>
      </c>
      <c r="N243" s="2">
        <f>HYPERLINK("https://tidesandcurrents.noaa.gov/datums.html?datum=MLLW&amp;units=0&amp;epoch=0&amp;id=8539094", "Datum Info")</f>
        <v>0</v>
      </c>
      <c r="O243" s="1" t="s">
        <v>886</v>
      </c>
      <c r="P243" s="1">
        <v>7.85</v>
      </c>
      <c r="Q243" s="1">
        <v>7.49</v>
      </c>
      <c r="R243" s="1">
        <v>3.84</v>
      </c>
      <c r="S243" s="1">
        <v>3.99</v>
      </c>
      <c r="T243" s="1">
        <v>3.93</v>
      </c>
      <c r="U243" s="1">
        <v>0.19</v>
      </c>
      <c r="V243" s="1">
        <v>0</v>
      </c>
      <c r="W243" s="1" t="s">
        <v>1012</v>
      </c>
      <c r="X243" s="1">
        <v>-16.84</v>
      </c>
      <c r="Y243" s="1" t="s">
        <v>1197</v>
      </c>
      <c r="Z243" s="1" t="s">
        <v>1465</v>
      </c>
    </row>
    <row r="244" spans="1:38">
      <c r="A244" s="1" t="s">
        <v>268</v>
      </c>
      <c r="B244" s="1" t="s">
        <v>622</v>
      </c>
      <c r="D244" s="1" t="s">
        <v>652</v>
      </c>
      <c r="E244" s="1" t="s">
        <v>736</v>
      </c>
      <c r="F244" s="1" t="s">
        <v>843</v>
      </c>
      <c r="G244" s="1" t="s">
        <v>854</v>
      </c>
      <c r="H244" s="1">
        <f>HYPERLINK("https://tidesandcurrents.noaa.gov/stationhome.html?id=8540433", "8540433")</f>
        <v>0</v>
      </c>
      <c r="I244" s="1">
        <v>-75.40940000000001</v>
      </c>
      <c r="J244" s="1">
        <v>39.81167</v>
      </c>
      <c r="K244" s="1" t="s">
        <v>860</v>
      </c>
      <c r="L244" s="1" t="s">
        <v>866</v>
      </c>
      <c r="M244" s="1" t="s">
        <v>873</v>
      </c>
      <c r="N244" s="2">
        <f>HYPERLINK("https://tidesandcurrents.noaa.gov/datums.html?datum=MLLW&amp;units=0&amp;epoch=0&amp;id=8540433", "Datum Info")</f>
        <v>0</v>
      </c>
      <c r="O244" s="1" t="s">
        <v>886</v>
      </c>
      <c r="P244" s="1">
        <v>6.17</v>
      </c>
      <c r="Q244" s="1">
        <v>5.79</v>
      </c>
      <c r="R244" s="1">
        <v>2.99</v>
      </c>
      <c r="S244" s="1">
        <v>3.14</v>
      </c>
      <c r="T244" s="1">
        <v>3.08</v>
      </c>
      <c r="U244" s="1">
        <v>0.18</v>
      </c>
      <c r="V244" s="1">
        <v>0</v>
      </c>
      <c r="W244" s="1">
        <v>2.98</v>
      </c>
      <c r="X244" s="1">
        <v>-21.65</v>
      </c>
      <c r="Y244" s="1" t="s">
        <v>1198</v>
      </c>
      <c r="Z244" s="1" t="s">
        <v>1466</v>
      </c>
    </row>
    <row r="245" spans="1:38">
      <c r="A245" s="1" t="s">
        <v>269</v>
      </c>
      <c r="B245" s="1" t="s">
        <v>622</v>
      </c>
      <c r="D245" s="1" t="s">
        <v>652</v>
      </c>
      <c r="E245" s="1" t="s">
        <v>734</v>
      </c>
      <c r="F245" s="1" t="s">
        <v>843</v>
      </c>
      <c r="G245" s="1" t="s">
        <v>854</v>
      </c>
      <c r="H245" s="1">
        <f>HYPERLINK("https://tidesandcurrents.noaa.gov/stationhome.html?id=8545240", "8545240")</f>
        <v>0</v>
      </c>
      <c r="I245" s="1">
        <v>-75.1417</v>
      </c>
      <c r="J245" s="1">
        <v>39.9333</v>
      </c>
      <c r="K245" s="1" t="s">
        <v>860</v>
      </c>
      <c r="L245" s="1" t="s">
        <v>866</v>
      </c>
      <c r="M245" s="1" t="s">
        <v>873</v>
      </c>
      <c r="N245" s="2">
        <f>HYPERLINK("https://tidesandcurrents.noaa.gov/datums.html?datum=MLLW&amp;units=0&amp;epoch=0&amp;id=8545240", "Datum Info")</f>
        <v>0</v>
      </c>
      <c r="O245" s="1" t="s">
        <v>886</v>
      </c>
      <c r="P245" s="1">
        <v>6.69</v>
      </c>
      <c r="Q245" s="1">
        <v>6.29</v>
      </c>
      <c r="R245" s="1">
        <v>3.24</v>
      </c>
      <c r="S245" s="1">
        <v>3.49</v>
      </c>
      <c r="T245" s="1">
        <v>3.34</v>
      </c>
      <c r="U245" s="1">
        <v>0.19</v>
      </c>
      <c r="V245" s="1">
        <v>0</v>
      </c>
      <c r="W245" s="1">
        <v>3.1</v>
      </c>
      <c r="X245" s="1">
        <v>-3.82</v>
      </c>
      <c r="Y245" s="1" t="s">
        <v>1199</v>
      </c>
      <c r="Z245" s="1" t="s">
        <v>1467</v>
      </c>
    </row>
    <row r="246" spans="1:38">
      <c r="A246" s="1" t="s">
        <v>270</v>
      </c>
      <c r="B246" s="1" t="s">
        <v>622</v>
      </c>
      <c r="C246" s="1" t="s">
        <v>644</v>
      </c>
      <c r="D246" s="1" t="s">
        <v>652</v>
      </c>
      <c r="E246" s="1" t="s">
        <v>734</v>
      </c>
      <c r="F246" s="1" t="s">
        <v>843</v>
      </c>
      <c r="G246" s="1" t="s">
        <v>854</v>
      </c>
      <c r="H246" s="1">
        <f>HYPERLINK("https://tidesandcurrents.noaa.gov/stationhome.html?id=8546252", "8546252")</f>
        <v>0</v>
      </c>
      <c r="I246" s="1">
        <v>-75.075</v>
      </c>
      <c r="J246" s="1">
        <v>39.9833</v>
      </c>
      <c r="K246" s="1" t="s">
        <v>860</v>
      </c>
      <c r="L246" s="1" t="s">
        <v>866</v>
      </c>
      <c r="M246" s="1" t="s">
        <v>873</v>
      </c>
      <c r="N246" s="2">
        <f>HYPERLINK("https://tidesandcurrents.noaa.gov/datums.html?datum=MLLW&amp;units=0&amp;epoch=0&amp;id=8546252", "Datum Info")</f>
        <v>0</v>
      </c>
      <c r="O246" s="1" t="s">
        <v>886</v>
      </c>
      <c r="P246" s="1">
        <v>6.97</v>
      </c>
      <c r="Q246" s="1">
        <v>6.58</v>
      </c>
      <c r="R246" s="1">
        <v>3.38</v>
      </c>
      <c r="S246" s="1">
        <v>3.59</v>
      </c>
      <c r="T246" s="1">
        <v>3.48</v>
      </c>
      <c r="U246" s="1">
        <v>0.19</v>
      </c>
      <c r="V246" s="1">
        <v>0</v>
      </c>
      <c r="W246" s="1" t="s">
        <v>1013</v>
      </c>
      <c r="X246" s="1">
        <v>-19.53</v>
      </c>
      <c r="Y246" s="1" t="s">
        <v>1200</v>
      </c>
      <c r="Z246" s="1" t="s">
        <v>1468</v>
      </c>
    </row>
    <row r="247" spans="1:38">
      <c r="A247" s="1" t="s">
        <v>271</v>
      </c>
      <c r="B247" s="1" t="s">
        <v>622</v>
      </c>
      <c r="C247" s="1" t="s">
        <v>644</v>
      </c>
      <c r="D247" s="1" t="s">
        <v>652</v>
      </c>
      <c r="E247" s="1" t="s">
        <v>735</v>
      </c>
      <c r="F247" s="1" t="s">
        <v>843</v>
      </c>
      <c r="G247" s="1" t="s">
        <v>854</v>
      </c>
      <c r="H247" s="1">
        <f>HYPERLINK("https://tidesandcurrents.noaa.gov/stationhome.html?id=8548989", "8548989")</f>
        <v>0</v>
      </c>
      <c r="I247" s="1">
        <v>-74.7517</v>
      </c>
      <c r="J247" s="1">
        <v>40.1367</v>
      </c>
      <c r="K247" s="1" t="s">
        <v>860</v>
      </c>
      <c r="L247" s="1" t="s">
        <v>866</v>
      </c>
      <c r="M247" s="1" t="s">
        <v>873</v>
      </c>
      <c r="N247" s="2">
        <f>HYPERLINK("https://tidesandcurrents.noaa.gov/datums.html?datum=MLLW&amp;units=0&amp;epoch=0&amp;id=8548989", "Datum Info")</f>
        <v>0</v>
      </c>
      <c r="O247" s="1" t="s">
        <v>886</v>
      </c>
      <c r="P247" s="1">
        <v>8.390000000000001</v>
      </c>
      <c r="Q247" s="1">
        <v>8.029999999999999</v>
      </c>
      <c r="R247" s="1">
        <v>4.11</v>
      </c>
      <c r="S247" s="1">
        <v>4.32</v>
      </c>
      <c r="T247" s="1">
        <v>4.19</v>
      </c>
      <c r="U247" s="1">
        <v>0.19</v>
      </c>
      <c r="V247" s="1">
        <v>0</v>
      </c>
      <c r="W247" s="1" t="s">
        <v>1014</v>
      </c>
      <c r="X247" s="1">
        <v>-14.32</v>
      </c>
      <c r="Y247" s="1" t="s">
        <v>1201</v>
      </c>
      <c r="Z247" s="1" t="s">
        <v>1469</v>
      </c>
    </row>
    <row r="248" spans="1:38">
      <c r="A248" s="1" t="s">
        <v>272</v>
      </c>
      <c r="B248" s="1" t="s">
        <v>622</v>
      </c>
      <c r="C248" s="1" t="s">
        <v>644</v>
      </c>
      <c r="D248" s="1" t="s">
        <v>652</v>
      </c>
      <c r="H248" s="1">
        <f>HYPERLINK("https://tidesandcurrents.noaa.gov/stationhome.html?id=8550714", "8550714")</f>
        <v>0</v>
      </c>
      <c r="I248" s="1">
        <v>-75.52</v>
      </c>
      <c r="J248" s="1">
        <v>39.7183</v>
      </c>
      <c r="K248" s="1" t="s">
        <v>860</v>
      </c>
      <c r="L248" s="1" t="s">
        <v>866</v>
      </c>
      <c r="M248" s="1" t="s">
        <v>873</v>
      </c>
      <c r="N248" s="2">
        <f>HYPERLINK("https://tidesandcurrents.noaa.gov/datums.html?datum=MLLW&amp;units=0&amp;epoch=0&amp;id=8550714", "Datum Info")</f>
        <v>0</v>
      </c>
      <c r="AC248" s="1" t="s">
        <v>1038</v>
      </c>
      <c r="AF248" s="1" t="s">
        <v>1729</v>
      </c>
      <c r="AH248" s="1">
        <v>0</v>
      </c>
      <c r="AI248" s="1">
        <v>7.4</v>
      </c>
      <c r="AJ248" s="1">
        <v>8.4</v>
      </c>
      <c r="AK248" s="1">
        <v>9.4</v>
      </c>
      <c r="AL248" s="1" t="s">
        <v>1744</v>
      </c>
    </row>
    <row r="249" spans="1:38">
      <c r="A249" s="1" t="s">
        <v>273</v>
      </c>
      <c r="B249" s="1" t="s">
        <v>622</v>
      </c>
      <c r="D249" s="1" t="s">
        <v>652</v>
      </c>
      <c r="H249" s="1">
        <f>HYPERLINK("https://tidesandcurrents.noaa.gov/stationhome.html?id=8551762", "8551762")</f>
        <v>0</v>
      </c>
      <c r="I249" s="1">
        <v>-75.5883</v>
      </c>
      <c r="J249" s="1">
        <v>39.5817</v>
      </c>
      <c r="K249" s="1" t="s">
        <v>860</v>
      </c>
      <c r="L249" s="1" t="s">
        <v>866</v>
      </c>
      <c r="M249" s="1" t="s">
        <v>873</v>
      </c>
      <c r="N249" s="2">
        <f>HYPERLINK("https://tidesandcurrents.noaa.gov/datums.html?datum=MLLW&amp;units=0&amp;epoch=0&amp;id=8551762", "Datum Info")</f>
        <v>0</v>
      </c>
      <c r="O249" s="1" t="s">
        <v>886</v>
      </c>
      <c r="P249" s="1">
        <v>6</v>
      </c>
      <c r="Q249" s="1">
        <v>5.62</v>
      </c>
      <c r="R249" s="1">
        <v>2.9</v>
      </c>
      <c r="S249" s="1">
        <v>2.95</v>
      </c>
      <c r="T249" s="1">
        <v>3</v>
      </c>
      <c r="U249" s="1">
        <v>0.18</v>
      </c>
      <c r="V249" s="1">
        <v>0</v>
      </c>
      <c r="W249" s="1" t="s">
        <v>1015</v>
      </c>
      <c r="X249" s="1">
        <v>-22.4</v>
      </c>
      <c r="Y249" s="1" t="s">
        <v>1202</v>
      </c>
      <c r="Z249" s="1" t="s">
        <v>1470</v>
      </c>
    </row>
    <row r="250" spans="1:38">
      <c r="A250" s="1" t="s">
        <v>274</v>
      </c>
      <c r="B250" s="1" t="s">
        <v>622</v>
      </c>
      <c r="C250" s="1" t="s">
        <v>644</v>
      </c>
      <c r="D250" s="1" t="s">
        <v>652</v>
      </c>
      <c r="E250" s="1" t="s">
        <v>737</v>
      </c>
      <c r="F250" s="1" t="s">
        <v>844</v>
      </c>
      <c r="G250" s="1" t="s">
        <v>854</v>
      </c>
      <c r="H250" s="1">
        <f>HYPERLINK("https://tidesandcurrents.noaa.gov/stationhome.html?id=8551910", "8551910")</f>
        <v>0</v>
      </c>
      <c r="I250" s="1">
        <v>-75.5719</v>
      </c>
      <c r="J250" s="1">
        <v>39.55833</v>
      </c>
      <c r="K250" s="1" t="s">
        <v>860</v>
      </c>
      <c r="L250" s="1" t="s">
        <v>866</v>
      </c>
      <c r="M250" s="1" t="s">
        <v>873</v>
      </c>
      <c r="N250" s="2">
        <f>HYPERLINK("https://tidesandcurrents.noaa.gov/datums.html?datum=MLLW&amp;units=0&amp;epoch=0&amp;id=8551910", "Datum Info")</f>
        <v>0</v>
      </c>
      <c r="O250" s="1" t="s">
        <v>886</v>
      </c>
      <c r="P250" s="1">
        <v>5.84</v>
      </c>
      <c r="Q250" s="1">
        <v>5.52</v>
      </c>
      <c r="R250" s="1">
        <v>2.85</v>
      </c>
      <c r="S250" s="1">
        <v>2.92</v>
      </c>
      <c r="T250" s="1">
        <v>2.92</v>
      </c>
      <c r="U250" s="1">
        <v>0.18</v>
      </c>
      <c r="V250" s="1">
        <v>0</v>
      </c>
      <c r="W250" s="1">
        <v>2.97</v>
      </c>
      <c r="X250" s="1">
        <v>-1.35</v>
      </c>
      <c r="Y250" s="1" t="s">
        <v>1203</v>
      </c>
      <c r="Z250" s="1" t="s">
        <v>1299</v>
      </c>
    </row>
    <row r="251" spans="1:38">
      <c r="A251" s="1" t="s">
        <v>275</v>
      </c>
      <c r="B251" s="1" t="s">
        <v>622</v>
      </c>
      <c r="D251" s="1" t="s">
        <v>652</v>
      </c>
      <c r="H251" s="1">
        <f>HYPERLINK("https://tidesandcurrents.noaa.gov/stationhome.html?id=8555388", "8555388")</f>
        <v>0</v>
      </c>
      <c r="I251" s="1">
        <v>-75.3967</v>
      </c>
      <c r="J251" s="1">
        <v>39.0583</v>
      </c>
      <c r="K251" s="1" t="s">
        <v>860</v>
      </c>
      <c r="L251" s="1" t="s">
        <v>866</v>
      </c>
      <c r="M251" s="1" t="s">
        <v>873</v>
      </c>
      <c r="N251" s="2">
        <f>HYPERLINK("https://tidesandcurrents.noaa.gov/datums.html?datum=MLLW&amp;units=0&amp;epoch=0&amp;id=8555388", "Datum Info")</f>
        <v>0</v>
      </c>
      <c r="AB251" s="1">
        <v>0</v>
      </c>
      <c r="AC251" s="1" t="s">
        <v>1653</v>
      </c>
      <c r="AF251" s="1" t="s">
        <v>1730</v>
      </c>
      <c r="AH251" s="1">
        <v>0</v>
      </c>
      <c r="AI251" s="1">
        <v>6.6</v>
      </c>
      <c r="AJ251" s="1">
        <v>7.6</v>
      </c>
      <c r="AK251" s="1">
        <v>8.6</v>
      </c>
      <c r="AL251" s="1" t="s">
        <v>1744</v>
      </c>
    </row>
    <row r="252" spans="1:38">
      <c r="A252" s="1" t="s">
        <v>276</v>
      </c>
      <c r="B252" s="1" t="s">
        <v>622</v>
      </c>
      <c r="D252" s="1" t="s">
        <v>652</v>
      </c>
      <c r="H252" s="1">
        <f>HYPERLINK("https://tidesandcurrents.noaa.gov/stationhome.html?id=8555889", "8555889")</f>
        <v>0</v>
      </c>
      <c r="I252" s="1">
        <v>-75.113</v>
      </c>
      <c r="J252" s="1">
        <v>38.987</v>
      </c>
      <c r="K252" s="1" t="s">
        <v>861</v>
      </c>
      <c r="L252" s="1" t="s">
        <v>866</v>
      </c>
      <c r="M252" s="1" t="s">
        <v>873</v>
      </c>
      <c r="N252" s="2">
        <f>HYPERLINK("https://tidesandcurrents.noaa.gov/datums.html?datum=MLLW&amp;units=0&amp;epoch=0&amp;id=8555889", "Datum Info")</f>
        <v>0</v>
      </c>
      <c r="O252" s="1" t="s">
        <v>886</v>
      </c>
      <c r="P252" s="1">
        <v>5.5</v>
      </c>
      <c r="Q252" s="1">
        <v>5.06</v>
      </c>
      <c r="R252" s="1">
        <v>2.61</v>
      </c>
      <c r="S252" s="1">
        <v>2.61</v>
      </c>
      <c r="T252" s="1">
        <v>2.75</v>
      </c>
      <c r="U252" s="1">
        <v>0.16</v>
      </c>
      <c r="V252" s="1">
        <v>0</v>
      </c>
      <c r="W252" s="1" t="s">
        <v>1016</v>
      </c>
      <c r="X252" s="1">
        <v>-18.99</v>
      </c>
      <c r="Y252" s="1" t="s">
        <v>1204</v>
      </c>
      <c r="Z252" s="1" t="s">
        <v>1471</v>
      </c>
    </row>
    <row r="253" spans="1:38">
      <c r="A253" s="1" t="s">
        <v>277</v>
      </c>
      <c r="B253" s="1" t="s">
        <v>622</v>
      </c>
      <c r="C253" s="1" t="s">
        <v>644</v>
      </c>
      <c r="D253" s="1" t="s">
        <v>652</v>
      </c>
      <c r="E253" s="1" t="s">
        <v>738</v>
      </c>
      <c r="F253" s="1" t="s">
        <v>844</v>
      </c>
      <c r="G253" s="1" t="s">
        <v>854</v>
      </c>
      <c r="H253" s="1">
        <f>HYPERLINK("https://tidesandcurrents.noaa.gov/stationhome.html?id=8557380", "8557380")</f>
        <v>0</v>
      </c>
      <c r="I253" s="1">
        <v>-75.12</v>
      </c>
      <c r="J253" s="1">
        <v>38.7817</v>
      </c>
      <c r="K253" s="1" t="s">
        <v>860</v>
      </c>
      <c r="L253" s="1" t="s">
        <v>866</v>
      </c>
      <c r="M253" s="1" t="s">
        <v>873</v>
      </c>
      <c r="N253" s="2">
        <f>HYPERLINK("https://tidesandcurrents.noaa.gov/datums.html?datum=MLLW&amp;units=0&amp;epoch=0&amp;id=8557380", "Datum Info")</f>
        <v>0</v>
      </c>
      <c r="O253" s="1" t="s">
        <v>886</v>
      </c>
      <c r="P253" s="1">
        <v>4.65</v>
      </c>
      <c r="Q253" s="1">
        <v>4.23</v>
      </c>
      <c r="R253" s="1">
        <v>2.2</v>
      </c>
      <c r="S253" s="1">
        <v>2.23</v>
      </c>
      <c r="T253" s="1">
        <v>2.33</v>
      </c>
      <c r="U253" s="1">
        <v>0.16</v>
      </c>
      <c r="V253" s="1">
        <v>0</v>
      </c>
      <c r="W253" s="1">
        <v>2.63</v>
      </c>
      <c r="X253" s="1">
        <v>-2.78</v>
      </c>
      <c r="Y253" s="1" t="s">
        <v>1205</v>
      </c>
      <c r="Z253" s="1" t="s">
        <v>1472</v>
      </c>
    </row>
    <row r="254" spans="1:38">
      <c r="A254" s="1" t="s">
        <v>278</v>
      </c>
      <c r="B254" s="1" t="s">
        <v>622</v>
      </c>
      <c r="D254" s="1" t="s">
        <v>652</v>
      </c>
      <c r="H254" s="1">
        <f>HYPERLINK("https://tidesandcurrents.noaa.gov/stationhome.html?id=8558690", "8558690")</f>
        <v>0</v>
      </c>
      <c r="I254" s="1">
        <v>-75.06999999999999</v>
      </c>
      <c r="J254" s="1">
        <v>38.61</v>
      </c>
      <c r="K254" s="1" t="s">
        <v>860</v>
      </c>
      <c r="L254" s="1" t="s">
        <v>866</v>
      </c>
      <c r="M254" s="1" t="s">
        <v>873</v>
      </c>
      <c r="N254" s="2">
        <f>HYPERLINK("https://tidesandcurrents.noaa.gov/datums.html?datum=MLLW&amp;units=0&amp;epoch=0&amp;id=8558690", "Datum Info")</f>
        <v>0</v>
      </c>
      <c r="O254" s="1" t="s">
        <v>886</v>
      </c>
      <c r="P254" s="1">
        <v>2.94</v>
      </c>
      <c r="Q254" s="1">
        <v>2.67</v>
      </c>
      <c r="R254" s="1">
        <v>1.41</v>
      </c>
      <c r="S254" s="1">
        <v>1.48</v>
      </c>
      <c r="T254" s="1">
        <v>1.47</v>
      </c>
      <c r="U254" s="1">
        <v>0.15</v>
      </c>
      <c r="V254" s="1">
        <v>0</v>
      </c>
      <c r="W254" s="1" t="s">
        <v>1017</v>
      </c>
      <c r="X254" s="1">
        <v>-2.96</v>
      </c>
      <c r="Y254" s="1" t="s">
        <v>1206</v>
      </c>
      <c r="Z254" s="1" t="s">
        <v>1473</v>
      </c>
      <c r="AB254" s="1">
        <v>0</v>
      </c>
      <c r="AC254" s="1" t="s">
        <v>1654</v>
      </c>
      <c r="AF254" s="1" t="s">
        <v>1731</v>
      </c>
      <c r="AH254" s="1">
        <v>0</v>
      </c>
      <c r="AI254" s="1">
        <v>4.2</v>
      </c>
      <c r="AJ254" s="1">
        <v>5.2</v>
      </c>
      <c r="AK254" s="1">
        <v>6.2</v>
      </c>
      <c r="AL254" s="1" t="s">
        <v>1744</v>
      </c>
    </row>
    <row r="255" spans="1:38">
      <c r="A255" s="1" t="s">
        <v>279</v>
      </c>
      <c r="B255" s="1" t="s">
        <v>622</v>
      </c>
      <c r="C255" s="1" t="s">
        <v>644</v>
      </c>
      <c r="D255" s="1" t="s">
        <v>652</v>
      </c>
      <c r="E255" s="1" t="s">
        <v>739</v>
      </c>
      <c r="F255" s="1" t="s">
        <v>830</v>
      </c>
      <c r="G255" s="1" t="s">
        <v>854</v>
      </c>
      <c r="H255" s="1">
        <f>HYPERLINK("https://tidesandcurrents.noaa.gov/stationhome.html?id=8573364", "8573364")</f>
        <v>0</v>
      </c>
      <c r="I255" s="1">
        <v>-76.2445</v>
      </c>
      <c r="J255" s="1">
        <v>39.2134</v>
      </c>
      <c r="K255" s="1" t="s">
        <v>860</v>
      </c>
      <c r="L255" s="1" t="s">
        <v>866</v>
      </c>
      <c r="M255" s="1" t="s">
        <v>873</v>
      </c>
      <c r="N255" s="2">
        <f>HYPERLINK("https://tidesandcurrents.noaa.gov/datums.html?datum=MLLW&amp;units=0&amp;epoch=0&amp;id=8573364", "Datum Info")</f>
        <v>0</v>
      </c>
      <c r="O255" s="1" t="s">
        <v>886</v>
      </c>
      <c r="P255" s="1">
        <v>1.74</v>
      </c>
      <c r="Q255" s="1">
        <v>1.43</v>
      </c>
      <c r="R255" s="1">
        <v>0.82</v>
      </c>
      <c r="S255" s="1">
        <v>0.84</v>
      </c>
      <c r="T255" s="1">
        <v>0.87</v>
      </c>
      <c r="U255" s="1">
        <v>0.21</v>
      </c>
      <c r="V255" s="1">
        <v>0</v>
      </c>
      <c r="W255" s="1">
        <v>0.98</v>
      </c>
      <c r="X255" s="1">
        <v>-3.41</v>
      </c>
      <c r="Y255" s="1" t="s">
        <v>1207</v>
      </c>
      <c r="Z255" s="1" t="s">
        <v>1474</v>
      </c>
    </row>
    <row r="256" spans="1:38">
      <c r="A256" s="1" t="s">
        <v>280</v>
      </c>
      <c r="B256" s="1" t="s">
        <v>622</v>
      </c>
      <c r="C256" s="1" t="s">
        <v>644</v>
      </c>
      <c r="D256" s="1" t="s">
        <v>652</v>
      </c>
      <c r="E256" s="1" t="s">
        <v>729</v>
      </c>
      <c r="F256" s="1" t="s">
        <v>842</v>
      </c>
      <c r="G256" s="1" t="s">
        <v>854</v>
      </c>
      <c r="H256" s="1">
        <f>HYPERLINK("https://tidesandcurrents.noaa.gov/stationhome.html?id=8632591", "8632591")</f>
        <v>0</v>
      </c>
      <c r="I256" s="1">
        <v>-74.04000000000001</v>
      </c>
      <c r="J256" s="1">
        <v>40.11</v>
      </c>
      <c r="K256" s="1" t="s">
        <v>860</v>
      </c>
      <c r="L256" s="1" t="s">
        <v>866</v>
      </c>
      <c r="M256" s="1" t="s">
        <v>874</v>
      </c>
      <c r="N256" s="2">
        <f>HYPERLINK("https://tidesandcurrents.noaa.gov/datums.html?datum=MLLW&amp;units=0&amp;epoch=0&amp;id=8632591", "Datum Info")</f>
        <v>0</v>
      </c>
      <c r="AB256" s="1">
        <v>0</v>
      </c>
      <c r="AC256" s="1" t="s">
        <v>1655</v>
      </c>
      <c r="AF256" s="1" t="s">
        <v>1732</v>
      </c>
      <c r="AH256" s="1">
        <v>0</v>
      </c>
      <c r="AI256" s="1">
        <v>5.7</v>
      </c>
      <c r="AJ256" s="1">
        <v>6.7</v>
      </c>
      <c r="AK256" s="1">
        <v>7.7</v>
      </c>
      <c r="AL256" s="1" t="s">
        <v>1744</v>
      </c>
    </row>
    <row r="257" spans="1:38">
      <c r="A257" s="1" t="s">
        <v>281</v>
      </c>
      <c r="B257" s="1" t="s">
        <v>622</v>
      </c>
      <c r="C257" s="1" t="s">
        <v>644</v>
      </c>
      <c r="D257" s="1" t="s">
        <v>652</v>
      </c>
      <c r="E257" s="1" t="s">
        <v>731</v>
      </c>
      <c r="F257" s="1" t="s">
        <v>842</v>
      </c>
      <c r="G257" s="1" t="s">
        <v>854</v>
      </c>
      <c r="H257" s="1" t="s">
        <v>859</v>
      </c>
      <c r="I257" s="1">
        <v>-74.45999999999999</v>
      </c>
      <c r="J257" s="1">
        <v>39.35</v>
      </c>
      <c r="K257" s="1" t="s">
        <v>860</v>
      </c>
      <c r="L257" s="1" t="s">
        <v>859</v>
      </c>
      <c r="M257" s="1" t="s">
        <v>873</v>
      </c>
      <c r="AA257" s="1" t="s">
        <v>1608</v>
      </c>
      <c r="AB257" s="1">
        <v>0</v>
      </c>
      <c r="AC257" s="1" t="s">
        <v>1656</v>
      </c>
      <c r="AF257" s="1" t="s">
        <v>1733</v>
      </c>
      <c r="AH257" s="1">
        <v>0</v>
      </c>
      <c r="AI257" s="1">
        <v>5.9</v>
      </c>
      <c r="AJ257" s="1">
        <v>6.9</v>
      </c>
      <c r="AK257" s="1">
        <v>7.9</v>
      </c>
      <c r="AL257" s="1" t="s">
        <v>1744</v>
      </c>
    </row>
    <row r="258" spans="1:38">
      <c r="A258" s="1" t="s">
        <v>282</v>
      </c>
      <c r="B258" s="1" t="s">
        <v>622</v>
      </c>
      <c r="C258" s="1" t="s">
        <v>644</v>
      </c>
      <c r="D258" s="1" t="s">
        <v>652</v>
      </c>
      <c r="E258" s="1" t="s">
        <v>730</v>
      </c>
      <c r="F258" s="1" t="s">
        <v>842</v>
      </c>
      <c r="G258" s="1" t="s">
        <v>854</v>
      </c>
      <c r="H258" s="1" t="s">
        <v>859</v>
      </c>
      <c r="I258" s="1">
        <v>-74.08</v>
      </c>
      <c r="J258" s="1">
        <v>39.94</v>
      </c>
      <c r="K258" s="1" t="s">
        <v>861</v>
      </c>
      <c r="L258" s="1" t="s">
        <v>859</v>
      </c>
      <c r="M258" s="1" t="s">
        <v>874</v>
      </c>
    </row>
    <row r="259" spans="1:38">
      <c r="A259" s="1" t="s">
        <v>283</v>
      </c>
      <c r="B259" s="1" t="s">
        <v>622</v>
      </c>
      <c r="C259" s="1" t="s">
        <v>644</v>
      </c>
      <c r="D259" s="1" t="s">
        <v>652</v>
      </c>
      <c r="E259" s="1" t="s">
        <v>731</v>
      </c>
      <c r="F259" s="1" t="s">
        <v>842</v>
      </c>
      <c r="G259" s="1" t="s">
        <v>854</v>
      </c>
      <c r="H259" s="1">
        <f>HYPERLINK("https://waterdata.usgs.gov/nwis/nwismap/?site_no=01410500&amp;agency_cd=USGS", "US01410500")</f>
        <v>0</v>
      </c>
      <c r="I259" s="1">
        <v>-74.52055405999999</v>
      </c>
      <c r="J259" s="1">
        <v>39.4302698</v>
      </c>
      <c r="K259" s="1" t="s">
        <v>864</v>
      </c>
      <c r="L259" s="1" t="s">
        <v>867</v>
      </c>
      <c r="M259" s="1" t="s">
        <v>873</v>
      </c>
      <c r="N259" s="2">
        <f>HYPERLINK("https://waterservices.usgs.gov/nwis/site/?site=01410500&amp;format=rdb", "Datum Info")</f>
        <v>0</v>
      </c>
      <c r="O259" s="1" t="s">
        <v>889</v>
      </c>
      <c r="Y259" s="1" t="s">
        <v>956</v>
      </c>
      <c r="AA259" s="1" t="s">
        <v>889</v>
      </c>
      <c r="AB259" s="1">
        <v>0</v>
      </c>
      <c r="AD259" s="1" t="s">
        <v>1025</v>
      </c>
      <c r="AG259" s="1" t="s">
        <v>1025</v>
      </c>
      <c r="AH259" s="1">
        <v>0</v>
      </c>
      <c r="AI259" s="1">
        <v>0</v>
      </c>
      <c r="AJ259" s="1">
        <v>0</v>
      </c>
      <c r="AK259" s="1">
        <v>0</v>
      </c>
      <c r="AL259" s="1" t="s">
        <v>1744</v>
      </c>
    </row>
    <row r="260" spans="1:38">
      <c r="A260" s="1" t="s">
        <v>284</v>
      </c>
      <c r="B260" s="1" t="s">
        <v>622</v>
      </c>
      <c r="C260" s="1" t="s">
        <v>644</v>
      </c>
      <c r="D260" s="1" t="s">
        <v>652</v>
      </c>
      <c r="E260" s="1" t="s">
        <v>734</v>
      </c>
      <c r="F260" s="1" t="s">
        <v>843</v>
      </c>
      <c r="G260" s="1" t="s">
        <v>854</v>
      </c>
      <c r="H260" s="1">
        <f>HYPERLINK("https://waterdata.usgs.gov/nwis/nwismap/?site_no=01474501&amp;agency_cd=USGS", "US01474501")</f>
        <v>0</v>
      </c>
      <c r="I260" s="1">
        <v>-75.18030382000001</v>
      </c>
      <c r="J260" s="1">
        <v>39.95663082</v>
      </c>
      <c r="K260" s="1" t="s">
        <v>861</v>
      </c>
      <c r="L260" s="1" t="s">
        <v>867</v>
      </c>
      <c r="M260" s="1" t="s">
        <v>873</v>
      </c>
      <c r="N260" s="2">
        <f>HYPERLINK("https://waterservices.usgs.gov/nwis/site/?site=01474501&amp;format=rdb", "Datum Info")</f>
        <v>0</v>
      </c>
      <c r="O260" s="1" t="s">
        <v>887</v>
      </c>
      <c r="W260" s="1" t="s">
        <v>1018</v>
      </c>
      <c r="AA260" s="1" t="s">
        <v>1608</v>
      </c>
      <c r="AC260" s="1" t="s">
        <v>1025</v>
      </c>
      <c r="AH260" s="1">
        <v>5</v>
      </c>
      <c r="AI260" s="1">
        <v>9</v>
      </c>
      <c r="AJ260" s="1">
        <v>11</v>
      </c>
      <c r="AK260" s="1">
        <v>14</v>
      </c>
      <c r="AL260" s="1" t="s">
        <v>1744</v>
      </c>
    </row>
    <row r="261" spans="1:38">
      <c r="A261" s="1" t="s">
        <v>285</v>
      </c>
      <c r="B261" s="1" t="s">
        <v>623</v>
      </c>
      <c r="D261" s="1" t="s">
        <v>653</v>
      </c>
      <c r="H261" s="1" t="s">
        <v>859</v>
      </c>
      <c r="I261" s="1">
        <v>-157.832</v>
      </c>
      <c r="J261" s="1">
        <v>21.2882</v>
      </c>
      <c r="K261" s="1" t="s">
        <v>861</v>
      </c>
      <c r="L261" s="1" t="s">
        <v>859</v>
      </c>
      <c r="M261" s="1" t="s">
        <v>875</v>
      </c>
    </row>
    <row r="262" spans="1:38">
      <c r="A262" s="1" t="s">
        <v>286</v>
      </c>
      <c r="B262" s="1" t="s">
        <v>623</v>
      </c>
      <c r="C262" s="1" t="s">
        <v>647</v>
      </c>
      <c r="D262" s="1" t="s">
        <v>653</v>
      </c>
      <c r="E262" s="1" t="s">
        <v>740</v>
      </c>
      <c r="F262" s="1" t="s">
        <v>845</v>
      </c>
      <c r="G262" s="1" t="s">
        <v>855</v>
      </c>
      <c r="H262" s="1" t="s">
        <v>859</v>
      </c>
      <c r="I262" s="1">
        <v>-158.1035</v>
      </c>
      <c r="J262" s="1">
        <v>21.5936</v>
      </c>
      <c r="K262" s="1" t="s">
        <v>861</v>
      </c>
      <c r="L262" s="1" t="s">
        <v>859</v>
      </c>
      <c r="M262" s="1" t="s">
        <v>875</v>
      </c>
    </row>
    <row r="263" spans="1:38">
      <c r="A263" s="1" t="s">
        <v>287</v>
      </c>
      <c r="B263" s="1" t="s">
        <v>623</v>
      </c>
      <c r="C263" s="1" t="s">
        <v>647</v>
      </c>
      <c r="D263" s="1" t="s">
        <v>653</v>
      </c>
      <c r="E263" s="1" t="s">
        <v>740</v>
      </c>
      <c r="F263" s="1" t="s">
        <v>845</v>
      </c>
      <c r="G263" s="1" t="s">
        <v>855</v>
      </c>
      <c r="H263" s="1" t="s">
        <v>859</v>
      </c>
      <c r="I263" s="1">
        <v>-157.8937</v>
      </c>
      <c r="J263" s="1">
        <v>21.3354</v>
      </c>
      <c r="K263" s="1" t="s">
        <v>861</v>
      </c>
      <c r="L263" s="1" t="s">
        <v>859</v>
      </c>
      <c r="M263" s="1" t="s">
        <v>875</v>
      </c>
    </row>
    <row r="264" spans="1:38">
      <c r="A264" s="1" t="s">
        <v>288</v>
      </c>
      <c r="B264" s="1" t="s">
        <v>623</v>
      </c>
      <c r="C264" s="1" t="s">
        <v>647</v>
      </c>
      <c r="D264" s="1" t="s">
        <v>653</v>
      </c>
      <c r="E264" s="1" t="s">
        <v>740</v>
      </c>
      <c r="F264" s="1" t="s">
        <v>845</v>
      </c>
      <c r="G264" s="1" t="s">
        <v>855</v>
      </c>
      <c r="H264" s="1" t="s">
        <v>859</v>
      </c>
      <c r="I264" s="1">
        <v>-158.1052</v>
      </c>
      <c r="J264" s="1">
        <v>21.5798</v>
      </c>
      <c r="K264" s="1" t="s">
        <v>861</v>
      </c>
      <c r="L264" s="1" t="s">
        <v>859</v>
      </c>
      <c r="M264" s="1" t="s">
        <v>875</v>
      </c>
    </row>
    <row r="265" spans="1:38">
      <c r="A265" s="1" t="s">
        <v>289</v>
      </c>
      <c r="B265" s="1" t="s">
        <v>623</v>
      </c>
      <c r="C265" s="1" t="s">
        <v>647</v>
      </c>
      <c r="D265" s="1" t="s">
        <v>653</v>
      </c>
      <c r="E265" s="1" t="s">
        <v>741</v>
      </c>
      <c r="F265" s="1" t="s">
        <v>845</v>
      </c>
      <c r="G265" s="1" t="s">
        <v>855</v>
      </c>
      <c r="H265" s="1" t="s">
        <v>859</v>
      </c>
      <c r="I265" s="1">
        <v>-159.3389</v>
      </c>
      <c r="J265" s="1">
        <v>22.046</v>
      </c>
      <c r="K265" s="1" t="s">
        <v>861</v>
      </c>
      <c r="L265" s="1" t="s">
        <v>859</v>
      </c>
      <c r="M265" s="1" t="s">
        <v>875</v>
      </c>
    </row>
    <row r="266" spans="1:38">
      <c r="A266" s="1" t="s">
        <v>290</v>
      </c>
      <c r="B266" s="1" t="s">
        <v>624</v>
      </c>
      <c r="D266" s="1" t="s">
        <v>654</v>
      </c>
      <c r="E266" s="1" t="s">
        <v>742</v>
      </c>
      <c r="F266" s="1" t="s">
        <v>846</v>
      </c>
      <c r="G266" s="1" t="s">
        <v>856</v>
      </c>
      <c r="H266" s="1">
        <f>HYPERLINK("https://tidesandcurrents.noaa.gov/stationhome.html?id=8779280", "8779280")</f>
        <v>0</v>
      </c>
      <c r="I266" s="1">
        <v>-97.28530000000001</v>
      </c>
      <c r="J266" s="1">
        <v>26.2625</v>
      </c>
      <c r="K266" s="1" t="s">
        <v>861</v>
      </c>
      <c r="L266" s="1" t="s">
        <v>866</v>
      </c>
      <c r="M266" s="1" t="s">
        <v>874</v>
      </c>
      <c r="N266" s="2">
        <f>HYPERLINK("https://tidesandcurrents.noaa.gov/datums.html?datum=MLLW&amp;units=0&amp;epoch=0&amp;id=8779280", "Datum Info")</f>
        <v>0</v>
      </c>
      <c r="O266" s="1" t="s">
        <v>886</v>
      </c>
      <c r="P266" s="1">
        <v>0.5600000000000001</v>
      </c>
      <c r="Q266" s="1">
        <v>0.55</v>
      </c>
      <c r="R266" s="1">
        <v>0.29</v>
      </c>
      <c r="S266" s="1">
        <v>0.31</v>
      </c>
      <c r="T266" s="1" t="s">
        <v>930</v>
      </c>
      <c r="U266" s="1">
        <v>0.02</v>
      </c>
      <c r="V266" s="1">
        <v>0</v>
      </c>
      <c r="W266" s="1" t="s">
        <v>1019</v>
      </c>
      <c r="X266" s="1">
        <v>-15.62</v>
      </c>
      <c r="Y266" s="1" t="s">
        <v>1208</v>
      </c>
      <c r="Z266" s="1" t="s">
        <v>1475</v>
      </c>
    </row>
    <row r="267" spans="1:38">
      <c r="A267" s="1" t="s">
        <v>291</v>
      </c>
      <c r="B267" s="1" t="s">
        <v>624</v>
      </c>
      <c r="D267" s="1" t="s">
        <v>654</v>
      </c>
      <c r="H267" s="1">
        <f>HYPERLINK("https://tidesandcurrents.noaa.gov/stationhome.html?id=8779748", "8779748")</f>
        <v>0</v>
      </c>
      <c r="I267" s="1">
        <v>-97.1669</v>
      </c>
      <c r="J267" s="1">
        <v>26.07247</v>
      </c>
      <c r="K267" s="1" t="s">
        <v>861</v>
      </c>
      <c r="L267" s="1" t="s">
        <v>866</v>
      </c>
      <c r="M267" s="1" t="s">
        <v>874</v>
      </c>
      <c r="N267" s="2">
        <f>HYPERLINK("https://tidesandcurrents.noaa.gov/datums.html?datum=MLLW&amp;units=0&amp;epoch=0&amp;id=8779748", "Datum Info")</f>
        <v>0</v>
      </c>
      <c r="O267" s="1" t="s">
        <v>886</v>
      </c>
      <c r="P267" s="1">
        <v>1.37</v>
      </c>
      <c r="Q267" s="1">
        <v>1.31</v>
      </c>
      <c r="R267" s="1">
        <v>0.73</v>
      </c>
      <c r="S267" s="1">
        <v>0.8100000000000001</v>
      </c>
      <c r="T267" s="1">
        <v>0.68</v>
      </c>
      <c r="U267" s="1">
        <v>0.14</v>
      </c>
      <c r="V267" s="1">
        <v>0</v>
      </c>
      <c r="W267" s="1">
        <v>0.93</v>
      </c>
      <c r="X267" s="1">
        <v>-3.63</v>
      </c>
      <c r="Y267" s="1" t="s">
        <v>1209</v>
      </c>
      <c r="Z267" s="1" t="s">
        <v>1476</v>
      </c>
    </row>
    <row r="268" spans="1:38">
      <c r="A268" s="1" t="s">
        <v>292</v>
      </c>
      <c r="B268" s="1" t="s">
        <v>624</v>
      </c>
      <c r="C268" s="1" t="s">
        <v>648</v>
      </c>
      <c r="D268" s="1" t="s">
        <v>654</v>
      </c>
      <c r="H268" s="1">
        <f>HYPERLINK("https://tidesandcurrents.noaa.gov/stationhome.html?id=8779749", "8779749")</f>
        <v>0</v>
      </c>
      <c r="I268" s="1">
        <v>-97.15470000000001</v>
      </c>
      <c r="J268" s="1">
        <v>26.0675</v>
      </c>
      <c r="K268" s="1" t="s">
        <v>861</v>
      </c>
      <c r="L268" s="1" t="s">
        <v>866</v>
      </c>
      <c r="M268" s="1" t="s">
        <v>874</v>
      </c>
      <c r="N268" s="2">
        <f>HYPERLINK("https://tidesandcurrents.noaa.gov/datums.html?datum=MLLW&amp;units=0&amp;epoch=0&amp;id=8779749", "Datum Info")</f>
        <v>0</v>
      </c>
      <c r="O268" s="1" t="s">
        <v>886</v>
      </c>
      <c r="P268" s="1">
        <v>1.47</v>
      </c>
      <c r="Q268" s="1">
        <v>1.41</v>
      </c>
      <c r="R268" s="1">
        <v>0.79</v>
      </c>
      <c r="S268" s="1">
        <v>0.87</v>
      </c>
      <c r="T268" s="1">
        <v>0.74</v>
      </c>
      <c r="U268" s="1">
        <v>0.17</v>
      </c>
      <c r="V268" s="1">
        <v>0</v>
      </c>
      <c r="W268" s="1">
        <v>1.23</v>
      </c>
      <c r="X268" s="1">
        <v>-24.24</v>
      </c>
      <c r="Y268" s="1" t="s">
        <v>1087</v>
      </c>
      <c r="Z268" s="1" t="s">
        <v>1477</v>
      </c>
    </row>
    <row r="269" spans="1:38">
      <c r="A269" s="1" t="s">
        <v>293</v>
      </c>
      <c r="B269" s="1" t="s">
        <v>624</v>
      </c>
      <c r="C269" s="1" t="s">
        <v>648</v>
      </c>
      <c r="D269" s="1" t="s">
        <v>654</v>
      </c>
      <c r="H269" s="1">
        <f>HYPERLINK("https://tidesandcurrents.noaa.gov/stationhome.html?id=8779750", "8779750")</f>
        <v>0</v>
      </c>
      <c r="I269" s="1">
        <v>-97.1567</v>
      </c>
      <c r="J269" s="1">
        <v>26.0683</v>
      </c>
      <c r="K269" s="1" t="s">
        <v>861</v>
      </c>
      <c r="L269" s="1" t="s">
        <v>866</v>
      </c>
      <c r="M269" s="1" t="s">
        <v>874</v>
      </c>
      <c r="N269" s="2">
        <f>HYPERLINK("https://tidesandcurrents.noaa.gov/datums.html?datum=MLLW&amp;units=0&amp;epoch=0&amp;id=8779750", "Datum Info")</f>
        <v>0</v>
      </c>
      <c r="O269" s="1" t="s">
        <v>886</v>
      </c>
      <c r="P269" s="1">
        <v>1.48</v>
      </c>
      <c r="Q269" s="1">
        <v>1.42</v>
      </c>
      <c r="R269" s="1">
        <v>0.79</v>
      </c>
      <c r="S269" s="1">
        <v>0.88</v>
      </c>
      <c r="T269" s="1">
        <v>0.74</v>
      </c>
      <c r="U269" s="1">
        <v>0.17</v>
      </c>
      <c r="V269" s="1">
        <v>0</v>
      </c>
      <c r="W269" s="1">
        <v>0.9</v>
      </c>
      <c r="X269" s="1">
        <v>-1.9</v>
      </c>
      <c r="Y269" s="1" t="s">
        <v>1210</v>
      </c>
      <c r="Z269" s="1" t="s">
        <v>1478</v>
      </c>
    </row>
    <row r="270" spans="1:38">
      <c r="A270" s="1" t="s">
        <v>294</v>
      </c>
      <c r="B270" s="1" t="s">
        <v>624</v>
      </c>
      <c r="D270" s="1" t="s">
        <v>654</v>
      </c>
      <c r="E270" s="1" t="s">
        <v>742</v>
      </c>
      <c r="F270" s="1" t="s">
        <v>846</v>
      </c>
      <c r="G270" s="1" t="s">
        <v>856</v>
      </c>
      <c r="H270" s="1">
        <f>HYPERLINK("https://tidesandcurrents.noaa.gov/stationhome.html?id=8779770", "8779770")</f>
        <v>0</v>
      </c>
      <c r="I270" s="1">
        <v>-97.21550000000001</v>
      </c>
      <c r="J270" s="1">
        <v>26.06117</v>
      </c>
      <c r="K270" s="1" t="s">
        <v>861</v>
      </c>
      <c r="L270" s="1" t="s">
        <v>866</v>
      </c>
      <c r="M270" s="1" t="s">
        <v>874</v>
      </c>
      <c r="N270" s="2">
        <f>HYPERLINK("https://tidesandcurrents.noaa.gov/datums.html?datum=MLLW&amp;units=0&amp;epoch=0&amp;id=8779770", "Datum Info")</f>
        <v>0</v>
      </c>
      <c r="O270" s="1" t="s">
        <v>886</v>
      </c>
      <c r="P270" s="1">
        <v>1.37</v>
      </c>
      <c r="Q270" s="1">
        <v>1.31</v>
      </c>
      <c r="R270" s="1">
        <v>0.73</v>
      </c>
      <c r="S270" s="1">
        <v>0.8100000000000001</v>
      </c>
      <c r="T270" s="1">
        <v>0.68</v>
      </c>
      <c r="U270" s="1">
        <v>0.16</v>
      </c>
      <c r="V270" s="1">
        <v>0</v>
      </c>
      <c r="W270" s="1">
        <v>0.85</v>
      </c>
      <c r="X270" s="1">
        <v>-3.86</v>
      </c>
      <c r="Y270" s="1" t="s">
        <v>1211</v>
      </c>
      <c r="Z270" s="1" t="s">
        <v>1479</v>
      </c>
    </row>
    <row r="271" spans="1:38">
      <c r="A271" s="1" t="s">
        <v>295</v>
      </c>
      <c r="B271" s="1" t="s">
        <v>624</v>
      </c>
      <c r="D271" s="1" t="s">
        <v>654</v>
      </c>
      <c r="H271" s="1" t="s">
        <v>859</v>
      </c>
      <c r="I271" s="1">
        <v>-97.33029999999999</v>
      </c>
      <c r="J271" s="1">
        <v>26.3616</v>
      </c>
      <c r="K271" s="1" t="s">
        <v>861</v>
      </c>
      <c r="L271" s="1" t="s">
        <v>859</v>
      </c>
      <c r="M271" s="1" t="s">
        <v>874</v>
      </c>
    </row>
    <row r="272" spans="1:38">
      <c r="A272" s="1" t="s">
        <v>296</v>
      </c>
      <c r="B272" s="1" t="s">
        <v>624</v>
      </c>
      <c r="D272" s="1" t="s">
        <v>654</v>
      </c>
      <c r="H272" s="1" t="s">
        <v>859</v>
      </c>
      <c r="I272" s="1">
        <v>-97.26860000000001</v>
      </c>
      <c r="J272" s="1">
        <v>26.5639</v>
      </c>
      <c r="K272" s="1" t="s">
        <v>861</v>
      </c>
      <c r="L272" s="1" t="s">
        <v>859</v>
      </c>
      <c r="M272" s="1" t="s">
        <v>874</v>
      </c>
    </row>
    <row r="273" spans="1:26">
      <c r="A273" s="1" t="s">
        <v>297</v>
      </c>
      <c r="B273" s="1" t="s">
        <v>624</v>
      </c>
      <c r="D273" s="1" t="s">
        <v>654</v>
      </c>
      <c r="E273" s="1" t="s">
        <v>742</v>
      </c>
      <c r="F273" s="1" t="s">
        <v>846</v>
      </c>
      <c r="G273" s="1" t="s">
        <v>856</v>
      </c>
      <c r="H273" s="1" t="s">
        <v>859</v>
      </c>
      <c r="I273" s="1">
        <v>-97.14709999999999</v>
      </c>
      <c r="J273" s="1">
        <v>25.9568</v>
      </c>
      <c r="K273" s="1" t="s">
        <v>861</v>
      </c>
      <c r="L273" s="1" t="s">
        <v>859</v>
      </c>
      <c r="M273" s="1" t="s">
        <v>874</v>
      </c>
    </row>
    <row r="274" spans="1:26">
      <c r="A274" s="1" t="s">
        <v>298</v>
      </c>
      <c r="B274" s="1" t="s">
        <v>624</v>
      </c>
      <c r="C274" s="1" t="s">
        <v>648</v>
      </c>
      <c r="D274" s="1" t="s">
        <v>654</v>
      </c>
      <c r="E274" s="1" t="s">
        <v>742</v>
      </c>
      <c r="F274" s="1" t="s">
        <v>846</v>
      </c>
      <c r="G274" s="1" t="s">
        <v>856</v>
      </c>
      <c r="H274" s="1" t="s">
        <v>859</v>
      </c>
      <c r="I274" s="1">
        <v>-97.194</v>
      </c>
      <c r="J274" s="1">
        <v>25.979</v>
      </c>
      <c r="K274" s="1" t="s">
        <v>861</v>
      </c>
      <c r="L274" s="1" t="s">
        <v>859</v>
      </c>
      <c r="M274" s="1" t="s">
        <v>874</v>
      </c>
    </row>
    <row r="275" spans="1:26">
      <c r="A275" s="1" t="s">
        <v>299</v>
      </c>
      <c r="B275" s="1" t="s">
        <v>625</v>
      </c>
      <c r="D275" s="1" t="s">
        <v>654</v>
      </c>
      <c r="H275" s="1">
        <f>HYPERLINK("https://tidesandcurrents.noaa.gov/stationhome.html?id=8773037", "8773037")</f>
        <v>0</v>
      </c>
      <c r="I275" s="1">
        <v>-96.7124</v>
      </c>
      <c r="J275" s="1">
        <v>28.4069</v>
      </c>
      <c r="K275" s="1" t="s">
        <v>860</v>
      </c>
      <c r="L275" s="1" t="s">
        <v>866</v>
      </c>
      <c r="M275" s="1" t="s">
        <v>874</v>
      </c>
      <c r="N275" s="2">
        <f>HYPERLINK("https://tidesandcurrents.noaa.gov/datums.html?datum=MLLW&amp;units=0&amp;epoch=0&amp;id=8773037", "Datum Info")</f>
        <v>0</v>
      </c>
      <c r="O275" s="1" t="s">
        <v>886</v>
      </c>
      <c r="P275" s="1">
        <v>0.35</v>
      </c>
      <c r="Q275" s="1">
        <v>0.35</v>
      </c>
      <c r="R275" s="1">
        <v>0.18</v>
      </c>
      <c r="S275" s="1">
        <v>0.19</v>
      </c>
      <c r="T275" s="1">
        <v>0.17</v>
      </c>
      <c r="U275" s="1">
        <v>0.02</v>
      </c>
      <c r="V275" s="1">
        <v>0</v>
      </c>
      <c r="W275" s="1">
        <v>-0.99</v>
      </c>
      <c r="X275" s="1">
        <v>-1.28</v>
      </c>
      <c r="Y275" s="1" t="s">
        <v>1212</v>
      </c>
      <c r="Z275" s="1" t="s">
        <v>1480</v>
      </c>
    </row>
    <row r="276" spans="1:26">
      <c r="A276" s="1" t="s">
        <v>300</v>
      </c>
      <c r="B276" s="1" t="s">
        <v>625</v>
      </c>
      <c r="D276" s="1" t="s">
        <v>654</v>
      </c>
      <c r="H276" s="1">
        <f>HYPERLINK("https://tidesandcurrents.noaa.gov/stationhome.html?id=8774230", "8774230")</f>
        <v>0</v>
      </c>
      <c r="I276" s="1">
        <v>-96.795</v>
      </c>
      <c r="J276" s="1">
        <v>28.2283</v>
      </c>
      <c r="K276" s="1" t="s">
        <v>861</v>
      </c>
      <c r="L276" s="1" t="s">
        <v>866</v>
      </c>
      <c r="M276" s="1" t="s">
        <v>874</v>
      </c>
      <c r="N276" s="2">
        <f>HYPERLINK("https://tidesandcurrents.noaa.gov/datums.html?datum=MLLW&amp;units=0&amp;epoch=0&amp;id=8774230", "Datum Info")</f>
        <v>0</v>
      </c>
      <c r="O276" s="1" t="s">
        <v>886</v>
      </c>
      <c r="P276" s="1">
        <v>0.33</v>
      </c>
      <c r="Q276" s="1">
        <v>0.33</v>
      </c>
      <c r="R276" s="1">
        <v>0.17</v>
      </c>
      <c r="S276" s="1">
        <v>0.17</v>
      </c>
      <c r="T276" s="1">
        <v>0.17</v>
      </c>
      <c r="U276" s="1">
        <v>0</v>
      </c>
      <c r="V276" s="1">
        <v>0</v>
      </c>
      <c r="W276" s="1">
        <v>-0.95</v>
      </c>
      <c r="X276" s="1">
        <v>-28.95</v>
      </c>
      <c r="Y276" s="1" t="s">
        <v>1213</v>
      </c>
      <c r="Z276" s="1" t="s">
        <v>1481</v>
      </c>
    </row>
    <row r="277" spans="1:26">
      <c r="A277" s="1" t="s">
        <v>301</v>
      </c>
      <c r="B277" s="1" t="s">
        <v>625</v>
      </c>
      <c r="D277" s="1" t="s">
        <v>654</v>
      </c>
      <c r="H277" s="1">
        <f>HYPERLINK("https://tidesandcurrents.noaa.gov/stationhome.html?id=8774513", "8774513")</f>
        <v>0</v>
      </c>
      <c r="I277" s="1">
        <v>-97.0244</v>
      </c>
      <c r="J277" s="1">
        <v>28.114</v>
      </c>
      <c r="K277" s="1" t="s">
        <v>860</v>
      </c>
      <c r="L277" s="1" t="s">
        <v>866</v>
      </c>
      <c r="M277" s="1" t="s">
        <v>874</v>
      </c>
      <c r="N277" s="2">
        <f>HYPERLINK("https://tidesandcurrents.noaa.gov/datums.html?datum=MLLW&amp;units=0&amp;epoch=0&amp;id=8774513", "Datum Info")</f>
        <v>0</v>
      </c>
      <c r="O277" s="1" t="s">
        <v>886</v>
      </c>
      <c r="P277" s="1">
        <v>0.39</v>
      </c>
      <c r="Q277" s="1">
        <v>0.39</v>
      </c>
      <c r="R277" s="1">
        <v>0.19</v>
      </c>
      <c r="S277" s="1">
        <v>0.21</v>
      </c>
      <c r="T277" s="1">
        <v>0.2</v>
      </c>
      <c r="U277" s="1">
        <v>0</v>
      </c>
      <c r="V277" s="1">
        <v>0</v>
      </c>
      <c r="W277" s="1">
        <v>-0.63</v>
      </c>
      <c r="X277" s="1">
        <v>-5.21</v>
      </c>
      <c r="Y277" s="1" t="s">
        <v>1214</v>
      </c>
      <c r="Z277" s="1" t="s">
        <v>1480</v>
      </c>
    </row>
    <row r="278" spans="1:26">
      <c r="A278" s="1" t="s">
        <v>302</v>
      </c>
      <c r="B278" s="1" t="s">
        <v>625</v>
      </c>
      <c r="D278" s="1" t="s">
        <v>654</v>
      </c>
      <c r="H278" s="1">
        <f>HYPERLINK("https://tidesandcurrents.noaa.gov/stationhome.html?id=8774770", "8774770")</f>
        <v>0</v>
      </c>
      <c r="I278" s="1">
        <v>-97.0467</v>
      </c>
      <c r="J278" s="1">
        <v>28.0217</v>
      </c>
      <c r="K278" s="1" t="s">
        <v>860</v>
      </c>
      <c r="L278" s="1" t="s">
        <v>866</v>
      </c>
      <c r="M278" s="1" t="s">
        <v>874</v>
      </c>
      <c r="N278" s="2">
        <f>HYPERLINK("https://tidesandcurrents.noaa.gov/datums.html?datum=MLLW&amp;units=0&amp;epoch=0&amp;id=8774770", "Datum Info")</f>
        <v>0</v>
      </c>
      <c r="O278" s="1" t="s">
        <v>886</v>
      </c>
      <c r="P278" s="1">
        <v>0.37</v>
      </c>
      <c r="Q278" s="1">
        <v>0.36</v>
      </c>
      <c r="R278" s="1">
        <v>0.18</v>
      </c>
      <c r="S278" s="1">
        <v>0.19</v>
      </c>
      <c r="T278" s="1">
        <v>0.18</v>
      </c>
      <c r="U278" s="1">
        <v>0.01</v>
      </c>
      <c r="V278" s="1">
        <v>0</v>
      </c>
      <c r="W278" s="1">
        <v>-0.93</v>
      </c>
      <c r="X278" s="1">
        <v>-6.45</v>
      </c>
      <c r="Y278" s="1" t="s">
        <v>1215</v>
      </c>
      <c r="Z278" s="1" t="s">
        <v>1088</v>
      </c>
    </row>
    <row r="279" spans="1:26">
      <c r="A279" s="1" t="s">
        <v>303</v>
      </c>
      <c r="B279" s="1" t="s">
        <v>625</v>
      </c>
      <c r="C279" s="1" t="s">
        <v>648</v>
      </c>
      <c r="D279" s="1" t="s">
        <v>654</v>
      </c>
      <c r="H279" s="1">
        <f>HYPERLINK("https://tidesandcurrents.noaa.gov/stationhome.html?id=8775237", "8775237")</f>
        <v>0</v>
      </c>
      <c r="I279" s="1">
        <v>-97.07250000000001</v>
      </c>
      <c r="J279" s="1">
        <v>27.8397</v>
      </c>
      <c r="K279" s="1" t="s">
        <v>860</v>
      </c>
      <c r="L279" s="1" t="s">
        <v>866</v>
      </c>
      <c r="M279" s="1" t="s">
        <v>874</v>
      </c>
      <c r="N279" s="2">
        <f>HYPERLINK("https://tidesandcurrents.noaa.gov/datums.html?datum=MLLW&amp;units=0&amp;epoch=0&amp;id=8775237", "Datum Info")</f>
        <v>0</v>
      </c>
      <c r="O279" s="1" t="s">
        <v>886</v>
      </c>
      <c r="P279" s="1">
        <v>1.04</v>
      </c>
      <c r="Q279" s="1">
        <v>1.01</v>
      </c>
      <c r="R279" s="1">
        <v>0.57</v>
      </c>
      <c r="S279" s="1">
        <v>0.65</v>
      </c>
      <c r="T279" s="1">
        <v>0.52</v>
      </c>
      <c r="U279" s="1">
        <v>0.12</v>
      </c>
      <c r="V279" s="1">
        <v>0</v>
      </c>
      <c r="W279" s="1">
        <v>0.15</v>
      </c>
      <c r="X279" s="1">
        <v>-4.61</v>
      </c>
      <c r="Y279" s="1" t="s">
        <v>1216</v>
      </c>
      <c r="Z279" s="1" t="s">
        <v>1482</v>
      </c>
    </row>
    <row r="280" spans="1:26">
      <c r="A280" s="1" t="s">
        <v>304</v>
      </c>
      <c r="B280" s="1" t="s">
        <v>625</v>
      </c>
      <c r="D280" s="1" t="s">
        <v>654</v>
      </c>
      <c r="H280" s="1">
        <f>HYPERLINK("https://tidesandcurrents.noaa.gov/stationhome.html?id=8775241", "8775241")</f>
        <v>0</v>
      </c>
      <c r="I280" s="1">
        <v>-97.0391</v>
      </c>
      <c r="J280" s="1">
        <v>27.8366</v>
      </c>
      <c r="K280" s="1" t="s">
        <v>860</v>
      </c>
      <c r="L280" s="1" t="s">
        <v>866</v>
      </c>
      <c r="M280" s="1" t="s">
        <v>874</v>
      </c>
      <c r="N280" s="2">
        <f>HYPERLINK("https://tidesandcurrents.noaa.gov/datums.html?datum=MLLW&amp;units=0&amp;epoch=0&amp;id=8775241", "Datum Info")</f>
        <v>0</v>
      </c>
      <c r="O280" s="1" t="s">
        <v>886</v>
      </c>
      <c r="P280" s="1">
        <v>1.37</v>
      </c>
      <c r="Q280" s="1">
        <v>1.32</v>
      </c>
      <c r="R280" s="1">
        <v>0.76</v>
      </c>
      <c r="S280" s="1">
        <v>0.83</v>
      </c>
      <c r="T280" s="1">
        <v>0.68</v>
      </c>
      <c r="U280" s="1">
        <v>0.21</v>
      </c>
      <c r="V280" s="1">
        <v>0</v>
      </c>
      <c r="W280" s="1">
        <v>0.65</v>
      </c>
      <c r="X280" s="1">
        <v>-24.09</v>
      </c>
      <c r="Y280" s="1" t="s">
        <v>1217</v>
      </c>
      <c r="Z280" s="1" t="s">
        <v>1483</v>
      </c>
    </row>
    <row r="281" spans="1:26">
      <c r="A281" s="1" t="s">
        <v>305</v>
      </c>
      <c r="B281" s="1" t="s">
        <v>625</v>
      </c>
      <c r="D281" s="1" t="s">
        <v>654</v>
      </c>
      <c r="H281" s="1">
        <f>HYPERLINK("https://tidesandcurrents.noaa.gov/stationhome.html?id=8775244", "8775244")</f>
        <v>0</v>
      </c>
      <c r="I281" s="1">
        <v>-97.4859</v>
      </c>
      <c r="J281" s="1">
        <v>27.83275</v>
      </c>
      <c r="K281" s="1" t="s">
        <v>860</v>
      </c>
      <c r="L281" s="1" t="s">
        <v>866</v>
      </c>
      <c r="M281" s="1" t="s">
        <v>874</v>
      </c>
      <c r="N281" s="2">
        <f>HYPERLINK("https://tidesandcurrents.noaa.gov/datums.html?datum=MLLW&amp;units=0&amp;epoch=0&amp;id=8775244", "Datum Info")</f>
        <v>0</v>
      </c>
      <c r="O281" s="1" t="s">
        <v>886</v>
      </c>
      <c r="P281" s="1">
        <v>0.7</v>
      </c>
      <c r="Q281" s="1">
        <v>0.68</v>
      </c>
      <c r="R281" s="1">
        <v>0.35</v>
      </c>
      <c r="S281" s="1">
        <v>0.38</v>
      </c>
      <c r="T281" s="1">
        <v>0.35</v>
      </c>
      <c r="U281" s="1">
        <v>0.03</v>
      </c>
      <c r="V281" s="1">
        <v>0</v>
      </c>
      <c r="W281" s="1">
        <v>-0.57</v>
      </c>
      <c r="X281" s="1">
        <v>-24.49</v>
      </c>
      <c r="Y281" s="1" t="s">
        <v>1218</v>
      </c>
      <c r="Z281" s="1" t="s">
        <v>1221</v>
      </c>
    </row>
    <row r="282" spans="1:26">
      <c r="A282" s="1" t="s">
        <v>306</v>
      </c>
      <c r="B282" s="1" t="s">
        <v>625</v>
      </c>
      <c r="D282" s="1" t="s">
        <v>654</v>
      </c>
      <c r="H282" s="1">
        <f>HYPERLINK("https://tidesandcurrents.noaa.gov/stationhome.html?id=8775270", "8775270")</f>
        <v>0</v>
      </c>
      <c r="I282" s="1">
        <v>-97.05</v>
      </c>
      <c r="J282" s="1">
        <v>27.8267</v>
      </c>
      <c r="K282" s="1" t="s">
        <v>861</v>
      </c>
      <c r="L282" s="1" t="s">
        <v>866</v>
      </c>
      <c r="M282" s="1" t="s">
        <v>874</v>
      </c>
      <c r="N282" s="2">
        <f>HYPERLINK("https://tidesandcurrents.noaa.gov/datums.html?datum=MLLW&amp;units=0&amp;epoch=0&amp;id=8775270", "Datum Info")</f>
        <v>0</v>
      </c>
      <c r="O282" s="1" t="s">
        <v>886</v>
      </c>
      <c r="P282" s="1">
        <v>1.63</v>
      </c>
      <c r="Q282" s="1">
        <v>1.52</v>
      </c>
      <c r="R282" s="1">
        <v>0.87</v>
      </c>
      <c r="S282" s="1">
        <v>0.92</v>
      </c>
      <c r="T282" s="1">
        <v>0.82</v>
      </c>
      <c r="U282" s="1">
        <v>0.22</v>
      </c>
      <c r="V282" s="1">
        <v>0</v>
      </c>
      <c r="W282" s="1">
        <v>0.52</v>
      </c>
      <c r="X282" s="1">
        <v>-4.2</v>
      </c>
      <c r="Y282" s="1" t="s">
        <v>1219</v>
      </c>
      <c r="Z282" s="1" t="s">
        <v>1484</v>
      </c>
    </row>
    <row r="283" spans="1:26">
      <c r="A283" s="1" t="s">
        <v>307</v>
      </c>
      <c r="B283" s="1" t="s">
        <v>625</v>
      </c>
      <c r="C283" s="1" t="s">
        <v>648</v>
      </c>
      <c r="D283" s="1" t="s">
        <v>654</v>
      </c>
      <c r="E283" s="1" t="s">
        <v>743</v>
      </c>
      <c r="F283" s="1" t="s">
        <v>846</v>
      </c>
      <c r="G283" s="1" t="s">
        <v>856</v>
      </c>
      <c r="H283" s="1">
        <f>HYPERLINK("https://tidesandcurrents.noaa.gov/stationhome.html?id=8775283", "8775283")</f>
        <v>0</v>
      </c>
      <c r="I283" s="1">
        <v>-97.2033</v>
      </c>
      <c r="J283" s="1">
        <v>27.8217</v>
      </c>
      <c r="K283" s="1" t="s">
        <v>861</v>
      </c>
      <c r="L283" s="1" t="s">
        <v>866</v>
      </c>
      <c r="M283" s="1" t="s">
        <v>874</v>
      </c>
      <c r="N283" s="2">
        <f>HYPERLINK("https://tidesandcurrents.noaa.gov/datums.html?datum=MLLW&amp;units=0&amp;epoch=0&amp;id=8775283", "Datum Info")</f>
        <v>0</v>
      </c>
      <c r="O283" s="1" t="s">
        <v>886</v>
      </c>
      <c r="P283" s="1">
        <v>0.59</v>
      </c>
      <c r="Q283" s="1">
        <v>0.57</v>
      </c>
      <c r="R283" s="1">
        <v>0.3</v>
      </c>
      <c r="S283" s="1">
        <v>0.33</v>
      </c>
      <c r="T283" s="1">
        <v>0.3</v>
      </c>
      <c r="U283" s="1">
        <v>0.02</v>
      </c>
      <c r="V283" s="1">
        <v>0</v>
      </c>
      <c r="W283" s="1" t="s">
        <v>1020</v>
      </c>
      <c r="X283" s="1">
        <v>-19.93</v>
      </c>
      <c r="Y283" s="1" t="s">
        <v>1220</v>
      </c>
      <c r="Z283" s="1" t="s">
        <v>1485</v>
      </c>
    </row>
    <row r="284" spans="1:26">
      <c r="A284" s="1" t="s">
        <v>308</v>
      </c>
      <c r="B284" s="1" t="s">
        <v>625</v>
      </c>
      <c r="D284" s="1" t="s">
        <v>654</v>
      </c>
      <c r="H284" s="1">
        <f>HYPERLINK("https://tidesandcurrents.noaa.gov/stationhome.html?id=8775296", "8775296")</f>
        <v>0</v>
      </c>
      <c r="I284" s="1">
        <v>-97.39</v>
      </c>
      <c r="J284" s="1">
        <v>27.81169</v>
      </c>
      <c r="K284" s="1" t="s">
        <v>860</v>
      </c>
      <c r="L284" s="1" t="s">
        <v>866</v>
      </c>
      <c r="M284" s="1" t="s">
        <v>874</v>
      </c>
      <c r="N284" s="2">
        <f>HYPERLINK("https://tidesandcurrents.noaa.gov/datums.html?datum=MLLW&amp;units=0&amp;epoch=0&amp;id=8775296", "Datum Info")</f>
        <v>0</v>
      </c>
      <c r="O284" s="1" t="s">
        <v>886</v>
      </c>
      <c r="P284" s="1">
        <v>0.6</v>
      </c>
      <c r="Q284" s="1">
        <v>0.59</v>
      </c>
      <c r="R284" s="1">
        <v>0.3</v>
      </c>
      <c r="S284" s="1">
        <v>0.34</v>
      </c>
      <c r="T284" s="1">
        <v>0.3</v>
      </c>
      <c r="U284" s="1">
        <v>0.01</v>
      </c>
      <c r="V284" s="1">
        <v>0</v>
      </c>
      <c r="W284" s="1">
        <v>-0.42</v>
      </c>
      <c r="X284" s="1">
        <v>-4.62</v>
      </c>
      <c r="Y284" s="1" t="s">
        <v>1221</v>
      </c>
      <c r="Z284" s="1" t="s">
        <v>1486</v>
      </c>
    </row>
    <row r="285" spans="1:26">
      <c r="A285" s="1" t="s">
        <v>309</v>
      </c>
      <c r="B285" s="1" t="s">
        <v>625</v>
      </c>
      <c r="D285" s="1" t="s">
        <v>654</v>
      </c>
      <c r="H285" s="1">
        <f>HYPERLINK("https://tidesandcurrents.noaa.gov/stationhome.html?id=8775792", "8775792")</f>
        <v>0</v>
      </c>
      <c r="I285" s="1">
        <v>-97.2367</v>
      </c>
      <c r="J285" s="1">
        <v>27.63331</v>
      </c>
      <c r="K285" s="1" t="s">
        <v>860</v>
      </c>
      <c r="L285" s="1" t="s">
        <v>866</v>
      </c>
      <c r="M285" s="1" t="s">
        <v>874</v>
      </c>
      <c r="N285" s="2">
        <f>HYPERLINK("https://tidesandcurrents.noaa.gov/datums.html?datum=MLLW&amp;units=0&amp;epoch=0&amp;id=8775792", "Datum Info")</f>
        <v>0</v>
      </c>
      <c r="O285" s="1" t="s">
        <v>886</v>
      </c>
      <c r="P285" s="1">
        <v>0.42</v>
      </c>
      <c r="Q285" s="1">
        <v>0.42</v>
      </c>
      <c r="R285" s="1">
        <v>0.21</v>
      </c>
      <c r="S285" s="1">
        <v>0.22</v>
      </c>
      <c r="T285" s="1">
        <v>0.21</v>
      </c>
      <c r="U285" s="1">
        <v>-0.01</v>
      </c>
      <c r="V285" s="1">
        <v>0</v>
      </c>
      <c r="W285" s="1">
        <v>-0.37</v>
      </c>
      <c r="X285" s="1">
        <v>-2.84</v>
      </c>
      <c r="Y285" s="1" t="s">
        <v>1222</v>
      </c>
      <c r="Z285" s="1" t="s">
        <v>1487</v>
      </c>
    </row>
    <row r="286" spans="1:26">
      <c r="A286" s="1" t="s">
        <v>310</v>
      </c>
      <c r="B286" s="1" t="s">
        <v>625</v>
      </c>
      <c r="D286" s="1" t="s">
        <v>654</v>
      </c>
      <c r="H286" s="1" t="s">
        <v>859</v>
      </c>
      <c r="I286" s="1">
        <v>-97.4284</v>
      </c>
      <c r="J286" s="1">
        <v>27.289</v>
      </c>
      <c r="K286" s="1" t="s">
        <v>861</v>
      </c>
      <c r="L286" s="1" t="s">
        <v>859</v>
      </c>
      <c r="M286" s="1" t="s">
        <v>874</v>
      </c>
    </row>
    <row r="287" spans="1:26">
      <c r="A287" s="1" t="s">
        <v>311</v>
      </c>
      <c r="B287" s="1" t="s">
        <v>626</v>
      </c>
      <c r="C287" s="1" t="s">
        <v>648</v>
      </c>
      <c r="D287" s="1" t="s">
        <v>654</v>
      </c>
      <c r="E287" s="1" t="s">
        <v>744</v>
      </c>
      <c r="F287" s="1" t="s">
        <v>846</v>
      </c>
      <c r="G287" s="1" t="s">
        <v>856</v>
      </c>
      <c r="H287" s="1">
        <v>110</v>
      </c>
      <c r="I287" s="1">
        <v>-95.1211</v>
      </c>
      <c r="J287" s="1">
        <v>29.5114</v>
      </c>
      <c r="K287" s="1" t="s">
        <v>861</v>
      </c>
      <c r="L287" s="1" t="s">
        <v>868</v>
      </c>
      <c r="M287" s="1" t="s">
        <v>874</v>
      </c>
    </row>
    <row r="288" spans="1:26">
      <c r="A288" s="1" t="s">
        <v>312</v>
      </c>
      <c r="B288" s="1" t="s">
        <v>626</v>
      </c>
      <c r="C288" s="1" t="s">
        <v>648</v>
      </c>
      <c r="D288" s="1" t="s">
        <v>654</v>
      </c>
      <c r="E288" s="1" t="s">
        <v>744</v>
      </c>
      <c r="F288" s="1" t="s">
        <v>846</v>
      </c>
      <c r="G288" s="1" t="s">
        <v>856</v>
      </c>
      <c r="H288" s="1">
        <v>710</v>
      </c>
      <c r="I288" s="1">
        <v>-95.07769</v>
      </c>
      <c r="J288" s="1">
        <v>29.82904</v>
      </c>
      <c r="K288" s="1" t="s">
        <v>861</v>
      </c>
      <c r="L288" s="1" t="s">
        <v>868</v>
      </c>
      <c r="M288" s="1" t="s">
        <v>874</v>
      </c>
    </row>
    <row r="289" spans="1:26">
      <c r="A289" s="1" t="s">
        <v>313</v>
      </c>
      <c r="B289" s="1" t="s">
        <v>626</v>
      </c>
      <c r="C289" s="1" t="s">
        <v>648</v>
      </c>
      <c r="D289" s="1" t="s">
        <v>654</v>
      </c>
      <c r="E289" s="1" t="s">
        <v>744</v>
      </c>
      <c r="F289" s="1" t="s">
        <v>846</v>
      </c>
      <c r="G289" s="1" t="s">
        <v>856</v>
      </c>
      <c r="H289" s="1">
        <v>820</v>
      </c>
      <c r="I289" s="1">
        <v>-95.22795000000001</v>
      </c>
      <c r="J289" s="1">
        <v>29.77162</v>
      </c>
      <c r="K289" s="1" t="s">
        <v>861</v>
      </c>
      <c r="L289" s="1" t="s">
        <v>868</v>
      </c>
      <c r="M289" s="1" t="s">
        <v>874</v>
      </c>
    </row>
    <row r="290" spans="1:26">
      <c r="A290" s="1" t="s">
        <v>314</v>
      </c>
      <c r="B290" s="1" t="s">
        <v>626</v>
      </c>
      <c r="C290" s="1" t="s">
        <v>648</v>
      </c>
      <c r="D290" s="1" t="s">
        <v>654</v>
      </c>
      <c r="E290" s="1" t="s">
        <v>744</v>
      </c>
      <c r="F290" s="1" t="s">
        <v>846</v>
      </c>
      <c r="G290" s="1" t="s">
        <v>856</v>
      </c>
      <c r="H290" s="1">
        <v>940</v>
      </c>
      <c r="I290" s="1">
        <v>-95.20014</v>
      </c>
      <c r="J290" s="1">
        <v>29.70549</v>
      </c>
      <c r="K290" s="1" t="s">
        <v>861</v>
      </c>
      <c r="L290" s="1" t="s">
        <v>868</v>
      </c>
      <c r="M290" s="1" t="s">
        <v>874</v>
      </c>
    </row>
    <row r="291" spans="1:26">
      <c r="A291" s="1" t="s">
        <v>315</v>
      </c>
      <c r="B291" s="1" t="s">
        <v>626</v>
      </c>
      <c r="C291" s="1" t="s">
        <v>648</v>
      </c>
      <c r="D291" s="1" t="s">
        <v>654</v>
      </c>
      <c r="E291" s="1" t="s">
        <v>744</v>
      </c>
      <c r="F291" s="1" t="s">
        <v>846</v>
      </c>
      <c r="G291" s="1" t="s">
        <v>856</v>
      </c>
      <c r="H291" s="1">
        <v>1420</v>
      </c>
      <c r="I291" s="1">
        <v>-95.14901999999999</v>
      </c>
      <c r="J291" s="1">
        <v>29.77154</v>
      </c>
      <c r="K291" s="1" t="s">
        <v>861</v>
      </c>
      <c r="L291" s="1" t="s">
        <v>868</v>
      </c>
      <c r="M291" s="1" t="s">
        <v>874</v>
      </c>
    </row>
    <row r="292" spans="1:26">
      <c r="A292" s="1" t="s">
        <v>316</v>
      </c>
      <c r="B292" s="1" t="s">
        <v>626</v>
      </c>
      <c r="C292" s="1" t="s">
        <v>648</v>
      </c>
      <c r="D292" s="1" t="s">
        <v>654</v>
      </c>
      <c r="E292" s="1" t="s">
        <v>744</v>
      </c>
      <c r="F292" s="1" t="s">
        <v>846</v>
      </c>
      <c r="G292" s="1" t="s">
        <v>856</v>
      </c>
      <c r="H292" s="1">
        <v>1520</v>
      </c>
      <c r="I292" s="1">
        <v>-94.99051</v>
      </c>
      <c r="J292" s="1">
        <v>29.71345</v>
      </c>
      <c r="K292" s="1" t="s">
        <v>861</v>
      </c>
      <c r="L292" s="1" t="s">
        <v>868</v>
      </c>
      <c r="M292" s="1" t="s">
        <v>874</v>
      </c>
    </row>
    <row r="293" spans="1:26">
      <c r="A293" s="1" t="s">
        <v>317</v>
      </c>
      <c r="B293" s="1" t="s">
        <v>626</v>
      </c>
      <c r="C293" s="1" t="s">
        <v>648</v>
      </c>
      <c r="D293" s="1" t="s">
        <v>654</v>
      </c>
      <c r="E293" s="1" t="s">
        <v>744</v>
      </c>
      <c r="F293" s="1" t="s">
        <v>846</v>
      </c>
      <c r="G293" s="1" t="s">
        <v>856</v>
      </c>
      <c r="H293" s="1">
        <v>1610</v>
      </c>
      <c r="I293" s="1">
        <v>-95.20645</v>
      </c>
      <c r="J293" s="1">
        <v>29.77602</v>
      </c>
      <c r="K293" s="1" t="s">
        <v>861</v>
      </c>
      <c r="L293" s="1" t="s">
        <v>868</v>
      </c>
      <c r="M293" s="1" t="s">
        <v>874</v>
      </c>
    </row>
    <row r="294" spans="1:26">
      <c r="A294" s="1" t="s">
        <v>318</v>
      </c>
      <c r="B294" s="1" t="s">
        <v>626</v>
      </c>
      <c r="C294" s="1" t="s">
        <v>648</v>
      </c>
      <c r="D294" s="1" t="s">
        <v>654</v>
      </c>
      <c r="E294" s="1" t="s">
        <v>744</v>
      </c>
      <c r="F294" s="1" t="s">
        <v>846</v>
      </c>
      <c r="G294" s="1" t="s">
        <v>856</v>
      </c>
      <c r="H294" s="1">
        <v>2200</v>
      </c>
      <c r="I294" s="1">
        <v>-95.08172</v>
      </c>
      <c r="J294" s="1">
        <v>29.76201</v>
      </c>
      <c r="K294" s="1" t="s">
        <v>861</v>
      </c>
      <c r="L294" s="1" t="s">
        <v>868</v>
      </c>
      <c r="M294" s="1" t="s">
        <v>874</v>
      </c>
    </row>
    <row r="295" spans="1:26">
      <c r="A295" s="1" t="s">
        <v>319</v>
      </c>
      <c r="B295" s="1" t="s">
        <v>626</v>
      </c>
      <c r="C295" s="1" t="s">
        <v>648</v>
      </c>
      <c r="D295" s="1" t="s">
        <v>654</v>
      </c>
      <c r="E295" s="1" t="s">
        <v>745</v>
      </c>
      <c r="F295" s="1" t="s">
        <v>846</v>
      </c>
      <c r="G295" s="1" t="s">
        <v>856</v>
      </c>
      <c r="H295" s="1">
        <v>4230</v>
      </c>
      <c r="I295" s="1">
        <v>-94.9448</v>
      </c>
      <c r="J295" s="1">
        <v>29.3317</v>
      </c>
      <c r="K295" s="1" t="s">
        <v>861</v>
      </c>
      <c r="L295" s="1" t="s">
        <v>868</v>
      </c>
      <c r="M295" s="1" t="s">
        <v>874</v>
      </c>
    </row>
    <row r="296" spans="1:26">
      <c r="A296" s="1" t="s">
        <v>320</v>
      </c>
      <c r="B296" s="1" t="s">
        <v>626</v>
      </c>
      <c r="C296" s="1" t="s">
        <v>648</v>
      </c>
      <c r="D296" s="1" t="s">
        <v>654</v>
      </c>
      <c r="E296" s="1" t="s">
        <v>745</v>
      </c>
      <c r="F296" s="1" t="s">
        <v>846</v>
      </c>
      <c r="G296" s="1" t="s">
        <v>856</v>
      </c>
      <c r="H296" s="1">
        <v>5350</v>
      </c>
      <c r="I296" s="1">
        <v>-95.0478</v>
      </c>
      <c r="J296" s="1">
        <v>29.4565</v>
      </c>
      <c r="K296" s="1" t="s">
        <v>861</v>
      </c>
      <c r="L296" s="1" t="s">
        <v>868</v>
      </c>
      <c r="M296" s="1" t="s">
        <v>874</v>
      </c>
    </row>
    <row r="297" spans="1:26">
      <c r="A297" s="1" t="s">
        <v>321</v>
      </c>
      <c r="B297" s="1" t="s">
        <v>626</v>
      </c>
      <c r="C297" s="1" t="s">
        <v>648</v>
      </c>
      <c r="D297" s="1" t="s">
        <v>654</v>
      </c>
      <c r="H297" s="1">
        <f>HYPERLINK("https://tidesandcurrents.noaa.gov/stationhome.html?id=8770613", "8770613")</f>
        <v>0</v>
      </c>
      <c r="I297" s="1">
        <v>-94.985</v>
      </c>
      <c r="J297" s="1">
        <v>29.68167</v>
      </c>
      <c r="K297" s="1" t="s">
        <v>860</v>
      </c>
      <c r="L297" s="1" t="s">
        <v>866</v>
      </c>
      <c r="M297" s="1" t="s">
        <v>874</v>
      </c>
      <c r="N297" s="2">
        <f>HYPERLINK("https://tidesandcurrents.noaa.gov/datums.html?datum=MLLW&amp;units=0&amp;epoch=0&amp;id=8770613", "Datum Info")</f>
        <v>0</v>
      </c>
      <c r="O297" s="1" t="s">
        <v>886</v>
      </c>
      <c r="P297" s="1">
        <v>1.33</v>
      </c>
      <c r="Q297" s="1">
        <v>1.26</v>
      </c>
      <c r="R297" s="1">
        <v>0.6899999999999999</v>
      </c>
      <c r="S297" s="1">
        <v>0.73</v>
      </c>
      <c r="T297" s="1">
        <v>0.67</v>
      </c>
      <c r="U297" s="1">
        <v>0.13</v>
      </c>
      <c r="V297" s="1">
        <v>0</v>
      </c>
      <c r="W297" s="1">
        <v>-0.01</v>
      </c>
      <c r="X297" s="1">
        <v>-5.13</v>
      </c>
      <c r="Y297" s="1" t="s">
        <v>1223</v>
      </c>
      <c r="Z297" s="1" t="s">
        <v>1488</v>
      </c>
    </row>
    <row r="298" spans="1:26">
      <c r="A298" s="1" t="s">
        <v>322</v>
      </c>
      <c r="B298" s="1" t="s">
        <v>626</v>
      </c>
      <c r="C298" s="1" t="s">
        <v>648</v>
      </c>
      <c r="D298" s="1" t="s">
        <v>654</v>
      </c>
      <c r="E298" s="1" t="s">
        <v>744</v>
      </c>
      <c r="F298" s="1" t="s">
        <v>846</v>
      </c>
      <c r="G298" s="1" t="s">
        <v>856</v>
      </c>
      <c r="H298" s="1">
        <f>HYPERLINK("https://tidesandcurrents.noaa.gov/stationhome.html?id=8770733", "8770733")</f>
        <v>0</v>
      </c>
      <c r="I298" s="1">
        <v>-95.0789</v>
      </c>
      <c r="J298" s="1">
        <v>29.76486</v>
      </c>
      <c r="K298" s="1" t="s">
        <v>861</v>
      </c>
      <c r="L298" s="1" t="s">
        <v>866</v>
      </c>
      <c r="M298" s="1" t="s">
        <v>874</v>
      </c>
      <c r="N298" s="2">
        <f>HYPERLINK("https://tidesandcurrents.noaa.gov/datums.html?datum=MLLW&amp;units=0&amp;epoch=0&amp;id=8770733", "Datum Info")</f>
        <v>0</v>
      </c>
      <c r="O298" s="1" t="s">
        <v>886</v>
      </c>
      <c r="P298" s="1">
        <v>1.49</v>
      </c>
      <c r="Q298" s="1">
        <v>1.39</v>
      </c>
      <c r="R298" s="1">
        <v>0.78</v>
      </c>
      <c r="S298" s="1">
        <v>0.8100000000000001</v>
      </c>
      <c r="T298" s="1">
        <v>0.74</v>
      </c>
      <c r="U298" s="1">
        <v>0.18</v>
      </c>
      <c r="V298" s="1">
        <v>0</v>
      </c>
      <c r="W298" s="1">
        <v>-0.04</v>
      </c>
      <c r="X298" s="1">
        <v>-4.56</v>
      </c>
      <c r="Y298" s="1" t="s">
        <v>997</v>
      </c>
      <c r="Z298" s="1" t="s">
        <v>1489</v>
      </c>
    </row>
    <row r="299" spans="1:26">
      <c r="A299" s="1" t="s">
        <v>323</v>
      </c>
      <c r="B299" s="1" t="s">
        <v>626</v>
      </c>
      <c r="C299" s="1" t="s">
        <v>648</v>
      </c>
      <c r="D299" s="1" t="s">
        <v>654</v>
      </c>
      <c r="E299" s="1" t="s">
        <v>744</v>
      </c>
      <c r="F299" s="1" t="s">
        <v>846</v>
      </c>
      <c r="G299" s="1" t="s">
        <v>856</v>
      </c>
      <c r="H299" s="1">
        <f>HYPERLINK("https://tidesandcurrents.noaa.gov/stationhome.html?id=8770777", "8770777")</f>
        <v>0</v>
      </c>
      <c r="I299" s="1">
        <v>-95.2658</v>
      </c>
      <c r="J299" s="1">
        <v>29.72622</v>
      </c>
      <c r="K299" s="1" t="s">
        <v>860</v>
      </c>
      <c r="L299" s="1" t="s">
        <v>866</v>
      </c>
      <c r="M299" s="1" t="s">
        <v>874</v>
      </c>
      <c r="N299" s="2">
        <f>HYPERLINK("https://tidesandcurrents.noaa.gov/datums.html?datum=MLLW&amp;units=0&amp;epoch=0&amp;id=8770777", "Datum Info")</f>
        <v>0</v>
      </c>
      <c r="O299" s="1" t="s">
        <v>886</v>
      </c>
      <c r="P299" s="1">
        <v>1.62</v>
      </c>
      <c r="Q299" s="1">
        <v>1.5</v>
      </c>
      <c r="R299" s="1">
        <v>0.87</v>
      </c>
      <c r="S299" s="1">
        <v>0.89</v>
      </c>
      <c r="T299" s="1">
        <v>0.8100000000000001</v>
      </c>
      <c r="U299" s="1">
        <v>0.24</v>
      </c>
      <c r="V299" s="1">
        <v>0</v>
      </c>
      <c r="W299" s="1">
        <v>-0.13</v>
      </c>
      <c r="X299" s="1">
        <v>-5.52</v>
      </c>
      <c r="Y299" s="1" t="s">
        <v>1224</v>
      </c>
      <c r="Z299" s="1" t="s">
        <v>1490</v>
      </c>
    </row>
    <row r="300" spans="1:26">
      <c r="A300" s="1" t="s">
        <v>324</v>
      </c>
      <c r="B300" s="1" t="s">
        <v>626</v>
      </c>
      <c r="C300" s="1" t="s">
        <v>648</v>
      </c>
      <c r="D300" s="1" t="s">
        <v>654</v>
      </c>
      <c r="E300" s="1" t="s">
        <v>745</v>
      </c>
      <c r="F300" s="1" t="s">
        <v>846</v>
      </c>
      <c r="G300" s="1" t="s">
        <v>856</v>
      </c>
      <c r="H300" s="1">
        <f>HYPERLINK("https://tidesandcurrents.noaa.gov/stationhome.html?id=8770971", "8770971")</f>
        <v>0</v>
      </c>
      <c r="I300" s="1">
        <v>-94.51300000000001</v>
      </c>
      <c r="J300" s="1">
        <v>29.515</v>
      </c>
      <c r="K300" s="1" t="s">
        <v>860</v>
      </c>
      <c r="L300" s="1" t="s">
        <v>866</v>
      </c>
      <c r="M300" s="1" t="s">
        <v>874</v>
      </c>
      <c r="N300" s="2">
        <f>HYPERLINK("https://tidesandcurrents.noaa.gov/datums.html?datum=MLLW&amp;units=0&amp;epoch=0&amp;id=8770971", "Datum Info")</f>
        <v>0</v>
      </c>
      <c r="O300" s="1" t="s">
        <v>886</v>
      </c>
      <c r="P300" s="1">
        <v>1.35</v>
      </c>
      <c r="Q300" s="1">
        <v>1.25</v>
      </c>
      <c r="R300" s="1">
        <v>0.72</v>
      </c>
      <c r="S300" s="1">
        <v>0.74</v>
      </c>
      <c r="T300" s="1">
        <v>0.68</v>
      </c>
      <c r="U300" s="1">
        <v>0.19</v>
      </c>
      <c r="V300" s="1">
        <v>0</v>
      </c>
      <c r="W300" s="1">
        <v>0.74</v>
      </c>
      <c r="X300" s="1">
        <v>-3.2</v>
      </c>
      <c r="Y300" s="1" t="s">
        <v>1225</v>
      </c>
      <c r="Z300" s="1" t="s">
        <v>1491</v>
      </c>
    </row>
    <row r="301" spans="1:26">
      <c r="A301" s="1" t="s">
        <v>325</v>
      </c>
      <c r="B301" s="1" t="s">
        <v>626</v>
      </c>
      <c r="D301" s="1" t="s">
        <v>654</v>
      </c>
      <c r="H301" s="1">
        <f>HYPERLINK("https://tidesandcurrents.noaa.gov/stationhome.html?id=8771013", "8771013")</f>
        <v>0</v>
      </c>
      <c r="I301" s="1">
        <v>-94.9183</v>
      </c>
      <c r="J301" s="1">
        <v>29.48</v>
      </c>
      <c r="K301" s="1" t="s">
        <v>860</v>
      </c>
      <c r="L301" s="1" t="s">
        <v>866</v>
      </c>
      <c r="M301" s="1" t="s">
        <v>874</v>
      </c>
      <c r="N301" s="2">
        <f>HYPERLINK("https://tidesandcurrents.noaa.gov/datums.html?datum=MLLW&amp;units=0&amp;epoch=0&amp;id=8771013", "Datum Info")</f>
        <v>0</v>
      </c>
      <c r="O301" s="1" t="s">
        <v>886</v>
      </c>
      <c r="P301" s="1">
        <v>1.12</v>
      </c>
      <c r="Q301" s="1">
        <v>1.08</v>
      </c>
      <c r="R301" s="1">
        <v>0.57</v>
      </c>
      <c r="S301" s="1">
        <v>0.61</v>
      </c>
      <c r="T301" s="1">
        <v>0.5600000000000001</v>
      </c>
      <c r="U301" s="1">
        <v>0.06</v>
      </c>
      <c r="V301" s="1">
        <v>0</v>
      </c>
      <c r="W301" s="1" t="s">
        <v>1021</v>
      </c>
      <c r="X301" s="1">
        <v>-4.27</v>
      </c>
      <c r="Y301" s="1" t="s">
        <v>1226</v>
      </c>
      <c r="Z301" s="1" t="s">
        <v>1073</v>
      </c>
    </row>
    <row r="302" spans="1:26">
      <c r="A302" s="1" t="s">
        <v>326</v>
      </c>
      <c r="B302" s="1" t="s">
        <v>626</v>
      </c>
      <c r="D302" s="1" t="s">
        <v>654</v>
      </c>
      <c r="H302" s="1">
        <f>HYPERLINK("https://tidesandcurrents.noaa.gov/stationhome.html?id=8771341", "8771341")</f>
        <v>0</v>
      </c>
      <c r="I302" s="1">
        <v>-94.7248</v>
      </c>
      <c r="J302" s="1">
        <v>29.3573</v>
      </c>
      <c r="K302" s="1" t="s">
        <v>860</v>
      </c>
      <c r="L302" s="1" t="s">
        <v>866</v>
      </c>
      <c r="M302" s="1" t="s">
        <v>874</v>
      </c>
      <c r="N302" s="2">
        <f>HYPERLINK("https://tidesandcurrents.noaa.gov/datums.html?datum=MLLW&amp;units=0&amp;epoch=0&amp;id=8771341", "Datum Info")</f>
        <v>0</v>
      </c>
      <c r="O302" s="1" t="s">
        <v>886</v>
      </c>
      <c r="P302" s="1">
        <v>1.67</v>
      </c>
      <c r="Q302" s="1">
        <v>1.55</v>
      </c>
      <c r="R302" s="1">
        <v>0.97</v>
      </c>
      <c r="S302" s="1">
        <v>0.97</v>
      </c>
      <c r="T302" s="1">
        <v>0.83</v>
      </c>
      <c r="U302" s="1">
        <v>0.39</v>
      </c>
      <c r="V302" s="1">
        <v>0</v>
      </c>
      <c r="W302" s="1">
        <v>0.5600000000000001</v>
      </c>
      <c r="X302" s="1">
        <v>-9.09</v>
      </c>
      <c r="Y302" s="1" t="s">
        <v>1227</v>
      </c>
      <c r="Z302" s="1" t="s">
        <v>1492</v>
      </c>
    </row>
    <row r="303" spans="1:26">
      <c r="A303" s="1" t="s">
        <v>327</v>
      </c>
      <c r="B303" s="1" t="s">
        <v>626</v>
      </c>
      <c r="C303" s="1" t="s">
        <v>648</v>
      </c>
      <c r="D303" s="1" t="s">
        <v>654</v>
      </c>
      <c r="H303" s="1">
        <f>HYPERLINK("https://tidesandcurrents.noaa.gov/stationhome.html?id=8771450", "8771450")</f>
        <v>0</v>
      </c>
      <c r="I303" s="1">
        <v>-94.7933</v>
      </c>
      <c r="J303" s="1">
        <v>29.31</v>
      </c>
      <c r="K303" s="1" t="s">
        <v>860</v>
      </c>
      <c r="L303" s="1" t="s">
        <v>866</v>
      </c>
      <c r="M303" s="1" t="s">
        <v>874</v>
      </c>
      <c r="N303" s="2">
        <f>HYPERLINK("https://tidesandcurrents.noaa.gov/datums.html?datum=MLLW&amp;units=0&amp;epoch=0&amp;id=8771450", "Datum Info")</f>
        <v>0</v>
      </c>
      <c r="O303" s="1" t="s">
        <v>886</v>
      </c>
      <c r="P303" s="1">
        <v>1.41</v>
      </c>
      <c r="Q303" s="1">
        <v>1.32</v>
      </c>
      <c r="R303" s="1">
        <v>0.82</v>
      </c>
      <c r="S303" s="1">
        <v>0.83</v>
      </c>
      <c r="T303" s="1">
        <v>0.71</v>
      </c>
      <c r="U303" s="1">
        <v>0.3</v>
      </c>
      <c r="V303" s="1">
        <v>0</v>
      </c>
      <c r="W303" s="1">
        <v>0.31</v>
      </c>
      <c r="X303" s="1">
        <v>-4.38</v>
      </c>
      <c r="Y303" s="1" t="s">
        <v>1228</v>
      </c>
      <c r="Z303" s="1" t="s">
        <v>1476</v>
      </c>
    </row>
    <row r="304" spans="1:26">
      <c r="A304" s="1" t="s">
        <v>328</v>
      </c>
      <c r="B304" s="1" t="s">
        <v>626</v>
      </c>
      <c r="D304" s="1" t="s">
        <v>654</v>
      </c>
      <c r="H304" s="1">
        <f>HYPERLINK("https://tidesandcurrents.noaa.gov/stationhome.html?id=8771486", "8771486")</f>
        <v>0</v>
      </c>
      <c r="I304" s="1">
        <v>-94.89709999999999</v>
      </c>
      <c r="J304" s="1">
        <v>29.30258</v>
      </c>
      <c r="K304" s="1" t="s">
        <v>860</v>
      </c>
      <c r="L304" s="1" t="s">
        <v>866</v>
      </c>
      <c r="M304" s="1" t="s">
        <v>874</v>
      </c>
      <c r="N304" s="2">
        <f>HYPERLINK("https://tidesandcurrents.noaa.gov/datums.html?datum=MLLW&amp;units=0&amp;epoch=0&amp;id=8771486", "Datum Info")</f>
        <v>0</v>
      </c>
      <c r="O304" s="1" t="s">
        <v>886</v>
      </c>
      <c r="P304" s="1">
        <v>1.27</v>
      </c>
      <c r="Q304" s="1">
        <v>1.19</v>
      </c>
      <c r="R304" s="1">
        <v>0.7</v>
      </c>
      <c r="S304" s="1">
        <v>0.75</v>
      </c>
      <c r="T304" s="1">
        <v>0.63</v>
      </c>
      <c r="U304" s="1">
        <v>0.21</v>
      </c>
      <c r="V304" s="1">
        <v>0</v>
      </c>
      <c r="W304" s="1">
        <v>0.35</v>
      </c>
      <c r="X304" s="1">
        <v>-19.45</v>
      </c>
      <c r="Y304" s="1" t="s">
        <v>1229</v>
      </c>
      <c r="Z304" s="1" t="s">
        <v>1493</v>
      </c>
    </row>
    <row r="305" spans="1:26">
      <c r="A305" s="1" t="s">
        <v>329</v>
      </c>
      <c r="B305" s="1" t="s">
        <v>626</v>
      </c>
      <c r="D305" s="1" t="s">
        <v>654</v>
      </c>
      <c r="E305" s="1" t="s">
        <v>745</v>
      </c>
      <c r="F305" s="1" t="s">
        <v>846</v>
      </c>
      <c r="G305" s="1" t="s">
        <v>856</v>
      </c>
      <c r="H305" s="1">
        <f>HYPERLINK("https://tidesandcurrents.noaa.gov/stationhome.html?id=8771510", "8771510")</f>
        <v>0</v>
      </c>
      <c r="I305" s="1">
        <v>-94.7894</v>
      </c>
      <c r="J305" s="1">
        <v>29.2853</v>
      </c>
      <c r="K305" s="1" t="s">
        <v>861</v>
      </c>
      <c r="L305" s="1" t="s">
        <v>866</v>
      </c>
      <c r="M305" s="1" t="s">
        <v>874</v>
      </c>
      <c r="N305" s="2">
        <f>HYPERLINK("https://tidesandcurrents.noaa.gov/datums.html?datum=MLLW&amp;units=0&amp;epoch=0&amp;id=8771510", "Datum Info")</f>
        <v>0</v>
      </c>
      <c r="O305" s="1" t="s">
        <v>886</v>
      </c>
      <c r="P305" s="1">
        <v>2.04</v>
      </c>
      <c r="Q305" s="1">
        <v>1.84</v>
      </c>
      <c r="R305" s="1">
        <v>1.12</v>
      </c>
      <c r="S305" s="1">
        <v>1.11</v>
      </c>
      <c r="T305" s="1">
        <v>1.02</v>
      </c>
      <c r="U305" s="1">
        <v>0.39</v>
      </c>
      <c r="V305" s="1">
        <v>0</v>
      </c>
      <c r="W305" s="1">
        <v>0.61</v>
      </c>
      <c r="X305" s="1">
        <v>-3.5</v>
      </c>
      <c r="Y305" s="1" t="s">
        <v>1153</v>
      </c>
      <c r="Z305" s="1" t="s">
        <v>1494</v>
      </c>
    </row>
    <row r="306" spans="1:26">
      <c r="A306" s="1" t="s">
        <v>330</v>
      </c>
      <c r="B306" s="1" t="s">
        <v>626</v>
      </c>
      <c r="C306" s="1" t="s">
        <v>648</v>
      </c>
      <c r="D306" s="1" t="s">
        <v>654</v>
      </c>
      <c r="H306" s="1">
        <f>HYPERLINK("https://tidesandcurrents.noaa.gov/stationhome.html?id=8771972", "8771972")</f>
        <v>0</v>
      </c>
      <c r="I306" s="1">
        <v>-95.13079999999999</v>
      </c>
      <c r="J306" s="1">
        <v>29.08056</v>
      </c>
      <c r="K306" s="1" t="s">
        <v>860</v>
      </c>
      <c r="L306" s="1" t="s">
        <v>866</v>
      </c>
      <c r="M306" s="1" t="s">
        <v>874</v>
      </c>
      <c r="N306" s="2">
        <f>HYPERLINK("https://tidesandcurrents.noaa.gov/datums.html?datum=MLLW&amp;units=0&amp;epoch=0&amp;id=8771972", "Datum Info")</f>
        <v>0</v>
      </c>
      <c r="O306" s="1" t="s">
        <v>886</v>
      </c>
      <c r="P306" s="1">
        <v>1.17</v>
      </c>
      <c r="Q306" s="1">
        <v>1.11</v>
      </c>
      <c r="R306" s="1">
        <v>0.66</v>
      </c>
      <c r="S306" s="1">
        <v>0.6899999999999999</v>
      </c>
      <c r="T306" s="1">
        <v>0.59</v>
      </c>
      <c r="U306" s="1">
        <v>0.21</v>
      </c>
      <c r="V306" s="1">
        <v>0</v>
      </c>
      <c r="W306" s="1">
        <v>0.25</v>
      </c>
      <c r="X306" s="1">
        <v>-4.05</v>
      </c>
      <c r="Y306" s="1" t="s">
        <v>1230</v>
      </c>
      <c r="Z306" s="1" t="s">
        <v>1446</v>
      </c>
    </row>
    <row r="307" spans="1:26">
      <c r="A307" s="1" t="s">
        <v>331</v>
      </c>
      <c r="B307" s="1" t="s">
        <v>626</v>
      </c>
      <c r="C307" s="1" t="s">
        <v>648</v>
      </c>
      <c r="D307" s="1" t="s">
        <v>654</v>
      </c>
      <c r="E307" s="1" t="s">
        <v>746</v>
      </c>
      <c r="F307" s="1" t="s">
        <v>846</v>
      </c>
      <c r="G307" s="1" t="s">
        <v>856</v>
      </c>
      <c r="H307" s="1">
        <f>HYPERLINK("https://tidesandcurrents.noaa.gov/stationhome.html?id=8772447", "8772447")</f>
        <v>0</v>
      </c>
      <c r="I307" s="1">
        <v>-95.30249999999999</v>
      </c>
      <c r="J307" s="1">
        <v>28.94331</v>
      </c>
      <c r="K307" s="1" t="s">
        <v>861</v>
      </c>
      <c r="L307" s="1" t="s">
        <v>866</v>
      </c>
      <c r="M307" s="1" t="s">
        <v>874</v>
      </c>
      <c r="N307" s="2">
        <f>HYPERLINK("https://tidesandcurrents.noaa.gov/datums.html?datum=MLLW&amp;units=0&amp;epoch=0&amp;id=8772447", "Datum Info")</f>
        <v>0</v>
      </c>
      <c r="O307" s="1" t="s">
        <v>886</v>
      </c>
      <c r="P307" s="1">
        <v>1.64</v>
      </c>
      <c r="Q307" s="1">
        <v>1.5</v>
      </c>
      <c r="R307" s="1">
        <v>0.88</v>
      </c>
      <c r="S307" s="1">
        <v>0.9</v>
      </c>
      <c r="T307" s="1">
        <v>0.82</v>
      </c>
      <c r="U307" s="1">
        <v>0.25</v>
      </c>
      <c r="V307" s="1">
        <v>0</v>
      </c>
      <c r="W307" s="1">
        <v>0.6</v>
      </c>
      <c r="X307" s="1">
        <v>-27.63</v>
      </c>
      <c r="Y307" s="1" t="s">
        <v>1231</v>
      </c>
      <c r="Z307" s="1" t="s">
        <v>1495</v>
      </c>
    </row>
    <row r="308" spans="1:26">
      <c r="A308" s="1" t="s">
        <v>332</v>
      </c>
      <c r="B308" s="1" t="s">
        <v>626</v>
      </c>
      <c r="C308" s="1" t="s">
        <v>648</v>
      </c>
      <c r="D308" s="1" t="s">
        <v>654</v>
      </c>
      <c r="H308" s="1">
        <f>HYPERLINK("https://tidesandcurrents.noaa.gov/stationhome.html?id=8772985", "8772985")</f>
        <v>0</v>
      </c>
      <c r="I308" s="1">
        <v>-95.6172</v>
      </c>
      <c r="J308" s="1">
        <v>28.77142</v>
      </c>
      <c r="K308" s="1" t="s">
        <v>860</v>
      </c>
      <c r="L308" s="1" t="s">
        <v>866</v>
      </c>
      <c r="M308" s="1" t="s">
        <v>874</v>
      </c>
      <c r="N308" s="2">
        <f>HYPERLINK("https://tidesandcurrents.noaa.gov/datums.html?datum=MLLW&amp;units=0&amp;epoch=0&amp;id=8772985", "Datum Info")</f>
        <v>0</v>
      </c>
      <c r="O308" s="1" t="s">
        <v>886</v>
      </c>
      <c r="P308" s="1">
        <v>0.6899999999999999</v>
      </c>
      <c r="Q308" s="1">
        <v>0.65</v>
      </c>
      <c r="R308" s="1">
        <v>0.35</v>
      </c>
      <c r="S308" s="1">
        <v>0.39</v>
      </c>
      <c r="T308" s="1">
        <v>0.34</v>
      </c>
      <c r="U308" s="1">
        <v>0.04</v>
      </c>
      <c r="V308" s="1">
        <v>0</v>
      </c>
      <c r="W308" s="1">
        <v>-0.36</v>
      </c>
      <c r="X308" s="1">
        <v>-31.11</v>
      </c>
      <c r="Y308" s="1" t="s">
        <v>1232</v>
      </c>
      <c r="Z308" s="1" t="s">
        <v>1496</v>
      </c>
    </row>
    <row r="309" spans="1:26">
      <c r="A309" s="1" t="s">
        <v>333</v>
      </c>
      <c r="B309" s="1" t="s">
        <v>626</v>
      </c>
      <c r="C309" s="1" t="s">
        <v>648</v>
      </c>
      <c r="D309" s="1" t="s">
        <v>654</v>
      </c>
      <c r="H309" s="1">
        <f>HYPERLINK("https://tidesandcurrents.noaa.gov/stationhome.html?id=8773146", "8773146")</f>
        <v>0</v>
      </c>
      <c r="I309" s="1">
        <v>-95.914</v>
      </c>
      <c r="J309" s="1">
        <v>28.71006</v>
      </c>
      <c r="K309" s="1" t="s">
        <v>860</v>
      </c>
      <c r="L309" s="1" t="s">
        <v>866</v>
      </c>
      <c r="M309" s="1" t="s">
        <v>874</v>
      </c>
      <c r="N309" s="2">
        <f>HYPERLINK("https://tidesandcurrents.noaa.gov/datums.html?datum=MLLW&amp;units=0&amp;epoch=0&amp;id=8773146", "Datum Info")</f>
        <v>0</v>
      </c>
      <c r="O309" s="1" t="s">
        <v>886</v>
      </c>
      <c r="P309" s="1">
        <v>0.47</v>
      </c>
      <c r="Q309" s="1">
        <v>0.47</v>
      </c>
      <c r="R309" s="1">
        <v>0.24</v>
      </c>
      <c r="S309" s="1">
        <v>0.27</v>
      </c>
      <c r="T309" s="1">
        <v>0.23</v>
      </c>
      <c r="U309" s="1">
        <v>0.01</v>
      </c>
      <c r="V309" s="1">
        <v>0</v>
      </c>
      <c r="W309" s="1">
        <v>-0.55</v>
      </c>
      <c r="X309" s="1">
        <v>-30.85</v>
      </c>
      <c r="Y309" s="1" t="s">
        <v>1233</v>
      </c>
      <c r="Z309" s="1" t="s">
        <v>1427</v>
      </c>
    </row>
    <row r="310" spans="1:26">
      <c r="A310" s="1" t="s">
        <v>334</v>
      </c>
      <c r="B310" s="1" t="s">
        <v>626</v>
      </c>
      <c r="D310" s="1" t="s">
        <v>654</v>
      </c>
      <c r="H310" s="1">
        <f>HYPERLINK("https://tidesandcurrents.noaa.gov/stationhome.html?id=8773259", "8773259")</f>
        <v>0</v>
      </c>
      <c r="I310" s="1">
        <v>-96.60980000000001</v>
      </c>
      <c r="J310" s="1">
        <v>28.6406</v>
      </c>
      <c r="K310" s="1" t="s">
        <v>860</v>
      </c>
      <c r="L310" s="1" t="s">
        <v>866</v>
      </c>
      <c r="M310" s="1" t="s">
        <v>874</v>
      </c>
      <c r="N310" s="2">
        <f>HYPERLINK("https://tidesandcurrents.noaa.gov/datums.html?datum=MLLW&amp;units=0&amp;epoch=0&amp;id=8773259", "Datum Info")</f>
        <v>0</v>
      </c>
      <c r="O310" s="1" t="s">
        <v>886</v>
      </c>
      <c r="P310" s="1">
        <v>0.9</v>
      </c>
      <c r="Q310" s="1">
        <v>0.87</v>
      </c>
      <c r="R310" s="1">
        <v>0.46</v>
      </c>
      <c r="S310" s="1">
        <v>0.49</v>
      </c>
      <c r="T310" s="1">
        <v>0.45</v>
      </c>
      <c r="U310" s="1">
        <v>0.06</v>
      </c>
      <c r="V310" s="1">
        <v>0</v>
      </c>
      <c r="W310" s="1" t="s">
        <v>1022</v>
      </c>
      <c r="X310" s="1">
        <v>-3</v>
      </c>
      <c r="Y310" s="1" t="s">
        <v>1234</v>
      </c>
      <c r="Z310" s="1" t="s">
        <v>1497</v>
      </c>
    </row>
    <row r="311" spans="1:26">
      <c r="A311" s="1" t="s">
        <v>335</v>
      </c>
      <c r="B311" s="1" t="s">
        <v>626</v>
      </c>
      <c r="D311" s="1" t="s">
        <v>654</v>
      </c>
      <c r="H311" s="1">
        <f>HYPERLINK("https://tidesandcurrents.noaa.gov/stationhome.html?id=8773701", "8773701")</f>
        <v>0</v>
      </c>
      <c r="I311" s="1">
        <v>-96.3956</v>
      </c>
      <c r="J311" s="1">
        <v>28.44586</v>
      </c>
      <c r="K311" s="1" t="s">
        <v>860</v>
      </c>
      <c r="L311" s="1" t="s">
        <v>866</v>
      </c>
      <c r="M311" s="1" t="s">
        <v>874</v>
      </c>
      <c r="N311" s="2">
        <f>HYPERLINK("https://tidesandcurrents.noaa.gov/datums.html?datum=MLLW&amp;units=0&amp;epoch=0&amp;id=8773701", "Datum Info")</f>
        <v>0</v>
      </c>
      <c r="O311" s="1" t="s">
        <v>886</v>
      </c>
      <c r="P311" s="1">
        <v>0.72</v>
      </c>
      <c r="Q311" s="1">
        <v>0.71</v>
      </c>
      <c r="R311" s="1">
        <v>0.36</v>
      </c>
      <c r="S311" s="1">
        <v>0.4</v>
      </c>
      <c r="T311" s="1">
        <v>0.36</v>
      </c>
      <c r="U311" s="1">
        <v>0.02</v>
      </c>
      <c r="V311" s="1">
        <v>0</v>
      </c>
      <c r="W311" s="1">
        <v>-0.38</v>
      </c>
      <c r="X311" s="1">
        <v>-11.41</v>
      </c>
      <c r="Y311" s="1" t="s">
        <v>1235</v>
      </c>
      <c r="Z311" s="1" t="s">
        <v>1498</v>
      </c>
    </row>
    <row r="312" spans="1:26">
      <c r="A312" s="1" t="s">
        <v>336</v>
      </c>
      <c r="B312" s="1" t="s">
        <v>626</v>
      </c>
      <c r="C312" s="1" t="s">
        <v>648</v>
      </c>
      <c r="D312" s="1" t="s">
        <v>654</v>
      </c>
      <c r="E312" s="1" t="s">
        <v>747</v>
      </c>
      <c r="F312" s="1" t="s">
        <v>846</v>
      </c>
      <c r="G312" s="1" t="s">
        <v>856</v>
      </c>
      <c r="H312" s="1">
        <f>HYPERLINK("https://tidesandcurrents.noaa.gov/stationhome.html?id=8773767", "8773767")</f>
        <v>0</v>
      </c>
      <c r="I312" s="1">
        <v>-96.3301</v>
      </c>
      <c r="J312" s="1">
        <v>28.4269</v>
      </c>
      <c r="K312" s="1" t="s">
        <v>860</v>
      </c>
      <c r="L312" s="1" t="s">
        <v>866</v>
      </c>
      <c r="M312" s="1" t="s">
        <v>874</v>
      </c>
      <c r="N312" s="2">
        <f>HYPERLINK("https://tidesandcurrents.noaa.gov/datums.html?datum=MLLW&amp;units=0&amp;epoch=0&amp;id=8773767", "Datum Info")</f>
        <v>0</v>
      </c>
      <c r="O312" s="1" t="s">
        <v>886</v>
      </c>
      <c r="P312" s="1">
        <v>1.24</v>
      </c>
      <c r="Q312" s="1">
        <v>1.21</v>
      </c>
      <c r="R312" s="1">
        <v>0.66</v>
      </c>
      <c r="S312" s="1">
        <v>0.74</v>
      </c>
      <c r="T312" s="1">
        <v>0.62</v>
      </c>
      <c r="U312" s="1">
        <v>0.11</v>
      </c>
      <c r="V312" s="1">
        <v>0</v>
      </c>
      <c r="W312" s="1">
        <v>0.37</v>
      </c>
      <c r="X312" s="1">
        <v>-25.38</v>
      </c>
      <c r="Y312" s="1" t="s">
        <v>1236</v>
      </c>
      <c r="Z312" s="1" t="s">
        <v>1499</v>
      </c>
    </row>
    <row r="313" spans="1:26">
      <c r="A313" s="1" t="s">
        <v>337</v>
      </c>
      <c r="B313" s="1" t="s">
        <v>626</v>
      </c>
      <c r="C313" s="1" t="s">
        <v>648</v>
      </c>
      <c r="D313" s="1" t="s">
        <v>654</v>
      </c>
      <c r="E313" s="1" t="s">
        <v>746</v>
      </c>
      <c r="F313" s="1" t="s">
        <v>846</v>
      </c>
      <c r="G313" s="1" t="s">
        <v>856</v>
      </c>
      <c r="H313" s="1" t="s">
        <v>859</v>
      </c>
      <c r="I313" s="1">
        <v>-95.20816979999999</v>
      </c>
      <c r="J313" s="1">
        <v>29.212186</v>
      </c>
      <c r="K313" s="1" t="s">
        <v>861</v>
      </c>
      <c r="L313" s="1" t="s">
        <v>859</v>
      </c>
      <c r="M313" s="1" t="s">
        <v>874</v>
      </c>
    </row>
    <row r="314" spans="1:26">
      <c r="A314" s="1" t="s">
        <v>338</v>
      </c>
      <c r="B314" s="1" t="s">
        <v>626</v>
      </c>
      <c r="C314" s="1" t="s">
        <v>648</v>
      </c>
      <c r="D314" s="1" t="s">
        <v>654</v>
      </c>
      <c r="E314" s="1" t="s">
        <v>745</v>
      </c>
      <c r="F314" s="1" t="s">
        <v>846</v>
      </c>
      <c r="G314" s="1" t="s">
        <v>856</v>
      </c>
      <c r="H314" s="1" t="s">
        <v>859</v>
      </c>
      <c r="I314" s="1">
        <v>-94.973327</v>
      </c>
      <c r="J314" s="1">
        <v>29.46177</v>
      </c>
      <c r="K314" s="1" t="s">
        <v>861</v>
      </c>
      <c r="L314" s="1" t="s">
        <v>859</v>
      </c>
      <c r="M314" s="1" t="s">
        <v>874</v>
      </c>
    </row>
    <row r="315" spans="1:26">
      <c r="A315" s="1" t="s">
        <v>339</v>
      </c>
      <c r="B315" s="1" t="s">
        <v>626</v>
      </c>
      <c r="D315" s="1" t="s">
        <v>654</v>
      </c>
      <c r="H315" s="1" t="s">
        <v>859</v>
      </c>
      <c r="I315" s="1">
        <v>-95.01678</v>
      </c>
      <c r="J315" s="1">
        <v>29.7037</v>
      </c>
      <c r="K315" s="1" t="s">
        <v>861</v>
      </c>
      <c r="L315" s="1" t="s">
        <v>859</v>
      </c>
      <c r="M315" s="1" t="s">
        <v>874</v>
      </c>
    </row>
    <row r="316" spans="1:26">
      <c r="A316" s="1" t="s">
        <v>340</v>
      </c>
      <c r="B316" s="1" t="s">
        <v>626</v>
      </c>
      <c r="C316" s="1" t="s">
        <v>648</v>
      </c>
      <c r="D316" s="1" t="s">
        <v>654</v>
      </c>
      <c r="H316" s="1" t="s">
        <v>859</v>
      </c>
      <c r="I316" s="1">
        <v>-95.44450000000001</v>
      </c>
      <c r="J316" s="1">
        <v>28.8707</v>
      </c>
      <c r="K316" s="1" t="s">
        <v>861</v>
      </c>
      <c r="L316" s="1" t="s">
        <v>859</v>
      </c>
      <c r="M316" s="1" t="s">
        <v>874</v>
      </c>
    </row>
    <row r="317" spans="1:26">
      <c r="A317" s="1" t="s">
        <v>341</v>
      </c>
      <c r="B317" s="1" t="s">
        <v>626</v>
      </c>
      <c r="C317" s="1" t="s">
        <v>648</v>
      </c>
      <c r="D317" s="1" t="s">
        <v>654</v>
      </c>
      <c r="H317" s="1" t="s">
        <v>859</v>
      </c>
      <c r="I317" s="1">
        <v>-95.06140000000001</v>
      </c>
      <c r="J317" s="1">
        <v>29.7925</v>
      </c>
      <c r="K317" s="1" t="s">
        <v>861</v>
      </c>
      <c r="L317" s="1" t="s">
        <v>859</v>
      </c>
      <c r="M317" s="1" t="s">
        <v>874</v>
      </c>
    </row>
    <row r="318" spans="1:26">
      <c r="A318" s="1" t="s">
        <v>342</v>
      </c>
      <c r="B318" s="1" t="s">
        <v>626</v>
      </c>
      <c r="C318" s="1" t="s">
        <v>648</v>
      </c>
      <c r="D318" s="1" t="s">
        <v>654</v>
      </c>
      <c r="E318" s="1" t="s">
        <v>744</v>
      </c>
      <c r="F318" s="1" t="s">
        <v>846</v>
      </c>
      <c r="G318" s="1" t="s">
        <v>856</v>
      </c>
      <c r="H318" s="1" t="s">
        <v>859</v>
      </c>
      <c r="I318" s="1">
        <v>-95.14615000000001</v>
      </c>
      <c r="J318" s="1">
        <v>29.7359</v>
      </c>
      <c r="K318" s="1" t="s">
        <v>861</v>
      </c>
      <c r="L318" s="1" t="s">
        <v>859</v>
      </c>
      <c r="M318" s="1" t="s">
        <v>874</v>
      </c>
    </row>
    <row r="319" spans="1:26">
      <c r="A319" s="1" t="s">
        <v>343</v>
      </c>
      <c r="B319" s="1" t="s">
        <v>626</v>
      </c>
      <c r="C319" s="1" t="s">
        <v>648</v>
      </c>
      <c r="D319" s="1" t="s">
        <v>654</v>
      </c>
      <c r="E319" s="1" t="s">
        <v>748</v>
      </c>
      <c r="F319" s="1" t="s">
        <v>846</v>
      </c>
      <c r="G319" s="1" t="s">
        <v>856</v>
      </c>
      <c r="H319" s="1">
        <f>HYPERLINK("https://waterdata.usgs.gov/nwis/nwismap/?site_no=08042558&amp;agency_cd=USGS", "US08042558")</f>
        <v>0</v>
      </c>
      <c r="I319" s="1">
        <v>-94.66610708</v>
      </c>
      <c r="J319" s="1">
        <v>29.67555036</v>
      </c>
      <c r="K319" s="1" t="s">
        <v>861</v>
      </c>
      <c r="L319" s="1" t="s">
        <v>867</v>
      </c>
      <c r="M319" s="1" t="s">
        <v>874</v>
      </c>
      <c r="N319" s="2">
        <f>HYPERLINK("https://waterservices.usgs.gov/nwis/site/?site=08042558&amp;format=rdb", "Datum Info")</f>
        <v>0</v>
      </c>
      <c r="O319" s="1" t="s">
        <v>887</v>
      </c>
      <c r="W319" s="1" t="s">
        <v>958</v>
      </c>
    </row>
    <row r="320" spans="1:26">
      <c r="A320" s="1" t="s">
        <v>344</v>
      </c>
      <c r="B320" s="1" t="s">
        <v>626</v>
      </c>
      <c r="C320" s="1" t="s">
        <v>648</v>
      </c>
      <c r="D320" s="1" t="s">
        <v>654</v>
      </c>
      <c r="E320" s="1" t="s">
        <v>744</v>
      </c>
      <c r="F320" s="1" t="s">
        <v>846</v>
      </c>
      <c r="G320" s="1" t="s">
        <v>856</v>
      </c>
      <c r="H320" s="1">
        <f>HYPERLINK("https://waterdata.usgs.gov/nwis/nwismap/?site_no=08072050&amp;agency_cd=USGS", "US08072050")</f>
        <v>0</v>
      </c>
      <c r="I320" s="1">
        <v>-95.09381196</v>
      </c>
      <c r="J320" s="1">
        <v>29.87632903</v>
      </c>
      <c r="K320" s="1" t="s">
        <v>861</v>
      </c>
      <c r="L320" s="1" t="s">
        <v>867</v>
      </c>
      <c r="M320" s="1" t="s">
        <v>874</v>
      </c>
      <c r="N320" s="2">
        <f>HYPERLINK("https://waterservices.usgs.gov/nwis/site/?site=08072050&amp;format=rdb", "Datum Info")</f>
        <v>0</v>
      </c>
      <c r="O320" s="1" t="s">
        <v>887</v>
      </c>
      <c r="W320" s="1" t="s">
        <v>1023</v>
      </c>
    </row>
    <row r="321" spans="1:38">
      <c r="A321" s="1" t="s">
        <v>345</v>
      </c>
      <c r="B321" s="1" t="s">
        <v>626</v>
      </c>
      <c r="C321" s="1" t="s">
        <v>648</v>
      </c>
      <c r="D321" s="1" t="s">
        <v>654</v>
      </c>
      <c r="E321" s="1" t="s">
        <v>744</v>
      </c>
      <c r="F321" s="1" t="s">
        <v>846</v>
      </c>
      <c r="G321" s="1" t="s">
        <v>856</v>
      </c>
      <c r="H321" s="1">
        <f>HYPERLINK("https://waterdata.usgs.gov/nwis/nwismap/?site_no=08075500&amp;agency_cd=USGS", "US08075500")</f>
        <v>0</v>
      </c>
      <c r="I321" s="1">
        <v>-95.28937372</v>
      </c>
      <c r="J321" s="1">
        <v>29.67439169</v>
      </c>
      <c r="K321" s="1" t="s">
        <v>861</v>
      </c>
      <c r="L321" s="1" t="s">
        <v>867</v>
      </c>
      <c r="M321" s="1" t="s">
        <v>874</v>
      </c>
      <c r="N321" s="2">
        <f>HYPERLINK("https://waterservices.usgs.gov/nwis/site/?site=08075500&amp;format=rdb", "Datum Info")</f>
        <v>0</v>
      </c>
      <c r="O321" s="1" t="s">
        <v>887</v>
      </c>
      <c r="W321" s="1" t="s">
        <v>1023</v>
      </c>
      <c r="AA321" s="1" t="s">
        <v>887</v>
      </c>
      <c r="AB321" s="1">
        <v>0</v>
      </c>
      <c r="AH321" s="1">
        <v>23.2</v>
      </c>
      <c r="AI321" s="1">
        <v>26.2</v>
      </c>
      <c r="AJ321" s="1">
        <v>27.2</v>
      </c>
      <c r="AK321" s="1">
        <v>28.2</v>
      </c>
      <c r="AL321" s="1" t="s">
        <v>1744</v>
      </c>
    </row>
    <row r="322" spans="1:38">
      <c r="A322" s="1" t="s">
        <v>346</v>
      </c>
      <c r="B322" s="1" t="s">
        <v>626</v>
      </c>
      <c r="C322" s="1" t="s">
        <v>648</v>
      </c>
      <c r="D322" s="1" t="s">
        <v>654</v>
      </c>
      <c r="E322" s="1" t="s">
        <v>744</v>
      </c>
      <c r="F322" s="1" t="s">
        <v>846</v>
      </c>
      <c r="G322" s="1" t="s">
        <v>856</v>
      </c>
      <c r="H322" s="1">
        <f>HYPERLINK("https://waterdata.usgs.gov/nwis/nwismap/?site_no=08077637&amp;agency_cd=USGS", "US08077637")</f>
        <v>0</v>
      </c>
      <c r="I322" s="1">
        <v>-95.0239</v>
      </c>
      <c r="J322" s="1">
        <v>29.5503</v>
      </c>
      <c r="K322" s="1" t="s">
        <v>861</v>
      </c>
      <c r="L322" s="1" t="s">
        <v>867</v>
      </c>
      <c r="M322" s="1" t="s">
        <v>874</v>
      </c>
      <c r="N322" s="2">
        <f>HYPERLINK("https://waterservices.usgs.gov/nwis/site/?site=08077637&amp;format=rdb", "Datum Info")</f>
        <v>0</v>
      </c>
      <c r="O322" s="1" t="s">
        <v>887</v>
      </c>
      <c r="W322" s="1" t="s">
        <v>958</v>
      </c>
    </row>
    <row r="323" spans="1:38">
      <c r="A323" s="1" t="s">
        <v>347</v>
      </c>
      <c r="B323" s="1" t="s">
        <v>626</v>
      </c>
      <c r="C323" s="1" t="s">
        <v>648</v>
      </c>
      <c r="D323" s="1" t="s">
        <v>654</v>
      </c>
      <c r="E323" s="1" t="s">
        <v>746</v>
      </c>
      <c r="F323" s="1" t="s">
        <v>846</v>
      </c>
      <c r="G323" s="1" t="s">
        <v>856</v>
      </c>
      <c r="H323" s="1">
        <f>HYPERLINK("https://waterdata.usgs.gov/nwis/nwismap/?site_no=08079120&amp;agency_cd=USGS", "US08079120")</f>
        <v>0</v>
      </c>
      <c r="I323" s="1">
        <v>-95.3388276</v>
      </c>
      <c r="J323" s="1">
        <v>28.95108115</v>
      </c>
      <c r="K323" s="1" t="s">
        <v>861</v>
      </c>
      <c r="L323" s="1" t="s">
        <v>867</v>
      </c>
      <c r="M323" s="1" t="s">
        <v>874</v>
      </c>
      <c r="N323" s="2">
        <f>HYPERLINK("https://waterservices.usgs.gov/nwis/site/?site=08079120&amp;format=rdb", "Datum Info")</f>
        <v>0</v>
      </c>
      <c r="O323" s="1" t="s">
        <v>889</v>
      </c>
      <c r="Y323" s="1" t="s">
        <v>958</v>
      </c>
    </row>
    <row r="324" spans="1:38">
      <c r="A324" s="1" t="s">
        <v>348</v>
      </c>
      <c r="B324" s="1" t="s">
        <v>627</v>
      </c>
      <c r="C324" s="1" t="s">
        <v>645</v>
      </c>
      <c r="D324" s="1" t="s">
        <v>654</v>
      </c>
      <c r="E324" s="1" t="s">
        <v>749</v>
      </c>
      <c r="F324" s="1" t="s">
        <v>847</v>
      </c>
      <c r="G324" s="1" t="s">
        <v>854</v>
      </c>
      <c r="H324" s="1">
        <f>HYPERLINK("https://tidesandcurrents.noaa.gov/stationhome.html?id=8720217", "8720217")</f>
        <v>0</v>
      </c>
      <c r="I324" s="1">
        <v>-81.6617</v>
      </c>
      <c r="J324" s="1">
        <v>30.3917</v>
      </c>
      <c r="K324" s="1" t="s">
        <v>861</v>
      </c>
      <c r="L324" s="1" t="s">
        <v>866</v>
      </c>
      <c r="M324" s="1" t="s">
        <v>874</v>
      </c>
      <c r="N324" s="2">
        <f>HYPERLINK("https://tidesandcurrents.noaa.gov/datums.html?datum=MLLW&amp;units=0&amp;epoch=0&amp;id=8720217", "Datum Info")</f>
        <v>0</v>
      </c>
      <c r="O324" s="1" t="s">
        <v>886</v>
      </c>
      <c r="P324" s="1">
        <v>2.72</v>
      </c>
      <c r="Q324" s="1">
        <v>2.59</v>
      </c>
      <c r="R324" s="1">
        <v>1.34</v>
      </c>
      <c r="S324" s="1">
        <v>1.32</v>
      </c>
      <c r="T324" s="1">
        <v>1.36</v>
      </c>
      <c r="U324" s="1">
        <v>0.08</v>
      </c>
      <c r="V324" s="1">
        <v>0</v>
      </c>
      <c r="W324" s="1">
        <v>1.68</v>
      </c>
      <c r="X324" s="1">
        <v>-4.93</v>
      </c>
      <c r="Y324" s="1" t="s">
        <v>1237</v>
      </c>
      <c r="Z324" s="1" t="s">
        <v>1500</v>
      </c>
      <c r="AA324" s="1" t="s">
        <v>887</v>
      </c>
      <c r="AB324" s="1">
        <v>0</v>
      </c>
      <c r="AC324" s="1" t="s">
        <v>1657</v>
      </c>
      <c r="AH324" s="1">
        <v>1.2</v>
      </c>
      <c r="AI324" s="1">
        <v>1.7</v>
      </c>
      <c r="AJ324" s="1">
        <v>2.2</v>
      </c>
      <c r="AK324" s="1">
        <v>3.2</v>
      </c>
      <c r="AL324" s="1" t="s">
        <v>1744</v>
      </c>
    </row>
    <row r="325" spans="1:38">
      <c r="A325" s="1" t="s">
        <v>349</v>
      </c>
      <c r="B325" s="1" t="s">
        <v>627</v>
      </c>
      <c r="C325" s="1" t="s">
        <v>645</v>
      </c>
      <c r="D325" s="1" t="s">
        <v>654</v>
      </c>
      <c r="H325" s="1">
        <f>HYPERLINK("https://tidesandcurrents.noaa.gov/stationhome.html?id=8720218", "8720218")</f>
        <v>0</v>
      </c>
      <c r="I325" s="1">
        <v>-81.42789999999999</v>
      </c>
      <c r="J325" s="1">
        <v>30.39817</v>
      </c>
      <c r="K325" s="1" t="s">
        <v>860</v>
      </c>
      <c r="L325" s="1" t="s">
        <v>866</v>
      </c>
      <c r="M325" s="1" t="s">
        <v>874</v>
      </c>
      <c r="N325" s="2">
        <f>HYPERLINK("https://tidesandcurrents.noaa.gov/datums.html?datum=MLLW&amp;units=0&amp;epoch=0&amp;id=8720218", "Datum Info")</f>
        <v>0</v>
      </c>
      <c r="O325" s="1" t="s">
        <v>886</v>
      </c>
      <c r="P325" s="1">
        <v>4.95</v>
      </c>
      <c r="Q325" s="1">
        <v>4.69</v>
      </c>
      <c r="R325" s="1">
        <v>2.42</v>
      </c>
      <c r="S325" s="1">
        <v>2.47</v>
      </c>
      <c r="T325" s="1">
        <v>2.48</v>
      </c>
      <c r="U325" s="1">
        <v>0.15</v>
      </c>
      <c r="V325" s="1">
        <v>0</v>
      </c>
      <c r="W325" s="1">
        <v>2.99</v>
      </c>
      <c r="X325" s="1">
        <v>-9.08</v>
      </c>
      <c r="Y325" s="1" t="s">
        <v>1238</v>
      </c>
      <c r="Z325" s="1" t="s">
        <v>1501</v>
      </c>
    </row>
    <row r="326" spans="1:38">
      <c r="A326" s="1" t="s">
        <v>350</v>
      </c>
      <c r="B326" s="1" t="s">
        <v>627</v>
      </c>
      <c r="C326" s="1" t="s">
        <v>645</v>
      </c>
      <c r="D326" s="1" t="s">
        <v>654</v>
      </c>
      <c r="E326" s="1" t="s">
        <v>749</v>
      </c>
      <c r="F326" s="1" t="s">
        <v>847</v>
      </c>
      <c r="G326" s="1" t="s">
        <v>854</v>
      </c>
      <c r="H326" s="1">
        <f>HYPERLINK("https://tidesandcurrents.noaa.gov/stationhome.html?id=8720219", "8720219")</f>
        <v>0</v>
      </c>
      <c r="I326" s="1">
        <v>-81.5592</v>
      </c>
      <c r="J326" s="1">
        <v>30.38722</v>
      </c>
      <c r="K326" s="1" t="s">
        <v>860</v>
      </c>
      <c r="L326" s="1" t="s">
        <v>866</v>
      </c>
      <c r="M326" s="1" t="s">
        <v>874</v>
      </c>
      <c r="N326" s="2">
        <f>HYPERLINK("https://tidesandcurrents.noaa.gov/datums.html?datum=MLLW&amp;units=0&amp;epoch=0&amp;id=8720219", "Datum Info")</f>
        <v>0</v>
      </c>
      <c r="O326" s="1" t="s">
        <v>886</v>
      </c>
      <c r="P326" s="1">
        <v>3.66</v>
      </c>
      <c r="Q326" s="1">
        <v>3.5</v>
      </c>
      <c r="R326" s="1">
        <v>1.8</v>
      </c>
      <c r="S326" s="1">
        <v>1.86</v>
      </c>
      <c r="T326" s="1">
        <v>1.83</v>
      </c>
      <c r="U326" s="1">
        <v>0.11</v>
      </c>
      <c r="V326" s="1">
        <v>0</v>
      </c>
      <c r="W326" s="1">
        <v>2.24</v>
      </c>
      <c r="X326" s="1">
        <v>-3.82</v>
      </c>
      <c r="Y326" s="1" t="s">
        <v>1239</v>
      </c>
      <c r="Z326" s="1" t="s">
        <v>1502</v>
      </c>
    </row>
    <row r="327" spans="1:38">
      <c r="A327" s="1" t="s">
        <v>351</v>
      </c>
      <c r="B327" s="1" t="s">
        <v>627</v>
      </c>
      <c r="C327" s="1" t="s">
        <v>645</v>
      </c>
      <c r="D327" s="1" t="s">
        <v>654</v>
      </c>
      <c r="E327" s="1" t="s">
        <v>749</v>
      </c>
      <c r="F327" s="1" t="s">
        <v>847</v>
      </c>
      <c r="G327" s="1" t="s">
        <v>854</v>
      </c>
      <c r="H327" s="1">
        <f>HYPERLINK("https://tidesandcurrents.noaa.gov/stationhome.html?id=8720226", "8720226")</f>
        <v>0</v>
      </c>
      <c r="I327" s="1">
        <v>-81.6591</v>
      </c>
      <c r="J327" s="1">
        <v>30.3205</v>
      </c>
      <c r="K327" s="1" t="s">
        <v>860</v>
      </c>
      <c r="L327" s="1" t="s">
        <v>866</v>
      </c>
      <c r="M327" s="1" t="s">
        <v>874</v>
      </c>
      <c r="N327" s="2">
        <f>HYPERLINK("https://tidesandcurrents.noaa.gov/datums.html?datum=MLLW&amp;units=0&amp;epoch=0&amp;id=8720226", "Datum Info")</f>
        <v>0</v>
      </c>
      <c r="O327" s="1" t="s">
        <v>886</v>
      </c>
      <c r="P327" s="1">
        <v>1.95</v>
      </c>
      <c r="Q327" s="1">
        <v>1.89</v>
      </c>
      <c r="R327" s="1">
        <v>1</v>
      </c>
      <c r="S327" s="1">
        <v>1.06</v>
      </c>
      <c r="T327" s="1">
        <v>0.98</v>
      </c>
      <c r="U327" s="1">
        <v>0.1</v>
      </c>
      <c r="V327" s="1">
        <v>0</v>
      </c>
      <c r="W327" s="1">
        <v>1.3</v>
      </c>
      <c r="X327" s="1">
        <v>1.31</v>
      </c>
      <c r="Y327" s="1" t="s">
        <v>1240</v>
      </c>
      <c r="Z327" s="1" t="s">
        <v>1503</v>
      </c>
    </row>
    <row r="328" spans="1:38">
      <c r="A328" s="1" t="s">
        <v>352</v>
      </c>
      <c r="B328" s="1" t="s">
        <v>627</v>
      </c>
      <c r="C328" s="1" t="s">
        <v>645</v>
      </c>
      <c r="D328" s="1" t="s">
        <v>654</v>
      </c>
      <c r="E328" s="1" t="s">
        <v>749</v>
      </c>
      <c r="F328" s="1" t="s">
        <v>847</v>
      </c>
      <c r="G328" s="1" t="s">
        <v>854</v>
      </c>
      <c r="H328" s="1">
        <f>HYPERLINK("https://tidesandcurrents.noaa.gov/stationhome.html?id=8720357", "8720357")</f>
        <v>0</v>
      </c>
      <c r="I328" s="1">
        <v>-81.69</v>
      </c>
      <c r="J328" s="1">
        <v>30.19242</v>
      </c>
      <c r="K328" s="1" t="s">
        <v>865</v>
      </c>
      <c r="L328" s="1" t="s">
        <v>866</v>
      </c>
      <c r="M328" s="1" t="s">
        <v>874</v>
      </c>
      <c r="N328" s="2">
        <f>HYPERLINK("https://tidesandcurrents.noaa.gov/datums.html?datum=MLLW&amp;units=0&amp;epoch=0&amp;id=8720357", "Datum Info")</f>
        <v>0</v>
      </c>
      <c r="O328" s="1" t="s">
        <v>886</v>
      </c>
      <c r="P328" s="1">
        <v>1.01</v>
      </c>
      <c r="Q328" s="1">
        <v>0.97</v>
      </c>
      <c r="R328" s="1">
        <v>0.53</v>
      </c>
      <c r="S328" s="1">
        <v>0.51</v>
      </c>
      <c r="T328" s="1">
        <v>0.51</v>
      </c>
      <c r="U328" s="1">
        <v>0.08</v>
      </c>
      <c r="V328" s="1">
        <v>0</v>
      </c>
      <c r="W328" s="1">
        <v>0.62</v>
      </c>
      <c r="X328" s="1">
        <v>0.63</v>
      </c>
      <c r="Y328" s="1" t="s">
        <v>1241</v>
      </c>
      <c r="Z328" s="1" t="s">
        <v>1504</v>
      </c>
    </row>
    <row r="329" spans="1:38">
      <c r="A329" s="1" t="s">
        <v>353</v>
      </c>
      <c r="B329" s="1" t="s">
        <v>627</v>
      </c>
      <c r="C329" s="1" t="s">
        <v>645</v>
      </c>
      <c r="D329" s="1" t="s">
        <v>654</v>
      </c>
      <c r="E329" s="1" t="s">
        <v>750</v>
      </c>
      <c r="F329" s="1" t="s">
        <v>847</v>
      </c>
      <c r="G329" s="1" t="s">
        <v>854</v>
      </c>
      <c r="H329" s="1">
        <f>HYPERLINK("https://tidesandcurrents.noaa.gov/stationhome.html?id=8720398", "8720398")</f>
        <v>0</v>
      </c>
      <c r="I329" s="1">
        <v>-81.3867</v>
      </c>
      <c r="J329" s="1">
        <v>30.1333</v>
      </c>
      <c r="K329" s="1" t="s">
        <v>861</v>
      </c>
      <c r="L329" s="1" t="s">
        <v>866</v>
      </c>
      <c r="M329" s="1" t="s">
        <v>874</v>
      </c>
      <c r="N329" s="2">
        <f>HYPERLINK("https://tidesandcurrents.noaa.gov/datums.html?datum=MLLW&amp;units=0&amp;epoch=0&amp;id=8720398", "Datum Info")</f>
        <v>0</v>
      </c>
      <c r="O329" s="1" t="s">
        <v>886</v>
      </c>
      <c r="P329" s="1">
        <v>5.09</v>
      </c>
      <c r="Q329" s="1">
        <v>4.84</v>
      </c>
      <c r="R329" s="1">
        <v>2.51</v>
      </c>
      <c r="S329" s="1">
        <v>2.98</v>
      </c>
      <c r="T329" s="1">
        <v>2.55</v>
      </c>
      <c r="U329" s="1">
        <v>0.18</v>
      </c>
      <c r="V329" s="1">
        <v>0</v>
      </c>
      <c r="W329" s="1">
        <v>3.15</v>
      </c>
      <c r="X329" s="1">
        <v>-1.94</v>
      </c>
      <c r="Y329" s="1" t="s">
        <v>1242</v>
      </c>
      <c r="Z329" s="1" t="s">
        <v>1505</v>
      </c>
      <c r="AC329" s="1" t="s">
        <v>1658</v>
      </c>
      <c r="AH329" s="1">
        <v>1.5</v>
      </c>
      <c r="AI329" s="1">
        <v>2</v>
      </c>
      <c r="AJ329" s="1">
        <v>2.5</v>
      </c>
      <c r="AK329" s="1">
        <v>3.5</v>
      </c>
      <c r="AL329" s="1" t="s">
        <v>1744</v>
      </c>
    </row>
    <row r="330" spans="1:38">
      <c r="A330" s="1" t="s">
        <v>354</v>
      </c>
      <c r="B330" s="1" t="s">
        <v>627</v>
      </c>
      <c r="C330" s="1" t="s">
        <v>645</v>
      </c>
      <c r="D330" s="1" t="s">
        <v>654</v>
      </c>
      <c r="E330" s="1" t="s">
        <v>750</v>
      </c>
      <c r="F330" s="1" t="s">
        <v>847</v>
      </c>
      <c r="G330" s="1" t="s">
        <v>854</v>
      </c>
      <c r="H330" s="1">
        <f>HYPERLINK("https://tidesandcurrents.noaa.gov/stationhome.html?id=8720625", "8720625")</f>
        <v>0</v>
      </c>
      <c r="I330" s="1">
        <v>-81.5483</v>
      </c>
      <c r="J330" s="1">
        <v>29.8017</v>
      </c>
      <c r="K330" s="1" t="s">
        <v>860</v>
      </c>
      <c r="L330" s="1" t="s">
        <v>866</v>
      </c>
      <c r="M330" s="1" t="s">
        <v>874</v>
      </c>
      <c r="N330" s="2">
        <f>HYPERLINK("https://tidesandcurrents.noaa.gov/datums.html?datum=MLLW&amp;units=0&amp;epoch=0&amp;id=8720625", "Datum Info")</f>
        <v>0</v>
      </c>
      <c r="O330" s="1" t="s">
        <v>886</v>
      </c>
      <c r="P330" s="1">
        <v>1.27</v>
      </c>
      <c r="Q330" s="1">
        <v>1.21</v>
      </c>
      <c r="R330" s="1">
        <v>0.64</v>
      </c>
      <c r="S330" s="1">
        <v>0.64</v>
      </c>
      <c r="T330" s="1">
        <v>0.63</v>
      </c>
      <c r="U330" s="1">
        <v>0.08</v>
      </c>
      <c r="V330" s="1">
        <v>0</v>
      </c>
      <c r="W330" s="1">
        <v>0.62</v>
      </c>
      <c r="X330" s="1">
        <v>0.63</v>
      </c>
      <c r="Y330" s="1" t="s">
        <v>1243</v>
      </c>
      <c r="Z330" s="1" t="s">
        <v>1506</v>
      </c>
    </row>
    <row r="331" spans="1:38">
      <c r="A331" s="1" t="s">
        <v>355</v>
      </c>
      <c r="B331" s="1" t="s">
        <v>627</v>
      </c>
      <c r="C331" s="1" t="s">
        <v>645</v>
      </c>
      <c r="D331" s="1" t="s">
        <v>654</v>
      </c>
      <c r="E331" s="1" t="s">
        <v>751</v>
      </c>
      <c r="F331" s="1" t="s">
        <v>838</v>
      </c>
      <c r="G331" s="1" t="s">
        <v>854</v>
      </c>
      <c r="H331" s="1">
        <f>HYPERLINK("https://waterdata.usgs.gov/nwis/nwismap/?site_no=02228070&amp;agency_cd=USGS", "US02228070")</f>
        <v>0</v>
      </c>
      <c r="I331" s="1">
        <v>-81.7268578</v>
      </c>
      <c r="J331" s="1">
        <v>30.97488298</v>
      </c>
      <c r="K331" s="1" t="s">
        <v>861</v>
      </c>
      <c r="L331" s="1" t="s">
        <v>867</v>
      </c>
      <c r="M331" s="1" t="s">
        <v>874</v>
      </c>
      <c r="N331" s="2">
        <f>HYPERLINK("https://waterservices.usgs.gov/nwis/site/?site=02228070&amp;format=rdb", "Datum Info")</f>
        <v>0</v>
      </c>
      <c r="O331" s="1" t="s">
        <v>887</v>
      </c>
      <c r="W331" s="1" t="s">
        <v>1024</v>
      </c>
      <c r="AB331" s="1">
        <v>0</v>
      </c>
      <c r="AC331" s="1" t="s">
        <v>1659</v>
      </c>
      <c r="AH331" s="1">
        <v>0.1</v>
      </c>
      <c r="AI331" s="1">
        <v>0.6</v>
      </c>
      <c r="AJ331" s="1">
        <v>1.6</v>
      </c>
      <c r="AK331" s="1">
        <v>2.6</v>
      </c>
      <c r="AL331" s="1" t="s">
        <v>1744</v>
      </c>
    </row>
    <row r="332" spans="1:38">
      <c r="A332" s="1" t="s">
        <v>356</v>
      </c>
      <c r="B332" s="1" t="s">
        <v>627</v>
      </c>
      <c r="D332" s="1" t="s">
        <v>654</v>
      </c>
      <c r="H332" s="1">
        <f>HYPERLINK("https://waterdata.usgs.gov/nwis/nwismap/?site_no=02228295&amp;agency_cd=USGS", "US02228295")</f>
        <v>0</v>
      </c>
      <c r="I332" s="1">
        <v>-81.47135788</v>
      </c>
      <c r="J332" s="1">
        <v>30.76432746</v>
      </c>
      <c r="K332" s="1" t="s">
        <v>861</v>
      </c>
      <c r="L332" s="1" t="s">
        <v>867</v>
      </c>
      <c r="M332" s="1" t="s">
        <v>874</v>
      </c>
      <c r="N332" s="2">
        <f>HYPERLINK("https://waterservices.usgs.gov/nwis/site/?site=02228295&amp;format=rdb", "Datum Info")</f>
        <v>0</v>
      </c>
      <c r="O332" s="1" t="s">
        <v>887</v>
      </c>
      <c r="P332" s="1" t="s">
        <v>909</v>
      </c>
      <c r="Q332" s="1" t="s">
        <v>916</v>
      </c>
      <c r="R332" s="1" t="s">
        <v>923</v>
      </c>
      <c r="T332" s="1" t="s">
        <v>931</v>
      </c>
      <c r="U332" s="1" t="s">
        <v>938</v>
      </c>
      <c r="V332" s="1" t="s">
        <v>945</v>
      </c>
      <c r="W332" s="1" t="s">
        <v>1025</v>
      </c>
      <c r="Y332" s="1" t="s">
        <v>1244</v>
      </c>
      <c r="Z332" s="1" t="s">
        <v>1507</v>
      </c>
      <c r="AC332" s="1" t="s">
        <v>1660</v>
      </c>
      <c r="AH332" s="1">
        <v>1.2</v>
      </c>
      <c r="AI332" s="1">
        <v>1.7</v>
      </c>
      <c r="AJ332" s="1">
        <v>2.2</v>
      </c>
      <c r="AK332" s="1">
        <v>3.5</v>
      </c>
      <c r="AL332" s="1" t="s">
        <v>1744</v>
      </c>
    </row>
    <row r="333" spans="1:38">
      <c r="A333" s="1" t="s">
        <v>357</v>
      </c>
      <c r="B333" s="1" t="s">
        <v>627</v>
      </c>
      <c r="C333" s="1" t="s">
        <v>645</v>
      </c>
      <c r="D333" s="1" t="s">
        <v>654</v>
      </c>
      <c r="H333" s="1">
        <f>HYPERLINK("https://waterdata.usgs.gov/nwis/nwismap/?site_no=02231254&amp;agency_cd=USGS", "US02231254")</f>
        <v>0</v>
      </c>
      <c r="I333" s="1">
        <v>-81.65426503</v>
      </c>
      <c r="J333" s="1">
        <v>30.74411814</v>
      </c>
      <c r="K333" s="1" t="s">
        <v>861</v>
      </c>
      <c r="L333" s="1" t="s">
        <v>867</v>
      </c>
      <c r="M333" s="1" t="s">
        <v>874</v>
      </c>
      <c r="N333" s="2">
        <f>HYPERLINK("https://waterservices.usgs.gov/nwis/site/?site=02231254&amp;format=rdb", "Datum Info")</f>
        <v>0</v>
      </c>
      <c r="O333" s="1" t="s">
        <v>887</v>
      </c>
      <c r="W333" s="1" t="s">
        <v>955</v>
      </c>
      <c r="AC333" s="1" t="s">
        <v>1661</v>
      </c>
      <c r="AH333" s="1">
        <v>0.5</v>
      </c>
      <c r="AI333" s="1">
        <v>1</v>
      </c>
      <c r="AJ333" s="1">
        <v>1.5</v>
      </c>
      <c r="AK333" s="1">
        <v>3</v>
      </c>
      <c r="AL333" s="1" t="s">
        <v>1744</v>
      </c>
    </row>
    <row r="334" spans="1:38">
      <c r="A334" s="1" t="s">
        <v>358</v>
      </c>
      <c r="B334" s="1" t="s">
        <v>627</v>
      </c>
      <c r="C334" s="1" t="s">
        <v>645</v>
      </c>
      <c r="D334" s="1" t="s">
        <v>654</v>
      </c>
      <c r="E334" s="1" t="s">
        <v>749</v>
      </c>
      <c r="F334" s="1" t="s">
        <v>847</v>
      </c>
      <c r="G334" s="1" t="s">
        <v>854</v>
      </c>
      <c r="H334" s="1">
        <f>HYPERLINK("https://waterdata.usgs.gov/nwis/nwismap/?site_no=02231291&amp;agency_cd=USGS", "US02231291")</f>
        <v>0</v>
      </c>
      <c r="I334" s="1">
        <v>-81.58981466</v>
      </c>
      <c r="J334" s="1">
        <v>30.55078729</v>
      </c>
      <c r="K334" s="1" t="s">
        <v>861</v>
      </c>
      <c r="L334" s="1" t="s">
        <v>867</v>
      </c>
      <c r="M334" s="1" t="s">
        <v>874</v>
      </c>
      <c r="N334" s="2">
        <f>HYPERLINK("https://waterservices.usgs.gov/nwis/site/?site=02231291&amp;format=rdb", "Datum Info")</f>
        <v>0</v>
      </c>
      <c r="AC334" s="1" t="s">
        <v>1662</v>
      </c>
      <c r="AH334" s="1">
        <v>0.8</v>
      </c>
      <c r="AI334" s="1">
        <v>1.3</v>
      </c>
      <c r="AJ334" s="1">
        <v>2.3</v>
      </c>
      <c r="AK334" s="1">
        <v>3.3</v>
      </c>
      <c r="AL334" s="1" t="s">
        <v>1744</v>
      </c>
    </row>
    <row r="335" spans="1:38">
      <c r="A335" s="1" t="s">
        <v>359</v>
      </c>
      <c r="B335" s="1" t="s">
        <v>627</v>
      </c>
      <c r="C335" s="1" t="s">
        <v>645</v>
      </c>
      <c r="D335" s="1" t="s">
        <v>654</v>
      </c>
      <c r="E335" s="1" t="s">
        <v>752</v>
      </c>
      <c r="F335" s="1" t="s">
        <v>847</v>
      </c>
      <c r="G335" s="1" t="s">
        <v>854</v>
      </c>
      <c r="H335" s="1">
        <f>HYPERLINK("https://waterdata.usgs.gov/nwis/nwismap/?site_no=02244040&amp;agency_cd=USGS", "US02244040")</f>
        <v>0</v>
      </c>
      <c r="I335" s="1">
        <v>-81.68313477</v>
      </c>
      <c r="J335" s="1">
        <v>29.59635261</v>
      </c>
      <c r="K335" s="1" t="s">
        <v>861</v>
      </c>
      <c r="L335" s="1" t="s">
        <v>867</v>
      </c>
      <c r="M335" s="1" t="s">
        <v>874</v>
      </c>
      <c r="N335" s="2">
        <f>HYPERLINK("https://waterservices.usgs.gov/nwis/site/?site=02244040&amp;format=rdb", "Datum Info")</f>
        <v>0</v>
      </c>
      <c r="AB335" s="1">
        <v>0</v>
      </c>
      <c r="AC335" s="1" t="s">
        <v>1663</v>
      </c>
      <c r="AH335" s="1">
        <v>1</v>
      </c>
      <c r="AI335" s="1">
        <v>1.5</v>
      </c>
      <c r="AJ335" s="1">
        <v>2</v>
      </c>
      <c r="AK335" s="1">
        <v>3</v>
      </c>
      <c r="AL335" s="1" t="s">
        <v>1744</v>
      </c>
    </row>
    <row r="336" spans="1:38">
      <c r="A336" s="1" t="s">
        <v>360</v>
      </c>
      <c r="B336" s="1" t="s">
        <v>627</v>
      </c>
      <c r="C336" s="1" t="s">
        <v>645</v>
      </c>
      <c r="D336" s="1" t="s">
        <v>654</v>
      </c>
      <c r="E336" s="1" t="s">
        <v>752</v>
      </c>
      <c r="F336" s="1" t="s">
        <v>847</v>
      </c>
      <c r="G336" s="1" t="s">
        <v>854</v>
      </c>
      <c r="H336" s="1">
        <f>HYPERLINK("https://waterdata.usgs.gov/nwis/nwismap/?site_no=02244440&amp;agency_cd=USGS", "US02244440")</f>
        <v>0</v>
      </c>
      <c r="I336" s="1">
        <v>-81.62618778</v>
      </c>
      <c r="J336" s="1">
        <v>29.57774225</v>
      </c>
      <c r="K336" s="1" t="s">
        <v>861</v>
      </c>
      <c r="L336" s="1" t="s">
        <v>867</v>
      </c>
      <c r="M336" s="1" t="s">
        <v>874</v>
      </c>
      <c r="N336" s="2">
        <f>HYPERLINK("https://waterservices.usgs.gov/nwis/site/?site=02244440&amp;format=rdb", "Datum Info")</f>
        <v>0</v>
      </c>
      <c r="AB336" s="1">
        <v>0</v>
      </c>
      <c r="AC336" s="1" t="s">
        <v>1664</v>
      </c>
      <c r="AH336" s="1">
        <v>1</v>
      </c>
      <c r="AI336" s="1">
        <v>1.5</v>
      </c>
      <c r="AJ336" s="1">
        <v>2</v>
      </c>
      <c r="AK336" s="1">
        <v>3</v>
      </c>
      <c r="AL336" s="1" t="s">
        <v>1744</v>
      </c>
    </row>
    <row r="337" spans="1:38">
      <c r="A337" s="1" t="s">
        <v>361</v>
      </c>
      <c r="B337" s="1" t="s">
        <v>627</v>
      </c>
      <c r="C337" s="1" t="s">
        <v>645</v>
      </c>
      <c r="D337" s="1" t="s">
        <v>654</v>
      </c>
      <c r="E337" s="1" t="s">
        <v>750</v>
      </c>
      <c r="F337" s="1" t="s">
        <v>847</v>
      </c>
      <c r="G337" s="1" t="s">
        <v>854</v>
      </c>
      <c r="H337" s="1">
        <f>HYPERLINK("https://waterdata.usgs.gov/nwis/nwismap/?site_no=02245260&amp;agency_cd=USGS", "US02245260")</f>
        <v>0</v>
      </c>
      <c r="I337" s="1">
        <v>-81.48436352</v>
      </c>
      <c r="J337" s="1">
        <v>29.72337494</v>
      </c>
      <c r="K337" s="1" t="s">
        <v>861</v>
      </c>
      <c r="L337" s="1" t="s">
        <v>867</v>
      </c>
      <c r="M337" s="1" t="s">
        <v>874</v>
      </c>
      <c r="N337" s="2">
        <f>HYPERLINK("https://waterservices.usgs.gov/nwis/site/?site=02245260&amp;format=rdb", "Datum Info")</f>
        <v>0</v>
      </c>
      <c r="AB337" s="1">
        <v>0</v>
      </c>
      <c r="AC337" s="1" t="s">
        <v>1665</v>
      </c>
      <c r="AH337" s="1">
        <v>1.2</v>
      </c>
      <c r="AI337" s="1">
        <v>1.7</v>
      </c>
      <c r="AJ337" s="1">
        <v>2.7</v>
      </c>
      <c r="AK337" s="1">
        <v>4.2</v>
      </c>
      <c r="AL337" s="1" t="s">
        <v>1744</v>
      </c>
    </row>
    <row r="338" spans="1:38">
      <c r="A338" s="1" t="s">
        <v>362</v>
      </c>
      <c r="B338" s="1" t="s">
        <v>627</v>
      </c>
      <c r="C338" s="1" t="s">
        <v>645</v>
      </c>
      <c r="D338" s="1" t="s">
        <v>654</v>
      </c>
      <c r="E338" s="1" t="s">
        <v>750</v>
      </c>
      <c r="F338" s="1" t="s">
        <v>847</v>
      </c>
      <c r="G338" s="1" t="s">
        <v>854</v>
      </c>
      <c r="H338" s="1">
        <f>HYPERLINK("https://waterdata.usgs.gov/nwis/nwismap/?site_no=02245290&amp;agency_cd=USGS", "US02245290")</f>
        <v>0</v>
      </c>
      <c r="I338" s="1">
        <v>-81.5499968</v>
      </c>
      <c r="J338" s="1">
        <v>29.79999436</v>
      </c>
      <c r="K338" s="1" t="s">
        <v>861</v>
      </c>
      <c r="L338" s="1" t="s">
        <v>867</v>
      </c>
      <c r="M338" s="1" t="s">
        <v>874</v>
      </c>
      <c r="N338" s="2">
        <f>HYPERLINK("https://waterservices.usgs.gov/nwis/site/?site=02245290&amp;format=rdb", "Datum Info")</f>
        <v>0</v>
      </c>
      <c r="AB338" s="1">
        <v>0</v>
      </c>
      <c r="AH338" s="1">
        <v>1</v>
      </c>
      <c r="AI338" s="1">
        <v>1.5</v>
      </c>
      <c r="AJ338" s="1">
        <v>2</v>
      </c>
      <c r="AK338" s="1">
        <v>3</v>
      </c>
      <c r="AL338" s="1" t="s">
        <v>1744</v>
      </c>
    </row>
    <row r="339" spans="1:38">
      <c r="A339" s="1" t="s">
        <v>363</v>
      </c>
      <c r="B339" s="1" t="s">
        <v>627</v>
      </c>
      <c r="C339" s="1" t="s">
        <v>645</v>
      </c>
      <c r="D339" s="1" t="s">
        <v>654</v>
      </c>
      <c r="E339" s="1" t="s">
        <v>750</v>
      </c>
      <c r="F339" s="1" t="s">
        <v>847</v>
      </c>
      <c r="G339" s="1" t="s">
        <v>854</v>
      </c>
      <c r="H339" s="1">
        <f>HYPERLINK("https://waterdata.usgs.gov/nwis/nwismap/?site_no=02245340&amp;agency_cd=USGS", "US02245340")</f>
        <v>0</v>
      </c>
      <c r="I339" s="1">
        <v>-81.61513287</v>
      </c>
      <c r="J339" s="1">
        <v>30.00591651</v>
      </c>
      <c r="K339" s="1" t="s">
        <v>861</v>
      </c>
      <c r="L339" s="1" t="s">
        <v>867</v>
      </c>
      <c r="M339" s="1" t="s">
        <v>874</v>
      </c>
      <c r="N339" s="2">
        <f>HYPERLINK("https://waterservices.usgs.gov/nwis/site/?site=02245340&amp;format=rdb", "Datum Info")</f>
        <v>0</v>
      </c>
      <c r="AB339" s="1">
        <v>0</v>
      </c>
      <c r="AH339" s="1">
        <v>1</v>
      </c>
      <c r="AI339" s="1">
        <v>1.5</v>
      </c>
      <c r="AJ339" s="1">
        <v>2</v>
      </c>
      <c r="AK339" s="1">
        <v>3</v>
      </c>
      <c r="AL339" s="1" t="s">
        <v>1744</v>
      </c>
    </row>
    <row r="340" spans="1:38">
      <c r="A340" s="1" t="s">
        <v>364</v>
      </c>
      <c r="B340" s="1" t="s">
        <v>627</v>
      </c>
      <c r="C340" s="1" t="s">
        <v>645</v>
      </c>
      <c r="D340" s="1" t="s">
        <v>654</v>
      </c>
      <c r="E340" s="1" t="s">
        <v>749</v>
      </c>
      <c r="F340" s="1" t="s">
        <v>847</v>
      </c>
      <c r="G340" s="1" t="s">
        <v>854</v>
      </c>
      <c r="H340" s="1">
        <f>HYPERLINK("https://waterdata.usgs.gov/nwis/nwismap/?site_no=02246160&amp;agency_cd=USGS", "US02246160")</f>
        <v>0</v>
      </c>
      <c r="I340" s="1">
        <v>-81.55589678</v>
      </c>
      <c r="J340" s="1">
        <v>30.14332484</v>
      </c>
      <c r="K340" s="1" t="s">
        <v>861</v>
      </c>
      <c r="L340" s="1" t="s">
        <v>867</v>
      </c>
      <c r="M340" s="1" t="s">
        <v>874</v>
      </c>
      <c r="N340" s="2">
        <f>HYPERLINK("https://waterservices.usgs.gov/nwis/site/?site=02246160&amp;format=rdb", "Datum Info")</f>
        <v>0</v>
      </c>
      <c r="AA340" s="1" t="s">
        <v>887</v>
      </c>
      <c r="AB340" s="1">
        <v>0</v>
      </c>
      <c r="AC340" s="1" t="s">
        <v>1666</v>
      </c>
      <c r="AH340" s="1">
        <v>0.7</v>
      </c>
      <c r="AI340" s="1">
        <v>1.2</v>
      </c>
      <c r="AJ340" s="1">
        <v>1.7</v>
      </c>
      <c r="AK340" s="1">
        <v>2.7</v>
      </c>
      <c r="AL340" s="1" t="s">
        <v>1744</v>
      </c>
    </row>
    <row r="341" spans="1:38">
      <c r="A341" s="1" t="s">
        <v>365</v>
      </c>
      <c r="B341" s="1" t="s">
        <v>627</v>
      </c>
      <c r="C341" s="1" t="s">
        <v>645</v>
      </c>
      <c r="D341" s="1" t="s">
        <v>654</v>
      </c>
      <c r="E341" s="1" t="s">
        <v>749</v>
      </c>
      <c r="F341" s="1" t="s">
        <v>847</v>
      </c>
      <c r="G341" s="1" t="s">
        <v>854</v>
      </c>
      <c r="H341" s="1">
        <f>HYPERLINK("https://waterdata.usgs.gov/nwis/nwismap/?site_no=022462002&amp;agency_cd=USGS", "US022462002")</f>
        <v>0</v>
      </c>
      <c r="I341" s="1">
        <v>-81.54638568</v>
      </c>
      <c r="J341" s="1">
        <v>30.11916096</v>
      </c>
      <c r="K341" s="1" t="s">
        <v>861</v>
      </c>
      <c r="L341" s="1" t="s">
        <v>867</v>
      </c>
      <c r="M341" s="1" t="s">
        <v>874</v>
      </c>
      <c r="N341" s="2">
        <f>HYPERLINK("https://waterservices.usgs.gov/nwis/site/?site=022462002&amp;format=rdb", "Datum Info")</f>
        <v>0</v>
      </c>
      <c r="O341" s="1" t="s">
        <v>887</v>
      </c>
      <c r="W341" s="1" t="s">
        <v>1026</v>
      </c>
      <c r="AC341" s="1" t="s">
        <v>1427</v>
      </c>
      <c r="AF341" s="1" t="s">
        <v>1734</v>
      </c>
      <c r="AH341" s="1">
        <v>2</v>
      </c>
      <c r="AI341" s="1">
        <v>3</v>
      </c>
      <c r="AJ341" s="1">
        <v>4</v>
      </c>
      <c r="AK341" s="1">
        <v>5</v>
      </c>
      <c r="AL341" s="1" t="s">
        <v>1744</v>
      </c>
    </row>
    <row r="342" spans="1:38">
      <c r="A342" s="1" t="s">
        <v>366</v>
      </c>
      <c r="B342" s="1" t="s">
        <v>627</v>
      </c>
      <c r="C342" s="1" t="s">
        <v>645</v>
      </c>
      <c r="D342" s="1" t="s">
        <v>654</v>
      </c>
      <c r="E342" s="1" t="s">
        <v>749</v>
      </c>
      <c r="F342" s="1" t="s">
        <v>847</v>
      </c>
      <c r="G342" s="1" t="s">
        <v>854</v>
      </c>
      <c r="H342" s="1">
        <f>HYPERLINK("https://waterdata.usgs.gov/nwis/nwismap/?site_no=02246459&amp;agency_cd=USGS", "US02246459")</f>
        <v>0</v>
      </c>
      <c r="I342" s="1">
        <v>-81.74037282</v>
      </c>
      <c r="J342" s="1">
        <v>30.282178</v>
      </c>
      <c r="K342" s="1" t="s">
        <v>861</v>
      </c>
      <c r="L342" s="1" t="s">
        <v>867</v>
      </c>
      <c r="M342" s="1" t="s">
        <v>874</v>
      </c>
      <c r="N342" s="2">
        <f>HYPERLINK("https://waterservices.usgs.gov/nwis/site/?site=02246459&amp;format=rdb", "Datum Info")</f>
        <v>0</v>
      </c>
      <c r="AB342" s="1">
        <v>0</v>
      </c>
      <c r="AC342" s="1" t="s">
        <v>1667</v>
      </c>
      <c r="AH342" s="1">
        <v>1</v>
      </c>
      <c r="AI342" s="1">
        <v>1.5</v>
      </c>
      <c r="AJ342" s="1">
        <v>2</v>
      </c>
      <c r="AK342" s="1">
        <v>3</v>
      </c>
      <c r="AL342" s="1" t="s">
        <v>1744</v>
      </c>
    </row>
    <row r="343" spans="1:38">
      <c r="A343" s="1" t="s">
        <v>367</v>
      </c>
      <c r="B343" s="1" t="s">
        <v>627</v>
      </c>
      <c r="C343" s="1" t="s">
        <v>645</v>
      </c>
      <c r="D343" s="1" t="s">
        <v>654</v>
      </c>
      <c r="E343" s="1" t="s">
        <v>749</v>
      </c>
      <c r="F343" s="1" t="s">
        <v>847</v>
      </c>
      <c r="G343" s="1" t="s">
        <v>854</v>
      </c>
      <c r="H343" s="1">
        <f>HYPERLINK("https://waterdata.usgs.gov/nwis/nwismap/?site_no=02246500&amp;agency_cd=USGS", "US02246500")</f>
        <v>0</v>
      </c>
      <c r="I343" s="1">
        <v>-81.66537024</v>
      </c>
      <c r="J343" s="1">
        <v>30.32245584</v>
      </c>
      <c r="K343" s="1" t="s">
        <v>861</v>
      </c>
      <c r="L343" s="1" t="s">
        <v>867</v>
      </c>
      <c r="M343" s="1" t="s">
        <v>874</v>
      </c>
      <c r="N343" s="2">
        <f>HYPERLINK("https://waterservices.usgs.gov/nwis/site/?site=02246500&amp;format=rdb", "Datum Info")</f>
        <v>0</v>
      </c>
      <c r="AB343" s="1">
        <v>0</v>
      </c>
      <c r="AC343" s="1" t="s">
        <v>1668</v>
      </c>
      <c r="AH343" s="1">
        <v>1</v>
      </c>
      <c r="AI343" s="1">
        <v>1.5</v>
      </c>
      <c r="AJ343" s="1">
        <v>2</v>
      </c>
      <c r="AK343" s="1">
        <v>3</v>
      </c>
      <c r="AL343" s="1" t="s">
        <v>1744</v>
      </c>
    </row>
    <row r="344" spans="1:38">
      <c r="A344" s="1" t="s">
        <v>368</v>
      </c>
      <c r="B344" s="1" t="s">
        <v>627</v>
      </c>
      <c r="C344" s="1" t="s">
        <v>645</v>
      </c>
      <c r="D344" s="1" t="s">
        <v>654</v>
      </c>
      <c r="E344" s="1" t="s">
        <v>749</v>
      </c>
      <c r="F344" s="1" t="s">
        <v>847</v>
      </c>
      <c r="G344" s="1" t="s">
        <v>854</v>
      </c>
      <c r="H344" s="1">
        <f>HYPERLINK("https://waterdata.usgs.gov/nwis/nwismap/?site_no=02246518&amp;agency_cd=USGS", "US02246518")</f>
        <v>0</v>
      </c>
      <c r="I344" s="1">
        <v>-81.56999677</v>
      </c>
      <c r="J344" s="1">
        <v>30.28696369</v>
      </c>
      <c r="K344" s="1" t="s">
        <v>861</v>
      </c>
      <c r="L344" s="1" t="s">
        <v>867</v>
      </c>
      <c r="M344" s="1" t="s">
        <v>874</v>
      </c>
      <c r="N344" s="2">
        <f>HYPERLINK("https://waterservices.usgs.gov/nwis/site/?site=02246518&amp;format=rdb", "Datum Info")</f>
        <v>0</v>
      </c>
      <c r="AA344" s="1" t="s">
        <v>887</v>
      </c>
      <c r="AB344" s="1">
        <v>0</v>
      </c>
      <c r="AC344" s="1" t="s">
        <v>1669</v>
      </c>
      <c r="AH344" s="1">
        <v>1</v>
      </c>
      <c r="AI344" s="1">
        <v>1.5</v>
      </c>
      <c r="AJ344" s="1">
        <v>2.2</v>
      </c>
      <c r="AK344" s="1">
        <v>3.5</v>
      </c>
      <c r="AL344" s="1" t="s">
        <v>1744</v>
      </c>
    </row>
    <row r="345" spans="1:38">
      <c r="A345" s="1" t="s">
        <v>369</v>
      </c>
      <c r="B345" s="1" t="s">
        <v>627</v>
      </c>
      <c r="C345" s="1" t="s">
        <v>645</v>
      </c>
      <c r="D345" s="1" t="s">
        <v>654</v>
      </c>
      <c r="E345" s="1" t="s">
        <v>749</v>
      </c>
      <c r="F345" s="1" t="s">
        <v>847</v>
      </c>
      <c r="G345" s="1" t="s">
        <v>854</v>
      </c>
      <c r="H345" s="1">
        <f>HYPERLINK("https://waterdata.usgs.gov/nwis/nwismap/?site_no=02246621&amp;agency_cd=USGS", "US02246621")</f>
        <v>0</v>
      </c>
      <c r="I345" s="1">
        <v>-81.69648431</v>
      </c>
      <c r="J345" s="1">
        <v>30.4174548</v>
      </c>
      <c r="K345" s="1" t="s">
        <v>861</v>
      </c>
      <c r="L345" s="1" t="s">
        <v>867</v>
      </c>
      <c r="M345" s="1" t="s">
        <v>874</v>
      </c>
      <c r="N345" s="2">
        <f>HYPERLINK("https://waterservices.usgs.gov/nwis/site/?site=02246621&amp;format=rdb", "Datum Info")</f>
        <v>0</v>
      </c>
      <c r="AC345" s="1" t="s">
        <v>1670</v>
      </c>
      <c r="AH345" s="1">
        <v>1.3</v>
      </c>
      <c r="AI345" s="1">
        <v>1.8</v>
      </c>
      <c r="AJ345" s="1">
        <v>2.3</v>
      </c>
      <c r="AK345" s="1">
        <v>3.3</v>
      </c>
      <c r="AL345" s="1" t="s">
        <v>1744</v>
      </c>
    </row>
    <row r="346" spans="1:38">
      <c r="A346" s="1" t="s">
        <v>370</v>
      </c>
      <c r="B346" s="1" t="s">
        <v>627</v>
      </c>
      <c r="C346" s="1" t="s">
        <v>645</v>
      </c>
      <c r="D346" s="1" t="s">
        <v>654</v>
      </c>
      <c r="E346" s="1" t="s">
        <v>749</v>
      </c>
      <c r="F346" s="1" t="s">
        <v>847</v>
      </c>
      <c r="G346" s="1" t="s">
        <v>854</v>
      </c>
      <c r="H346" s="1">
        <f>HYPERLINK("https://waterdata.usgs.gov/nwis/nwismap/?site_no=02246804&amp;agency_cd=USGS", "US02246804")</f>
        <v>0</v>
      </c>
      <c r="I346" s="1">
        <v>-81.59688565</v>
      </c>
      <c r="J346" s="1">
        <v>30.45493588</v>
      </c>
      <c r="K346" s="1" t="s">
        <v>861</v>
      </c>
      <c r="L346" s="1" t="s">
        <v>867</v>
      </c>
      <c r="M346" s="1" t="s">
        <v>874</v>
      </c>
      <c r="N346" s="2">
        <f>HYPERLINK("https://waterservices.usgs.gov/nwis/site/?site=02246804&amp;format=rdb", "Datum Info")</f>
        <v>0</v>
      </c>
      <c r="AC346" s="1" t="s">
        <v>1671</v>
      </c>
      <c r="AH346" s="1">
        <v>1</v>
      </c>
      <c r="AI346" s="1">
        <v>1.5</v>
      </c>
      <c r="AJ346" s="1">
        <v>2</v>
      </c>
      <c r="AK346" s="1">
        <v>3</v>
      </c>
      <c r="AL346" s="1" t="s">
        <v>1744</v>
      </c>
    </row>
    <row r="347" spans="1:38">
      <c r="A347" s="1" t="s">
        <v>371</v>
      </c>
      <c r="B347" s="1" t="s">
        <v>627</v>
      </c>
      <c r="C347" s="1" t="s">
        <v>645</v>
      </c>
      <c r="D347" s="1" t="s">
        <v>654</v>
      </c>
      <c r="E347" s="1" t="s">
        <v>749</v>
      </c>
      <c r="F347" s="1" t="s">
        <v>847</v>
      </c>
      <c r="G347" s="1" t="s">
        <v>854</v>
      </c>
      <c r="H347" s="1">
        <f>HYPERLINK("https://waterdata.usgs.gov/nwis/nwismap/?site_no=02246825&amp;agency_cd=USGS", "US02246825")</f>
        <v>0</v>
      </c>
      <c r="I347" s="1">
        <v>-81.51825787999999</v>
      </c>
      <c r="J347" s="1">
        <v>30.44837477</v>
      </c>
      <c r="K347" s="1" t="s">
        <v>861</v>
      </c>
      <c r="L347" s="1" t="s">
        <v>867</v>
      </c>
      <c r="M347" s="1" t="s">
        <v>874</v>
      </c>
      <c r="N347" s="2">
        <f>HYPERLINK("https://waterservices.usgs.gov/nwis/site/?site=02246825&amp;format=rdb", "Datum Info")</f>
        <v>0</v>
      </c>
      <c r="AA347" s="1" t="s">
        <v>887</v>
      </c>
      <c r="AB347" s="1">
        <v>0</v>
      </c>
      <c r="AC347" s="1" t="s">
        <v>1672</v>
      </c>
      <c r="AH347" s="1">
        <v>1</v>
      </c>
      <c r="AI347" s="1">
        <v>1.5</v>
      </c>
      <c r="AJ347" s="1">
        <v>2.1</v>
      </c>
      <c r="AK347" s="1">
        <v>3</v>
      </c>
      <c r="AL347" s="1" t="s">
        <v>1744</v>
      </c>
    </row>
    <row r="348" spans="1:38">
      <c r="A348" s="1" t="s">
        <v>372</v>
      </c>
      <c r="B348" s="1" t="s">
        <v>627</v>
      </c>
      <c r="C348" s="1" t="s">
        <v>645</v>
      </c>
      <c r="D348" s="1" t="s">
        <v>654</v>
      </c>
      <c r="E348" s="1" t="s">
        <v>750</v>
      </c>
      <c r="F348" s="1" t="s">
        <v>847</v>
      </c>
      <c r="G348" s="1" t="s">
        <v>854</v>
      </c>
      <c r="H348" s="1">
        <f>HYPERLINK("https://waterdata.usgs.gov/nwis/nwismap/?site_no=02247222&amp;agency_cd=USGS", "US02247222")</f>
        <v>0</v>
      </c>
      <c r="I348" s="1">
        <v>-81.25950769000001</v>
      </c>
      <c r="J348" s="1">
        <v>29.66941114</v>
      </c>
      <c r="K348" s="1" t="s">
        <v>861</v>
      </c>
      <c r="L348" s="1" t="s">
        <v>867</v>
      </c>
      <c r="M348" s="1" t="s">
        <v>874</v>
      </c>
      <c r="N348" s="2">
        <f>HYPERLINK("https://waterservices.usgs.gov/nwis/site/?site=02247222&amp;format=rdb", "Datum Info")</f>
        <v>0</v>
      </c>
      <c r="AH348" s="1">
        <v>0.1</v>
      </c>
      <c r="AI348" s="1">
        <v>0.6</v>
      </c>
      <c r="AJ348" s="1">
        <v>1.8</v>
      </c>
      <c r="AK348" s="1">
        <v>3.3</v>
      </c>
      <c r="AL348" s="1" t="s">
        <v>1744</v>
      </c>
    </row>
    <row r="349" spans="1:38">
      <c r="A349" s="1" t="s">
        <v>373</v>
      </c>
      <c r="B349" s="1" t="s">
        <v>627</v>
      </c>
      <c r="C349" s="1" t="s">
        <v>645</v>
      </c>
      <c r="D349" s="1" t="s">
        <v>654</v>
      </c>
      <c r="E349" s="1" t="s">
        <v>749</v>
      </c>
      <c r="F349" s="1" t="s">
        <v>847</v>
      </c>
      <c r="G349" s="1" t="s">
        <v>854</v>
      </c>
      <c r="H349" s="1">
        <f>HYPERLINK("https://waterdata.usgs.gov/nwis/nwismap/?site_no=301124081395901&amp;agency_cd=USGS", "US301124081395901")</f>
        <v>0</v>
      </c>
      <c r="I349" s="1">
        <v>-81.66620155</v>
      </c>
      <c r="J349" s="1">
        <v>30.19023477</v>
      </c>
      <c r="K349" s="1" t="s">
        <v>861</v>
      </c>
      <c r="L349" s="1" t="s">
        <v>867</v>
      </c>
      <c r="M349" s="1" t="s">
        <v>874</v>
      </c>
      <c r="N349" s="2">
        <f>HYPERLINK("https://waterservices.usgs.gov/nwis/site/?site=301124081395901&amp;format=rdb", "Datum Info")</f>
        <v>0</v>
      </c>
    </row>
    <row r="350" spans="1:38">
      <c r="A350" s="1" t="s">
        <v>374</v>
      </c>
      <c r="B350" s="1" t="s">
        <v>627</v>
      </c>
      <c r="C350" s="1" t="s">
        <v>645</v>
      </c>
      <c r="D350" s="1" t="s">
        <v>654</v>
      </c>
      <c r="E350" s="1" t="s">
        <v>749</v>
      </c>
      <c r="F350" s="1" t="s">
        <v>847</v>
      </c>
      <c r="G350" s="1" t="s">
        <v>854</v>
      </c>
      <c r="H350" s="1">
        <f>HYPERLINK("https://waterdata.usgs.gov/nwis/nwismap/?site_no=302309081333001&amp;agency_cd=USGS", "US302309081333001")</f>
        <v>0</v>
      </c>
      <c r="I350" s="1">
        <v>-81.55814426000001</v>
      </c>
      <c r="J350" s="1">
        <v>30.38606692</v>
      </c>
      <c r="K350" s="1" t="s">
        <v>861</v>
      </c>
      <c r="L350" s="1" t="s">
        <v>867</v>
      </c>
      <c r="M350" s="1" t="s">
        <v>874</v>
      </c>
      <c r="N350" s="2">
        <f>HYPERLINK("https://waterservices.usgs.gov/nwis/site/?site=302309081333001&amp;format=rdb", "Datum Info")</f>
        <v>0</v>
      </c>
      <c r="AB350" s="1">
        <v>0</v>
      </c>
      <c r="AH350" s="1">
        <v>1.1</v>
      </c>
      <c r="AI350" s="1">
        <v>1.6</v>
      </c>
      <c r="AJ350" s="1">
        <v>2.1</v>
      </c>
      <c r="AK350" s="1">
        <v>3.1</v>
      </c>
      <c r="AL350" s="1" t="s">
        <v>1744</v>
      </c>
    </row>
    <row r="351" spans="1:38">
      <c r="A351" s="1" t="s">
        <v>375</v>
      </c>
      <c r="B351" s="1" t="s">
        <v>628</v>
      </c>
      <c r="C351" s="1" t="s">
        <v>645</v>
      </c>
      <c r="D351" s="1" t="s">
        <v>654</v>
      </c>
      <c r="E351" s="1" t="s">
        <v>753</v>
      </c>
      <c r="F351" s="1" t="s">
        <v>847</v>
      </c>
      <c r="G351" s="1" t="s">
        <v>854</v>
      </c>
      <c r="H351" s="1">
        <f>HYPERLINK("https://tidesandcurrents.noaa.gov/stationhome.html?id=8723970", "8723970")</f>
        <v>0</v>
      </c>
      <c r="I351" s="1">
        <v>-81.1065</v>
      </c>
      <c r="J351" s="1">
        <v>24.711</v>
      </c>
      <c r="K351" s="1" t="s">
        <v>865</v>
      </c>
      <c r="L351" s="1" t="s">
        <v>866</v>
      </c>
      <c r="M351" s="1" t="s">
        <v>874</v>
      </c>
      <c r="N351" s="2">
        <f>HYPERLINK("https://tidesandcurrents.noaa.gov/datums.html?datum=MLLW&amp;units=0&amp;epoch=0&amp;id=8723970", "Datum Info")</f>
        <v>0</v>
      </c>
      <c r="O351" s="1" t="s">
        <v>886</v>
      </c>
      <c r="P351" s="1">
        <v>0.98</v>
      </c>
      <c r="Q351" s="1">
        <v>0.87</v>
      </c>
      <c r="R351" s="1">
        <v>0.51</v>
      </c>
      <c r="S351" s="1">
        <v>0.51</v>
      </c>
      <c r="T351" s="1">
        <v>0.49</v>
      </c>
      <c r="U351" s="1">
        <v>0.16</v>
      </c>
      <c r="V351" s="1">
        <v>0</v>
      </c>
      <c r="W351" s="1">
        <v>1.34</v>
      </c>
      <c r="X351" s="1">
        <v>-2.54</v>
      </c>
      <c r="Y351" s="1" t="s">
        <v>1052</v>
      </c>
      <c r="Z351" s="1" t="s">
        <v>1508</v>
      </c>
    </row>
    <row r="352" spans="1:38">
      <c r="A352" s="1" t="s">
        <v>376</v>
      </c>
      <c r="B352" s="1" t="s">
        <v>628</v>
      </c>
      <c r="C352" s="1" t="s">
        <v>645</v>
      </c>
      <c r="D352" s="1" t="s">
        <v>654</v>
      </c>
      <c r="E352" s="1" t="s">
        <v>754</v>
      </c>
      <c r="F352" s="1" t="s">
        <v>847</v>
      </c>
      <c r="G352" s="1" t="s">
        <v>854</v>
      </c>
      <c r="H352" s="1">
        <f>HYPERLINK("https://tidesandcurrents.noaa.gov/stationhome.html?id=8724580", "8724580")</f>
        <v>0</v>
      </c>
      <c r="I352" s="1">
        <v>-81.8081</v>
      </c>
      <c r="J352" s="1">
        <v>24.55083</v>
      </c>
      <c r="K352" s="1" t="s">
        <v>865</v>
      </c>
      <c r="L352" s="1" t="s">
        <v>866</v>
      </c>
      <c r="M352" s="1" t="s">
        <v>874</v>
      </c>
      <c r="N352" s="2">
        <f>HYPERLINK("https://tidesandcurrents.noaa.gov/datums.html?datum=MLLW&amp;units=0&amp;epoch=0&amp;id=8724580", "Datum Info")</f>
        <v>0</v>
      </c>
      <c r="O352" s="1" t="s">
        <v>886</v>
      </c>
      <c r="P352" s="1">
        <v>1.81</v>
      </c>
      <c r="Q352" s="1">
        <v>1.52</v>
      </c>
      <c r="R352" s="1">
        <v>0.88</v>
      </c>
      <c r="S352" s="1">
        <v>0.89</v>
      </c>
      <c r="T352" s="1">
        <v>0.9</v>
      </c>
      <c r="U352" s="1">
        <v>0.24</v>
      </c>
      <c r="V352" s="1">
        <v>0</v>
      </c>
      <c r="W352" s="1">
        <v>1.76</v>
      </c>
      <c r="X352" s="1">
        <v>-4.56</v>
      </c>
      <c r="Y352" s="1" t="s">
        <v>1245</v>
      </c>
      <c r="Z352" s="1" t="s">
        <v>1509</v>
      </c>
    </row>
    <row r="353" spans="1:38">
      <c r="A353" s="1" t="s">
        <v>377</v>
      </c>
      <c r="B353" s="1" t="s">
        <v>629</v>
      </c>
      <c r="C353" s="1" t="s">
        <v>649</v>
      </c>
      <c r="D353" s="1" t="s">
        <v>654</v>
      </c>
      <c r="E353" s="1" t="s">
        <v>755</v>
      </c>
      <c r="F353" s="1" t="s">
        <v>848</v>
      </c>
      <c r="G353" s="1" t="s">
        <v>856</v>
      </c>
      <c r="H353" s="1">
        <f>HYPERLINK("https://tidesandcurrents.noaa.gov/stationhome.html?id=8764044", "8764044")</f>
        <v>0</v>
      </c>
      <c r="I353" s="1">
        <v>-91.2376</v>
      </c>
      <c r="J353" s="1">
        <v>29.6675</v>
      </c>
      <c r="K353" s="1" t="s">
        <v>861</v>
      </c>
      <c r="L353" s="1" t="s">
        <v>866</v>
      </c>
      <c r="M353" s="1" t="s">
        <v>874</v>
      </c>
      <c r="N353" s="2">
        <f>HYPERLINK("https://tidesandcurrents.noaa.gov/datums.html?datum=MLLW&amp;units=0&amp;epoch=0&amp;id=8764044", "Datum Info")</f>
        <v>0</v>
      </c>
      <c r="O353" s="1" t="s">
        <v>886</v>
      </c>
      <c r="P353" s="1">
        <v>0.53</v>
      </c>
      <c r="Q353" s="1">
        <v>0.49</v>
      </c>
      <c r="R353" s="1">
        <v>0.27</v>
      </c>
      <c r="S353" s="1">
        <v>0.29</v>
      </c>
      <c r="T353" s="1">
        <v>0.27</v>
      </c>
      <c r="U353" s="1">
        <v>0.05</v>
      </c>
      <c r="V353" s="1">
        <v>0</v>
      </c>
      <c r="W353" s="1">
        <v>-1.65</v>
      </c>
      <c r="X353" s="1">
        <v>-19.59</v>
      </c>
      <c r="Y353" s="1" t="s">
        <v>1246</v>
      </c>
      <c r="Z353" s="1" t="s">
        <v>1510</v>
      </c>
    </row>
    <row r="354" spans="1:38">
      <c r="A354" s="1" t="s">
        <v>378</v>
      </c>
      <c r="B354" s="1" t="s">
        <v>629</v>
      </c>
      <c r="D354" s="1" t="s">
        <v>654</v>
      </c>
      <c r="H354" s="1">
        <f>HYPERLINK("https://tidesandcurrents.noaa.gov/stationhome.html?id=8764227", "8764227")</f>
        <v>0</v>
      </c>
      <c r="I354" s="1">
        <v>-91.3381</v>
      </c>
      <c r="J354" s="1">
        <v>29.4496</v>
      </c>
      <c r="K354" s="1" t="s">
        <v>860</v>
      </c>
      <c r="L354" s="1" t="s">
        <v>866</v>
      </c>
      <c r="M354" s="1" t="s">
        <v>874</v>
      </c>
      <c r="N354" s="2">
        <f>HYPERLINK("https://tidesandcurrents.noaa.gov/datums.html?datum=MLLW&amp;units=0&amp;epoch=0&amp;id=8764227", "Datum Info")</f>
        <v>0</v>
      </c>
      <c r="O354" s="1" t="s">
        <v>886</v>
      </c>
      <c r="P354" s="1">
        <v>1.61</v>
      </c>
      <c r="Q354" s="1">
        <v>1.46</v>
      </c>
      <c r="R354" s="1">
        <v>0.89</v>
      </c>
      <c r="S354" s="1">
        <v>0.85</v>
      </c>
      <c r="T354" s="1">
        <v>0.8100000000000001</v>
      </c>
      <c r="U354" s="1">
        <v>0.32</v>
      </c>
      <c r="V354" s="1">
        <v>0</v>
      </c>
      <c r="W354" s="1">
        <v>0.92</v>
      </c>
      <c r="X354" s="1">
        <v>-23.43</v>
      </c>
      <c r="Y354" s="1" t="s">
        <v>1247</v>
      </c>
      <c r="Z354" s="1" t="s">
        <v>1511</v>
      </c>
    </row>
    <row r="355" spans="1:38">
      <c r="A355" s="1" t="s">
        <v>379</v>
      </c>
      <c r="B355" s="1" t="s">
        <v>629</v>
      </c>
      <c r="D355" s="1" t="s">
        <v>654</v>
      </c>
      <c r="E355" s="1" t="s">
        <v>755</v>
      </c>
      <c r="F355" s="1" t="s">
        <v>848</v>
      </c>
      <c r="G355" s="1" t="s">
        <v>856</v>
      </c>
      <c r="H355" s="1">
        <f>HYPERLINK("https://tidesandcurrents.noaa.gov/stationhome.html?id=8764314", "8764314")</f>
        <v>0</v>
      </c>
      <c r="I355" s="1">
        <v>-91.3839</v>
      </c>
      <c r="J355" s="1">
        <v>29.3675</v>
      </c>
      <c r="K355" s="1" t="s">
        <v>861</v>
      </c>
      <c r="L355" s="1" t="s">
        <v>866</v>
      </c>
      <c r="M355" s="1" t="s">
        <v>874</v>
      </c>
      <c r="N355" s="2">
        <f>HYPERLINK("https://tidesandcurrents.noaa.gov/datums.html?datum=MLLW&amp;units=0&amp;epoch=0&amp;id=8764314", "Datum Info")</f>
        <v>0</v>
      </c>
      <c r="O355" s="1" t="s">
        <v>886</v>
      </c>
      <c r="P355" s="1">
        <v>1.86</v>
      </c>
      <c r="Q355" s="1">
        <v>1.72</v>
      </c>
      <c r="R355" s="1">
        <v>1.06</v>
      </c>
      <c r="S355" s="1">
        <v>1.02</v>
      </c>
      <c r="T355" s="1">
        <v>0.93</v>
      </c>
      <c r="U355" s="1">
        <v>0.39</v>
      </c>
      <c r="V355" s="1">
        <v>0</v>
      </c>
      <c r="W355" s="1" t="s">
        <v>1027</v>
      </c>
      <c r="X355" s="1">
        <v>-12.29</v>
      </c>
      <c r="Y355" s="1" t="s">
        <v>1248</v>
      </c>
      <c r="Z355" s="1" t="s">
        <v>1512</v>
      </c>
    </row>
    <row r="356" spans="1:38">
      <c r="A356" s="1" t="s">
        <v>380</v>
      </c>
      <c r="B356" s="1" t="s">
        <v>629</v>
      </c>
      <c r="D356" s="1" t="s">
        <v>654</v>
      </c>
      <c r="H356" s="1">
        <f>HYPERLINK("https://tidesandcurrents.noaa.gov/stationhome.html?id=8765251", "8765251")</f>
        <v>0</v>
      </c>
      <c r="I356" s="1">
        <v>-91.88</v>
      </c>
      <c r="J356" s="1">
        <v>29.71336</v>
      </c>
      <c r="K356" s="1" t="s">
        <v>861</v>
      </c>
      <c r="L356" s="1" t="s">
        <v>866</v>
      </c>
      <c r="M356" s="1" t="s">
        <v>874</v>
      </c>
      <c r="N356" s="2">
        <f>HYPERLINK("https://tidesandcurrents.noaa.gov/datums.html?datum=MLLW&amp;units=0&amp;epoch=0&amp;id=8765251", "Datum Info")</f>
        <v>0</v>
      </c>
      <c r="O356" s="1" t="s">
        <v>886</v>
      </c>
      <c r="P356" s="1">
        <v>1.7</v>
      </c>
      <c r="Q356" s="1">
        <v>1.56</v>
      </c>
      <c r="R356" s="1">
        <v>0.9</v>
      </c>
      <c r="S356" s="1">
        <v>0.9</v>
      </c>
      <c r="T356" s="1">
        <v>0.85</v>
      </c>
      <c r="U356" s="1">
        <v>0.24</v>
      </c>
      <c r="V356" s="1">
        <v>0</v>
      </c>
      <c r="W356" s="1" t="s">
        <v>1028</v>
      </c>
      <c r="X356" s="1">
        <v>-24.1</v>
      </c>
      <c r="Y356" s="1" t="s">
        <v>1249</v>
      </c>
      <c r="Z356" s="1" t="s">
        <v>1509</v>
      </c>
      <c r="AA356" s="1" t="s">
        <v>887</v>
      </c>
      <c r="AB356" s="1">
        <v>-1.48</v>
      </c>
      <c r="AC356" s="1" t="s">
        <v>1538</v>
      </c>
      <c r="AH356" s="1">
        <v>3</v>
      </c>
      <c r="AI356" s="1">
        <v>4</v>
      </c>
      <c r="AJ356" s="1">
        <v>7</v>
      </c>
      <c r="AK356" s="1">
        <v>9</v>
      </c>
      <c r="AL356" s="1" t="s">
        <v>1744</v>
      </c>
    </row>
    <row r="357" spans="1:38">
      <c r="A357" s="1" t="s">
        <v>381</v>
      </c>
      <c r="B357" s="1" t="s">
        <v>629</v>
      </c>
      <c r="C357" s="1" t="s">
        <v>649</v>
      </c>
      <c r="D357" s="1" t="s">
        <v>654</v>
      </c>
      <c r="E357" s="1" t="s">
        <v>756</v>
      </c>
      <c r="F357" s="1" t="s">
        <v>848</v>
      </c>
      <c r="G357" s="1" t="s">
        <v>856</v>
      </c>
      <c r="H357" s="1">
        <f>HYPERLINK("https://tidesandcurrents.noaa.gov/stationhome.html?id=8766072", "8766072")</f>
        <v>0</v>
      </c>
      <c r="I357" s="1">
        <v>-92.3052</v>
      </c>
      <c r="J357" s="1">
        <v>29.55169</v>
      </c>
      <c r="K357" s="1" t="s">
        <v>860</v>
      </c>
      <c r="L357" s="1" t="s">
        <v>866</v>
      </c>
      <c r="M357" s="1" t="s">
        <v>874</v>
      </c>
      <c r="N357" s="2">
        <f>HYPERLINK("https://tidesandcurrents.noaa.gov/datums.html?datum=MLLW&amp;units=0&amp;epoch=0&amp;id=8766072", "Datum Info")</f>
        <v>0</v>
      </c>
      <c r="O357" s="1" t="s">
        <v>886</v>
      </c>
      <c r="P357" s="1">
        <v>2.08</v>
      </c>
      <c r="Q357" s="1">
        <v>1.93</v>
      </c>
      <c r="R357" s="1">
        <v>1.22</v>
      </c>
      <c r="S357" s="1">
        <v>1.19</v>
      </c>
      <c r="T357" s="1">
        <v>1.04</v>
      </c>
      <c r="U357" s="1">
        <v>0.5</v>
      </c>
      <c r="V357" s="1">
        <v>0</v>
      </c>
      <c r="W357" s="1">
        <v>1.22</v>
      </c>
      <c r="X357" s="1">
        <v>-21.01</v>
      </c>
    </row>
    <row r="358" spans="1:38">
      <c r="A358" s="1" t="s">
        <v>382</v>
      </c>
      <c r="B358" s="1" t="s">
        <v>629</v>
      </c>
      <c r="C358" s="1" t="s">
        <v>649</v>
      </c>
      <c r="D358" s="1" t="s">
        <v>654</v>
      </c>
      <c r="E358" s="1" t="s">
        <v>757</v>
      </c>
      <c r="F358" s="1" t="s">
        <v>848</v>
      </c>
      <c r="G358" s="1" t="s">
        <v>856</v>
      </c>
      <c r="H358" s="1">
        <f>HYPERLINK("https://tidesandcurrents.noaa.gov/stationhome.html?id=8767816", "8767816")</f>
        <v>0</v>
      </c>
      <c r="I358" s="1">
        <v>-93.2217</v>
      </c>
      <c r="J358" s="1">
        <v>30.22361</v>
      </c>
      <c r="K358" s="1" t="s">
        <v>860</v>
      </c>
      <c r="L358" s="1" t="s">
        <v>866</v>
      </c>
      <c r="M358" s="1" t="s">
        <v>874</v>
      </c>
      <c r="N358" s="2">
        <f>HYPERLINK("https://tidesandcurrents.noaa.gov/datums.html?datum=MLLW&amp;units=0&amp;epoch=0&amp;id=8767816", "Datum Info")</f>
        <v>0</v>
      </c>
      <c r="O358" s="1" t="s">
        <v>886</v>
      </c>
      <c r="P358" s="1">
        <v>1.4</v>
      </c>
      <c r="Q358" s="1">
        <v>1.3</v>
      </c>
      <c r="R358" s="1">
        <v>0.78</v>
      </c>
      <c r="S358" s="1">
        <v>0.78</v>
      </c>
      <c r="T358" s="1">
        <v>0.7</v>
      </c>
      <c r="U358" s="1">
        <v>0.25</v>
      </c>
      <c r="V358" s="1">
        <v>0</v>
      </c>
      <c r="W358" s="1">
        <v>0.67</v>
      </c>
      <c r="X358" s="1">
        <v>-26.39</v>
      </c>
      <c r="Y358" s="1" t="s">
        <v>1250</v>
      </c>
      <c r="Z358" s="1" t="s">
        <v>1513</v>
      </c>
    </row>
    <row r="359" spans="1:38">
      <c r="A359" s="1" t="s">
        <v>383</v>
      </c>
      <c r="B359" s="1" t="s">
        <v>629</v>
      </c>
      <c r="C359" s="1" t="s">
        <v>649</v>
      </c>
      <c r="D359" s="1" t="s">
        <v>654</v>
      </c>
      <c r="E359" s="1" t="s">
        <v>757</v>
      </c>
      <c r="F359" s="1" t="s">
        <v>848</v>
      </c>
      <c r="G359" s="1" t="s">
        <v>856</v>
      </c>
      <c r="H359" s="1">
        <f>HYPERLINK("https://tidesandcurrents.noaa.gov/stationhome.html?id=8767961", "8767961")</f>
        <v>0</v>
      </c>
      <c r="I359" s="1">
        <v>-93.30070000000001</v>
      </c>
      <c r="J359" s="1">
        <v>30.1903</v>
      </c>
      <c r="K359" s="1" t="s">
        <v>860</v>
      </c>
      <c r="L359" s="1" t="s">
        <v>866</v>
      </c>
      <c r="M359" s="1" t="s">
        <v>874</v>
      </c>
      <c r="N359" s="2">
        <f>HYPERLINK("https://tidesandcurrents.noaa.gov/datums.html?datum=MLLW&amp;units=0&amp;epoch=0&amp;id=8767961", "Datum Info")</f>
        <v>0</v>
      </c>
      <c r="O359" s="1" t="s">
        <v>886</v>
      </c>
      <c r="P359" s="1">
        <v>1.34</v>
      </c>
      <c r="Q359" s="1">
        <v>1.25</v>
      </c>
      <c r="R359" s="1">
        <v>0.74</v>
      </c>
      <c r="S359" s="1">
        <v>0.75</v>
      </c>
      <c r="T359" s="1">
        <v>0.68</v>
      </c>
      <c r="U359" s="1">
        <v>0.23</v>
      </c>
      <c r="V359" s="1">
        <v>0</v>
      </c>
      <c r="W359" s="1">
        <v>0.64</v>
      </c>
      <c r="X359" s="1">
        <v>-23.09</v>
      </c>
      <c r="Y359" s="1" t="s">
        <v>1251</v>
      </c>
      <c r="Z359" s="1" t="s">
        <v>1514</v>
      </c>
    </row>
    <row r="360" spans="1:38">
      <c r="A360" s="1" t="s">
        <v>384</v>
      </c>
      <c r="B360" s="1" t="s">
        <v>629</v>
      </c>
      <c r="C360" s="1" t="s">
        <v>649</v>
      </c>
      <c r="D360" s="1" t="s">
        <v>654</v>
      </c>
      <c r="H360" s="1">
        <f>HYPERLINK("https://tidesandcurrents.noaa.gov/stationhome.html?id=8768094", "8768094")</f>
        <v>0</v>
      </c>
      <c r="I360" s="1">
        <v>-93.3429</v>
      </c>
      <c r="J360" s="1">
        <v>29.76817</v>
      </c>
      <c r="K360" s="1" t="s">
        <v>860</v>
      </c>
      <c r="L360" s="1" t="s">
        <v>866</v>
      </c>
      <c r="M360" s="1" t="s">
        <v>874</v>
      </c>
      <c r="N360" s="2">
        <f>HYPERLINK("https://tidesandcurrents.noaa.gov/datums.html?datum=MLLW&amp;units=0&amp;epoch=0&amp;id=8768094", "Datum Info")</f>
        <v>0</v>
      </c>
      <c r="O360" s="1" t="s">
        <v>886</v>
      </c>
      <c r="P360" s="1">
        <v>1.81</v>
      </c>
      <c r="Q360" s="1">
        <v>1.71</v>
      </c>
      <c r="R360" s="1">
        <v>1.1</v>
      </c>
      <c r="S360" s="1">
        <v>1.12</v>
      </c>
      <c r="T360" s="1">
        <v>0.9</v>
      </c>
      <c r="U360" s="1">
        <v>0.49</v>
      </c>
      <c r="V360" s="1">
        <v>0</v>
      </c>
      <c r="W360" s="1">
        <v>1.41</v>
      </c>
      <c r="X360" s="1">
        <v>-26.88</v>
      </c>
      <c r="Y360" s="1" t="s">
        <v>1252</v>
      </c>
      <c r="Z360" s="1" t="s">
        <v>1515</v>
      </c>
    </row>
    <row r="361" spans="1:38">
      <c r="A361" s="1" t="s">
        <v>385</v>
      </c>
      <c r="B361" s="1" t="s">
        <v>629</v>
      </c>
      <c r="C361" s="1" t="s">
        <v>648</v>
      </c>
      <c r="D361" s="1" t="s">
        <v>654</v>
      </c>
      <c r="E361" s="1" t="s">
        <v>758</v>
      </c>
      <c r="F361" s="1" t="s">
        <v>846</v>
      </c>
      <c r="G361" s="1" t="s">
        <v>856</v>
      </c>
      <c r="H361" s="1">
        <f>HYPERLINK("https://tidesandcurrents.noaa.gov/stationhome.html?id=8770475", "8770475")</f>
        <v>0</v>
      </c>
      <c r="I361" s="1">
        <v>-93.931</v>
      </c>
      <c r="J361" s="1">
        <v>29.86708</v>
      </c>
      <c r="K361" s="1" t="s">
        <v>861</v>
      </c>
      <c r="L361" s="1" t="s">
        <v>866</v>
      </c>
      <c r="M361" s="1" t="s">
        <v>874</v>
      </c>
      <c r="N361" s="2">
        <f>HYPERLINK("https://tidesandcurrents.noaa.gov/datums.html?datum=MLLW&amp;units=0&amp;epoch=0&amp;id=8770475", "Datum Info")</f>
        <v>0</v>
      </c>
      <c r="O361" s="1" t="s">
        <v>886</v>
      </c>
      <c r="P361" s="1">
        <v>1.04</v>
      </c>
      <c r="Q361" s="1">
        <v>0.99</v>
      </c>
      <c r="R361" s="1">
        <v>0.5600000000000001</v>
      </c>
      <c r="S361" s="1">
        <v>0.6</v>
      </c>
      <c r="T361" s="1">
        <v>0.51</v>
      </c>
      <c r="U361" s="1">
        <v>0.14</v>
      </c>
      <c r="V361" s="1">
        <v>0</v>
      </c>
      <c r="W361" s="1">
        <v>0.37</v>
      </c>
      <c r="X361" s="1">
        <v>-4.61</v>
      </c>
      <c r="Y361" s="1" t="s">
        <v>1253</v>
      </c>
      <c r="Z361" s="1" t="s">
        <v>1516</v>
      </c>
    </row>
    <row r="362" spans="1:38">
      <c r="A362" s="1" t="s">
        <v>386</v>
      </c>
      <c r="B362" s="1" t="s">
        <v>629</v>
      </c>
      <c r="C362" s="1" t="s">
        <v>648</v>
      </c>
      <c r="D362" s="1" t="s">
        <v>654</v>
      </c>
      <c r="E362" s="1" t="s">
        <v>758</v>
      </c>
      <c r="F362" s="1" t="s">
        <v>846</v>
      </c>
      <c r="G362" s="1" t="s">
        <v>856</v>
      </c>
      <c r="H362" s="1">
        <f>HYPERLINK("https://tidesandcurrents.noaa.gov/stationhome.html?id=8770520", "8770520")</f>
        <v>0</v>
      </c>
      <c r="I362" s="1">
        <v>-93.8817</v>
      </c>
      <c r="J362" s="1">
        <v>29.98</v>
      </c>
      <c r="K362" s="1" t="s">
        <v>860</v>
      </c>
      <c r="L362" s="1" t="s">
        <v>866</v>
      </c>
      <c r="M362" s="1" t="s">
        <v>874</v>
      </c>
      <c r="N362" s="2">
        <f>HYPERLINK("https://tidesandcurrents.noaa.gov/datums.html?datum=MLLW&amp;units=0&amp;epoch=0&amp;id=8770520", "Datum Info")</f>
        <v>0</v>
      </c>
      <c r="O362" s="1" t="s">
        <v>886</v>
      </c>
      <c r="P362" s="1">
        <v>0.98</v>
      </c>
      <c r="Q362" s="1">
        <v>0.93</v>
      </c>
      <c r="R362" s="1">
        <v>0.53</v>
      </c>
      <c r="S362" s="1">
        <v>0.55</v>
      </c>
      <c r="T362" s="1">
        <v>0.49</v>
      </c>
      <c r="U362" s="1">
        <v>0.12</v>
      </c>
      <c r="V362" s="1">
        <v>0</v>
      </c>
      <c r="W362" s="1">
        <v>0.42</v>
      </c>
      <c r="X362" s="1">
        <v>-3.84</v>
      </c>
      <c r="Y362" s="1" t="s">
        <v>1165</v>
      </c>
      <c r="Z362" s="1" t="s">
        <v>1517</v>
      </c>
    </row>
    <row r="363" spans="1:38">
      <c r="A363" s="1" t="s">
        <v>387</v>
      </c>
      <c r="B363" s="1" t="s">
        <v>629</v>
      </c>
      <c r="C363" s="1" t="s">
        <v>648</v>
      </c>
      <c r="D363" s="1" t="s">
        <v>654</v>
      </c>
      <c r="H363" s="1">
        <f>HYPERLINK("https://tidesandcurrents.noaa.gov/stationhome.html?id=8770570", "8770570")</f>
        <v>0</v>
      </c>
      <c r="I363" s="1">
        <v>-93.87009999999999</v>
      </c>
      <c r="J363" s="1">
        <v>29.7284</v>
      </c>
      <c r="K363" s="1" t="s">
        <v>860</v>
      </c>
      <c r="L363" s="1" t="s">
        <v>866</v>
      </c>
      <c r="M363" s="1" t="s">
        <v>874</v>
      </c>
      <c r="N363" s="2">
        <f>HYPERLINK("https://tidesandcurrents.noaa.gov/datums.html?datum=MLLW&amp;units=0&amp;epoch=0&amp;id=8770570", "Datum Info")</f>
        <v>0</v>
      </c>
      <c r="O363" s="1" t="s">
        <v>886</v>
      </c>
      <c r="P363" s="1">
        <v>1.61</v>
      </c>
      <c r="Q363" s="1">
        <v>1.5</v>
      </c>
      <c r="R363" s="1">
        <v>0.96</v>
      </c>
      <c r="S363" s="1">
        <v>0.97</v>
      </c>
      <c r="T363" s="1">
        <v>0.8</v>
      </c>
      <c r="U363" s="1">
        <v>0.41</v>
      </c>
      <c r="V363" s="1">
        <v>0</v>
      </c>
      <c r="W363" s="1" t="s">
        <v>1029</v>
      </c>
      <c r="X363" s="1">
        <v>-3.44</v>
      </c>
      <c r="Y363" s="1" t="s">
        <v>1254</v>
      </c>
      <c r="Z363" s="1" t="s">
        <v>1518</v>
      </c>
    </row>
    <row r="364" spans="1:38">
      <c r="A364" s="1" t="s">
        <v>388</v>
      </c>
      <c r="B364" s="1" t="s">
        <v>629</v>
      </c>
      <c r="C364" s="1" t="s">
        <v>648</v>
      </c>
      <c r="D364" s="1" t="s">
        <v>654</v>
      </c>
      <c r="E364" s="1" t="s">
        <v>758</v>
      </c>
      <c r="F364" s="1" t="s">
        <v>846</v>
      </c>
      <c r="G364" s="1" t="s">
        <v>856</v>
      </c>
      <c r="H364" s="1">
        <f>HYPERLINK("https://tidesandcurrents.noaa.gov/stationhome.html?id=8770822", "8770822")</f>
        <v>0</v>
      </c>
      <c r="I364" s="1">
        <v>-93.8419</v>
      </c>
      <c r="J364" s="1">
        <v>29.68939</v>
      </c>
      <c r="K364" s="1" t="s">
        <v>860</v>
      </c>
      <c r="L364" s="1" t="s">
        <v>866</v>
      </c>
      <c r="M364" s="1" t="s">
        <v>874</v>
      </c>
      <c r="N364" s="2">
        <f>HYPERLINK("https://tidesandcurrents.noaa.gov/datums.html?datum=MLLW&amp;units=0&amp;epoch=0&amp;id=8770822", "Datum Info")</f>
        <v>0</v>
      </c>
      <c r="O364" s="1" t="s">
        <v>886</v>
      </c>
      <c r="P364" s="1">
        <v>1.93</v>
      </c>
      <c r="Q364" s="1">
        <v>1.81</v>
      </c>
      <c r="R364" s="1">
        <v>1.15</v>
      </c>
      <c r="S364" s="1">
        <v>1.15</v>
      </c>
      <c r="T364" s="1">
        <v>0.96</v>
      </c>
      <c r="U364" s="1">
        <v>0.48</v>
      </c>
      <c r="V364" s="1">
        <v>0</v>
      </c>
      <c r="W364" s="1">
        <v>1.12</v>
      </c>
      <c r="X364" s="1">
        <v>-3.18</v>
      </c>
      <c r="Y364" s="1" t="s">
        <v>1248</v>
      </c>
      <c r="Z364" s="1" t="s">
        <v>1519</v>
      </c>
    </row>
    <row r="365" spans="1:38">
      <c r="A365" s="1" t="s">
        <v>389</v>
      </c>
      <c r="B365" s="1" t="s">
        <v>629</v>
      </c>
      <c r="C365" s="1" t="s">
        <v>649</v>
      </c>
      <c r="D365" s="1" t="s">
        <v>654</v>
      </c>
      <c r="E365" s="1" t="s">
        <v>757</v>
      </c>
      <c r="F365" s="1" t="s">
        <v>848</v>
      </c>
      <c r="G365" s="1" t="s">
        <v>856</v>
      </c>
      <c r="H365" s="1" t="s">
        <v>859</v>
      </c>
      <c r="I365" s="1">
        <v>-93.25</v>
      </c>
      <c r="J365" s="1">
        <v>30.34</v>
      </c>
      <c r="K365" s="1" t="s">
        <v>861</v>
      </c>
      <c r="L365" s="1" t="s">
        <v>859</v>
      </c>
      <c r="M365" s="1" t="s">
        <v>874</v>
      </c>
    </row>
    <row r="366" spans="1:38">
      <c r="A366" s="1" t="s">
        <v>390</v>
      </c>
      <c r="B366" s="1" t="s">
        <v>629</v>
      </c>
      <c r="C366" s="1" t="s">
        <v>649</v>
      </c>
      <c r="D366" s="1" t="s">
        <v>654</v>
      </c>
      <c r="E366" s="1" t="s">
        <v>757</v>
      </c>
      <c r="F366" s="1" t="s">
        <v>848</v>
      </c>
      <c r="G366" s="1" t="s">
        <v>856</v>
      </c>
      <c r="H366" s="1" t="s">
        <v>859</v>
      </c>
      <c r="I366" s="1">
        <v>-93.14</v>
      </c>
      <c r="J366" s="1">
        <v>30.29</v>
      </c>
      <c r="K366" s="1" t="s">
        <v>861</v>
      </c>
      <c r="L366" s="1" t="s">
        <v>859</v>
      </c>
      <c r="M366" s="1" t="s">
        <v>874</v>
      </c>
    </row>
    <row r="367" spans="1:38">
      <c r="A367" s="1" t="s">
        <v>391</v>
      </c>
      <c r="B367" s="1" t="s">
        <v>629</v>
      </c>
      <c r="C367" s="1" t="s">
        <v>649</v>
      </c>
      <c r="D367" s="1" t="s">
        <v>654</v>
      </c>
      <c r="E367" s="1" t="s">
        <v>759</v>
      </c>
      <c r="F367" s="1" t="s">
        <v>848</v>
      </c>
      <c r="G367" s="1" t="s">
        <v>856</v>
      </c>
      <c r="H367" s="1" t="s">
        <v>859</v>
      </c>
      <c r="I367" s="1">
        <v>-91.76139000000001</v>
      </c>
      <c r="J367" s="1">
        <v>30.56889</v>
      </c>
      <c r="K367" s="1" t="s">
        <v>861</v>
      </c>
      <c r="L367" s="1" t="s">
        <v>859</v>
      </c>
      <c r="M367" s="1" t="s">
        <v>874</v>
      </c>
    </row>
    <row r="368" spans="1:38">
      <c r="A368" s="1" t="s">
        <v>392</v>
      </c>
      <c r="B368" s="1" t="s">
        <v>629</v>
      </c>
      <c r="C368" s="1" t="s">
        <v>649</v>
      </c>
      <c r="D368" s="1" t="s">
        <v>654</v>
      </c>
      <c r="E368" s="1" t="s">
        <v>757</v>
      </c>
      <c r="F368" s="1" t="s">
        <v>848</v>
      </c>
      <c r="G368" s="1" t="s">
        <v>856</v>
      </c>
      <c r="H368" s="1" t="s">
        <v>859</v>
      </c>
      <c r="I368" s="1">
        <v>-93.21805999999999</v>
      </c>
      <c r="J368" s="1">
        <v>30.25361</v>
      </c>
      <c r="K368" s="1" t="s">
        <v>861</v>
      </c>
      <c r="L368" s="1" t="s">
        <v>859</v>
      </c>
      <c r="M368" s="1" t="s">
        <v>874</v>
      </c>
    </row>
    <row r="369" spans="1:38">
      <c r="A369" s="1" t="s">
        <v>393</v>
      </c>
      <c r="B369" s="1" t="s">
        <v>629</v>
      </c>
      <c r="C369" s="1" t="s">
        <v>649</v>
      </c>
      <c r="D369" s="1" t="s">
        <v>654</v>
      </c>
      <c r="E369" s="1" t="s">
        <v>757</v>
      </c>
      <c r="F369" s="1" t="s">
        <v>848</v>
      </c>
      <c r="G369" s="1" t="s">
        <v>856</v>
      </c>
      <c r="H369" s="1" t="s">
        <v>859</v>
      </c>
      <c r="I369" s="1">
        <v>-93.26278000000001</v>
      </c>
      <c r="J369" s="1">
        <v>30.29417</v>
      </c>
      <c r="K369" s="1" t="s">
        <v>861</v>
      </c>
      <c r="L369" s="1" t="s">
        <v>859</v>
      </c>
      <c r="M369" s="1" t="s">
        <v>874</v>
      </c>
    </row>
    <row r="370" spans="1:38">
      <c r="A370" s="1" t="s">
        <v>394</v>
      </c>
      <c r="B370" s="1" t="s">
        <v>629</v>
      </c>
      <c r="C370" s="1" t="s">
        <v>649</v>
      </c>
      <c r="D370" s="1" t="s">
        <v>654</v>
      </c>
      <c r="E370" s="1" t="s">
        <v>742</v>
      </c>
      <c r="F370" s="1" t="s">
        <v>848</v>
      </c>
      <c r="G370" s="1" t="s">
        <v>856</v>
      </c>
      <c r="H370" s="1" t="s">
        <v>859</v>
      </c>
      <c r="I370" s="1">
        <v>-92.78100000000001</v>
      </c>
      <c r="J370" s="1">
        <v>30.0003</v>
      </c>
      <c r="K370" s="1" t="s">
        <v>861</v>
      </c>
      <c r="L370" s="1" t="s">
        <v>859</v>
      </c>
      <c r="M370" s="1" t="s">
        <v>874</v>
      </c>
    </row>
    <row r="371" spans="1:38">
      <c r="A371" s="1" t="s">
        <v>395</v>
      </c>
      <c r="B371" s="1" t="s">
        <v>629</v>
      </c>
      <c r="C371" s="1" t="s">
        <v>649</v>
      </c>
      <c r="D371" s="1" t="s">
        <v>654</v>
      </c>
      <c r="E371" s="1" t="s">
        <v>755</v>
      </c>
      <c r="F371" s="1" t="s">
        <v>848</v>
      </c>
      <c r="G371" s="1" t="s">
        <v>856</v>
      </c>
      <c r="H371" s="1" t="s">
        <v>859</v>
      </c>
      <c r="I371" s="1">
        <v>-91.1872</v>
      </c>
      <c r="J371" s="1">
        <v>29.7194</v>
      </c>
      <c r="K371" s="1" t="s">
        <v>861</v>
      </c>
      <c r="L371" s="1" t="s">
        <v>859</v>
      </c>
      <c r="M371" s="1" t="s">
        <v>874</v>
      </c>
    </row>
    <row r="372" spans="1:38">
      <c r="A372" s="1" t="s">
        <v>396</v>
      </c>
      <c r="B372" s="1" t="s">
        <v>629</v>
      </c>
      <c r="C372" s="1" t="s">
        <v>649</v>
      </c>
      <c r="D372" s="1" t="s">
        <v>654</v>
      </c>
      <c r="E372" s="1" t="s">
        <v>757</v>
      </c>
      <c r="F372" s="1" t="s">
        <v>848</v>
      </c>
      <c r="G372" s="1" t="s">
        <v>856</v>
      </c>
      <c r="H372" s="1" t="s">
        <v>859</v>
      </c>
      <c r="I372" s="1">
        <v>-93.24722</v>
      </c>
      <c r="J372" s="1">
        <v>30.23694</v>
      </c>
      <c r="K372" s="1" t="s">
        <v>861</v>
      </c>
      <c r="L372" s="1" t="s">
        <v>859</v>
      </c>
      <c r="M372" s="1" t="s">
        <v>874</v>
      </c>
    </row>
    <row r="373" spans="1:38">
      <c r="A373" s="1" t="s">
        <v>397</v>
      </c>
      <c r="B373" s="1" t="s">
        <v>629</v>
      </c>
      <c r="C373" s="1" t="s">
        <v>649</v>
      </c>
      <c r="D373" s="1" t="s">
        <v>654</v>
      </c>
      <c r="E373" s="1" t="s">
        <v>760</v>
      </c>
      <c r="F373" s="1" t="s">
        <v>848</v>
      </c>
      <c r="G373" s="1" t="s">
        <v>856</v>
      </c>
      <c r="H373" s="1" t="s">
        <v>859</v>
      </c>
      <c r="I373" s="1">
        <v>-91.98389</v>
      </c>
      <c r="J373" s="1">
        <v>30.27167</v>
      </c>
      <c r="K373" s="1" t="s">
        <v>861</v>
      </c>
      <c r="L373" s="1" t="s">
        <v>859</v>
      </c>
      <c r="M373" s="1" t="s">
        <v>874</v>
      </c>
    </row>
    <row r="374" spans="1:38">
      <c r="A374" s="1" t="s">
        <v>398</v>
      </c>
      <c r="B374" s="1" t="s">
        <v>629</v>
      </c>
      <c r="C374" s="1" t="s">
        <v>649</v>
      </c>
      <c r="D374" s="1" t="s">
        <v>654</v>
      </c>
      <c r="E374" s="1" t="s">
        <v>761</v>
      </c>
      <c r="F374" s="1" t="s">
        <v>848</v>
      </c>
      <c r="G374" s="1" t="s">
        <v>856</v>
      </c>
      <c r="H374" s="1">
        <f>HYPERLINK("https://waterdata.usgs.gov/nwis/nwismap/?site_no=073814675&amp;agency_cd=USGS", "US073814675")</f>
        <v>0</v>
      </c>
      <c r="I374" s="1">
        <v>-91.09971632</v>
      </c>
      <c r="J374" s="1">
        <v>29.66832801</v>
      </c>
      <c r="K374" s="1" t="s">
        <v>861</v>
      </c>
      <c r="L374" s="1" t="s">
        <v>867</v>
      </c>
      <c r="M374" s="1" t="s">
        <v>874</v>
      </c>
      <c r="N374" s="2">
        <f>HYPERLINK("https://waterservices.usgs.gov/nwis/site/?site=073814675&amp;format=rdb", "Datum Info")</f>
        <v>0</v>
      </c>
      <c r="O374" s="1" t="s">
        <v>887</v>
      </c>
      <c r="W374" s="1" t="s">
        <v>1030</v>
      </c>
      <c r="Y374" s="1" t="s">
        <v>1255</v>
      </c>
    </row>
    <row r="375" spans="1:38">
      <c r="A375" s="1" t="s">
        <v>399</v>
      </c>
      <c r="B375" s="1" t="s">
        <v>629</v>
      </c>
      <c r="C375" s="1" t="s">
        <v>649</v>
      </c>
      <c r="D375" s="1" t="s">
        <v>654</v>
      </c>
      <c r="E375" s="1" t="s">
        <v>762</v>
      </c>
      <c r="F375" s="1" t="s">
        <v>848</v>
      </c>
      <c r="G375" s="1" t="s">
        <v>856</v>
      </c>
      <c r="H375" s="1">
        <f>HYPERLINK("https://waterdata.usgs.gov/nwis/nwismap/?site_no=07381490&amp;agency_cd=USGS", "US07381490")</f>
        <v>0</v>
      </c>
      <c r="I375" s="1">
        <v>-91.7983333</v>
      </c>
      <c r="J375" s="1">
        <v>30.9825</v>
      </c>
      <c r="K375" s="1" t="s">
        <v>861</v>
      </c>
      <c r="L375" s="1" t="s">
        <v>867</v>
      </c>
      <c r="M375" s="1" t="s">
        <v>874</v>
      </c>
      <c r="N375" s="2">
        <f>HYPERLINK("https://waterservices.usgs.gov/nwis/site/?site=07381490&amp;format=rdb", "Datum Info")</f>
        <v>0</v>
      </c>
      <c r="AA375" s="1" t="s">
        <v>1613</v>
      </c>
      <c r="AB375" s="1">
        <v>0</v>
      </c>
      <c r="AC375" s="1" t="s">
        <v>1673</v>
      </c>
      <c r="AD375" s="1" t="s">
        <v>1427</v>
      </c>
      <c r="AG375" s="1" t="s">
        <v>1427</v>
      </c>
      <c r="AH375" s="1">
        <v>35</v>
      </c>
      <c r="AI375" s="1">
        <v>40</v>
      </c>
      <c r="AJ375" s="1">
        <v>44</v>
      </c>
      <c r="AK375" s="1">
        <v>50</v>
      </c>
      <c r="AL375" s="1" t="s">
        <v>1744</v>
      </c>
    </row>
    <row r="376" spans="1:38">
      <c r="A376" s="1" t="s">
        <v>400</v>
      </c>
      <c r="B376" s="1" t="s">
        <v>629</v>
      </c>
      <c r="C376" s="1" t="s">
        <v>649</v>
      </c>
      <c r="D376" s="1" t="s">
        <v>654</v>
      </c>
      <c r="E376" s="1" t="s">
        <v>759</v>
      </c>
      <c r="F376" s="1" t="s">
        <v>848</v>
      </c>
      <c r="G376" s="1" t="s">
        <v>856</v>
      </c>
      <c r="H376" s="1">
        <f>HYPERLINK("https://waterdata.usgs.gov/nwis/nwismap/?site_no=07381495&amp;agency_cd=USGS", "US07381495")</f>
        <v>0</v>
      </c>
      <c r="I376" s="1">
        <v>-91.7362262</v>
      </c>
      <c r="J376" s="1">
        <v>30.690743</v>
      </c>
      <c r="K376" s="1" t="s">
        <v>861</v>
      </c>
      <c r="L376" s="1" t="s">
        <v>867</v>
      </c>
      <c r="M376" s="1" t="s">
        <v>874</v>
      </c>
      <c r="N376" s="2">
        <f>HYPERLINK("https://waterservices.usgs.gov/nwis/site/?site=07381495&amp;format=rdb", "Datum Info")</f>
        <v>0</v>
      </c>
    </row>
    <row r="377" spans="1:38">
      <c r="A377" s="1" t="s">
        <v>401</v>
      </c>
      <c r="B377" s="1" t="s">
        <v>629</v>
      </c>
      <c r="C377" s="1" t="s">
        <v>649</v>
      </c>
      <c r="D377" s="1" t="s">
        <v>654</v>
      </c>
      <c r="E377" s="1" t="s">
        <v>763</v>
      </c>
      <c r="F377" s="1" t="s">
        <v>848</v>
      </c>
      <c r="G377" s="1" t="s">
        <v>856</v>
      </c>
      <c r="H377" s="1">
        <f>HYPERLINK("https://waterdata.usgs.gov/nwis/nwismap/?site_no=07381515&amp;agency_cd=USGS", "US07381515")</f>
        <v>0</v>
      </c>
      <c r="I377" s="1">
        <v>-91.6867797</v>
      </c>
      <c r="J377" s="1">
        <v>30.28158638</v>
      </c>
      <c r="K377" s="1" t="s">
        <v>861</v>
      </c>
      <c r="L377" s="1" t="s">
        <v>867</v>
      </c>
      <c r="M377" s="1" t="s">
        <v>874</v>
      </c>
      <c r="N377" s="2">
        <f>HYPERLINK("https://waterservices.usgs.gov/nwis/site/?site=07381515&amp;format=rdb", "Datum Info")</f>
        <v>0</v>
      </c>
      <c r="O377" s="1" t="s">
        <v>889</v>
      </c>
      <c r="Y377" s="1" t="s">
        <v>956</v>
      </c>
      <c r="AA377" s="1" t="s">
        <v>889</v>
      </c>
      <c r="AB377" s="1">
        <v>0</v>
      </c>
      <c r="AD377" s="1" t="s">
        <v>1617</v>
      </c>
      <c r="AG377" s="1" t="s">
        <v>1617</v>
      </c>
      <c r="AH377" s="1">
        <v>17</v>
      </c>
      <c r="AI377" s="1">
        <v>20</v>
      </c>
      <c r="AJ377" s="1">
        <v>25</v>
      </c>
      <c r="AK377" s="1">
        <v>28</v>
      </c>
      <c r="AL377" s="1" t="s">
        <v>1744</v>
      </c>
    </row>
    <row r="378" spans="1:38">
      <c r="A378" s="1" t="s">
        <v>402</v>
      </c>
      <c r="B378" s="1" t="s">
        <v>629</v>
      </c>
      <c r="C378" s="1" t="s">
        <v>649</v>
      </c>
      <c r="D378" s="1" t="s">
        <v>654</v>
      </c>
      <c r="E378" s="1" t="s">
        <v>755</v>
      </c>
      <c r="F378" s="1" t="s">
        <v>848</v>
      </c>
      <c r="G378" s="1" t="s">
        <v>856</v>
      </c>
      <c r="H378" s="1">
        <f>HYPERLINK("https://waterdata.usgs.gov/nwis/nwismap/?site_no=073815450&amp;agency_cd=USGS", "US073815450")</f>
        <v>0</v>
      </c>
      <c r="I378" s="1">
        <v>-91.44566620000001</v>
      </c>
      <c r="J378" s="1">
        <v>29.89270406</v>
      </c>
      <c r="K378" s="1" t="s">
        <v>861</v>
      </c>
      <c r="L378" s="1" t="s">
        <v>867</v>
      </c>
      <c r="M378" s="1" t="s">
        <v>874</v>
      </c>
      <c r="N378" s="2">
        <f>HYPERLINK("https://waterservices.usgs.gov/nwis/site/?site=073815450&amp;format=rdb", "Datum Info")</f>
        <v>0</v>
      </c>
      <c r="O378" s="1" t="s">
        <v>887</v>
      </c>
      <c r="W378" s="1" t="s">
        <v>956</v>
      </c>
    </row>
    <row r="379" spans="1:38">
      <c r="A379" s="1" t="s">
        <v>403</v>
      </c>
      <c r="B379" s="1" t="s">
        <v>629</v>
      </c>
      <c r="C379" s="1" t="s">
        <v>649</v>
      </c>
      <c r="D379" s="1" t="s">
        <v>654</v>
      </c>
      <c r="E379" s="1" t="s">
        <v>755</v>
      </c>
      <c r="F379" s="1" t="s">
        <v>848</v>
      </c>
      <c r="G379" s="1" t="s">
        <v>856</v>
      </c>
      <c r="H379" s="1">
        <f>HYPERLINK("https://waterdata.usgs.gov/nwis/nwismap/?site_no=07381590&amp;agency_cd=USGS", "US07381590")</f>
        <v>0</v>
      </c>
      <c r="I379" s="1">
        <v>-91.37287954999999</v>
      </c>
      <c r="J379" s="1">
        <v>29.69798113</v>
      </c>
      <c r="K379" s="1" t="s">
        <v>861</v>
      </c>
      <c r="L379" s="1" t="s">
        <v>867</v>
      </c>
      <c r="M379" s="1" t="s">
        <v>874</v>
      </c>
      <c r="N379" s="2">
        <f>HYPERLINK("https://waterservices.usgs.gov/nwis/site/?site=07381590&amp;format=rdb", "Datum Info")</f>
        <v>0</v>
      </c>
      <c r="O379" s="1" t="s">
        <v>887</v>
      </c>
      <c r="W379" s="1" t="s">
        <v>1031</v>
      </c>
    </row>
    <row r="380" spans="1:38">
      <c r="A380" s="1" t="s">
        <v>404</v>
      </c>
      <c r="B380" s="1" t="s">
        <v>629</v>
      </c>
      <c r="C380" s="1" t="s">
        <v>649</v>
      </c>
      <c r="D380" s="1" t="s">
        <v>654</v>
      </c>
      <c r="E380" s="1" t="s">
        <v>755</v>
      </c>
      <c r="F380" s="1" t="s">
        <v>848</v>
      </c>
      <c r="G380" s="1" t="s">
        <v>856</v>
      </c>
      <c r="H380" s="1">
        <f>HYPERLINK("https://waterdata.usgs.gov/nwis/nwismap/?site_no=07381600&amp;agency_cd=USGS", "US07381600")</f>
        <v>0</v>
      </c>
      <c r="I380" s="1">
        <v>-91.21193089</v>
      </c>
      <c r="J380" s="1">
        <v>29.69281407</v>
      </c>
      <c r="K380" s="1" t="s">
        <v>861</v>
      </c>
      <c r="L380" s="1" t="s">
        <v>867</v>
      </c>
      <c r="M380" s="1" t="s">
        <v>874</v>
      </c>
      <c r="N380" s="2">
        <f>HYPERLINK("https://waterservices.usgs.gov/nwis/site/?site=07381600&amp;format=rdb", "Datum Info")</f>
        <v>0</v>
      </c>
      <c r="O380" s="1" t="s">
        <v>887</v>
      </c>
      <c r="W380" s="1" t="s">
        <v>1032</v>
      </c>
    </row>
    <row r="381" spans="1:38">
      <c r="A381" s="1" t="s">
        <v>405</v>
      </c>
      <c r="B381" s="1" t="s">
        <v>629</v>
      </c>
      <c r="C381" s="1" t="s">
        <v>649</v>
      </c>
      <c r="D381" s="1" t="s">
        <v>654</v>
      </c>
      <c r="E381" s="1" t="s">
        <v>755</v>
      </c>
      <c r="F381" s="1" t="s">
        <v>848</v>
      </c>
      <c r="G381" s="1" t="s">
        <v>856</v>
      </c>
      <c r="H381" s="1">
        <f>HYPERLINK("https://waterdata.usgs.gov/nwis/nwismap/?site_no=07381600&amp;agency_cd=USGS", "US07381600")</f>
        <v>0</v>
      </c>
      <c r="I381" s="1">
        <v>-91.21193089</v>
      </c>
      <c r="J381" s="1">
        <v>29.69281407</v>
      </c>
      <c r="K381" s="1" t="s">
        <v>861</v>
      </c>
      <c r="L381" s="1" t="s">
        <v>867</v>
      </c>
      <c r="M381" s="1" t="s">
        <v>874</v>
      </c>
      <c r="N381" s="2">
        <f>HYPERLINK("https://waterservices.usgs.gov/nwis/site/?site=07381600&amp;format=rdb", "Datum Info")</f>
        <v>0</v>
      </c>
      <c r="O381" s="1" t="s">
        <v>887</v>
      </c>
      <c r="W381" s="1" t="s">
        <v>1032</v>
      </c>
    </row>
    <row r="382" spans="1:38">
      <c r="A382" s="1" t="s">
        <v>406</v>
      </c>
      <c r="B382" s="1" t="s">
        <v>629</v>
      </c>
      <c r="C382" s="1" t="s">
        <v>649</v>
      </c>
      <c r="D382" s="1" t="s">
        <v>654</v>
      </c>
      <c r="E382" s="1" t="s">
        <v>764</v>
      </c>
      <c r="F382" s="1" t="s">
        <v>848</v>
      </c>
      <c r="G382" s="1" t="s">
        <v>856</v>
      </c>
      <c r="H382" s="1">
        <f>HYPERLINK("https://waterdata.usgs.gov/nwis/nwismap/?site_no=08012150&amp;agency_cd=USGS", "US08012150")</f>
        <v>0</v>
      </c>
      <c r="I382" s="1">
        <v>-92.5905556</v>
      </c>
      <c r="J382" s="1">
        <v>30.19</v>
      </c>
      <c r="K382" s="1" t="s">
        <v>861</v>
      </c>
      <c r="L382" s="1" t="s">
        <v>867</v>
      </c>
      <c r="M382" s="1" t="s">
        <v>874</v>
      </c>
      <c r="N382" s="2">
        <f>HYPERLINK("https://waterservices.usgs.gov/nwis/site/?site=08012150&amp;format=rdb", "Datum Info")</f>
        <v>0</v>
      </c>
      <c r="O382" s="1" t="s">
        <v>889</v>
      </c>
      <c r="Y382" s="1" t="s">
        <v>1256</v>
      </c>
      <c r="AA382" s="1" t="s">
        <v>1614</v>
      </c>
      <c r="AB382" s="1">
        <v>-0.58</v>
      </c>
      <c r="AD382" s="1" t="s">
        <v>1692</v>
      </c>
      <c r="AG382" s="1" t="s">
        <v>1692</v>
      </c>
      <c r="AH382" s="1">
        <v>4</v>
      </c>
      <c r="AI382" s="1">
        <v>4</v>
      </c>
      <c r="AJ382" s="1">
        <v>6</v>
      </c>
      <c r="AK382" s="1">
        <v>8</v>
      </c>
      <c r="AL382" s="1" t="s">
        <v>1744</v>
      </c>
    </row>
    <row r="383" spans="1:38">
      <c r="A383" s="1" t="s">
        <v>407</v>
      </c>
      <c r="B383" s="1" t="s">
        <v>629</v>
      </c>
      <c r="C383" s="1" t="s">
        <v>649</v>
      </c>
      <c r="D383" s="1" t="s">
        <v>654</v>
      </c>
      <c r="H383" s="1">
        <f>HYPERLINK("https://waterdata.usgs.gov/nwis/nwismap/?site_no=08017095&amp;agency_cd=USGS", "US08017095")</f>
        <v>0</v>
      </c>
      <c r="I383" s="1">
        <v>-93.29959242</v>
      </c>
      <c r="J383" s="1">
        <v>30.03187328</v>
      </c>
      <c r="K383" s="1" t="s">
        <v>861</v>
      </c>
      <c r="L383" s="1" t="s">
        <v>867</v>
      </c>
      <c r="M383" s="1" t="s">
        <v>874</v>
      </c>
      <c r="N383" s="2">
        <f>HYPERLINK("https://waterservices.usgs.gov/nwis/site/?site=08017095&amp;format=rdb", "Datum Info")</f>
        <v>0</v>
      </c>
    </row>
    <row r="384" spans="1:38">
      <c r="A384" s="1" t="s">
        <v>408</v>
      </c>
      <c r="B384" s="1" t="s">
        <v>630</v>
      </c>
      <c r="C384" s="1" t="s">
        <v>649</v>
      </c>
      <c r="D384" s="1" t="s">
        <v>654</v>
      </c>
      <c r="E384" s="1" t="s">
        <v>765</v>
      </c>
      <c r="F384" s="1" t="s">
        <v>849</v>
      </c>
      <c r="G384" s="1" t="s">
        <v>856</v>
      </c>
      <c r="H384" s="1">
        <f>HYPERLINK("https://tidesandcurrents.noaa.gov/stationhome.html?id=8740166", "8740166")</f>
        <v>0</v>
      </c>
      <c r="I384" s="1">
        <v>-88.4029</v>
      </c>
      <c r="J384" s="1">
        <v>30.41319</v>
      </c>
      <c r="K384" s="1" t="s">
        <v>860</v>
      </c>
      <c r="L384" s="1" t="s">
        <v>866</v>
      </c>
      <c r="M384" s="1" t="s">
        <v>874</v>
      </c>
      <c r="N384" s="2">
        <f>HYPERLINK("https://tidesandcurrents.noaa.gov/datums.html?datum=MLLW&amp;units=0&amp;epoch=0&amp;id=8740166", "Datum Info")</f>
        <v>0</v>
      </c>
      <c r="O384" s="1" t="s">
        <v>886</v>
      </c>
      <c r="P384" s="1">
        <v>1.59</v>
      </c>
      <c r="Q384" s="1">
        <v>1.49</v>
      </c>
      <c r="R384" s="1">
        <v>0.8100000000000001</v>
      </c>
      <c r="S384" s="1">
        <v>0.77</v>
      </c>
      <c r="T384" s="1">
        <v>0.79</v>
      </c>
      <c r="U384" s="1">
        <v>0.13</v>
      </c>
      <c r="V384" s="1">
        <v>0</v>
      </c>
      <c r="W384" s="1">
        <v>0.6</v>
      </c>
      <c r="X384" s="1">
        <v>-14.1</v>
      </c>
    </row>
    <row r="385" spans="1:38">
      <c r="A385" s="1" t="s">
        <v>409</v>
      </c>
      <c r="B385" s="1" t="s">
        <v>630</v>
      </c>
      <c r="C385" s="1" t="s">
        <v>649</v>
      </c>
      <c r="D385" s="1" t="s">
        <v>654</v>
      </c>
      <c r="E385" s="1" t="s">
        <v>765</v>
      </c>
      <c r="F385" s="1" t="s">
        <v>849</v>
      </c>
      <c r="G385" s="1" t="s">
        <v>856</v>
      </c>
      <c r="H385" s="1">
        <f>HYPERLINK("https://tidesandcurrents.noaa.gov/stationhome.html?id=8741041", "8741041")</f>
        <v>0</v>
      </c>
      <c r="I385" s="1">
        <v>-88.50579999999999</v>
      </c>
      <c r="J385" s="1">
        <v>30.34778</v>
      </c>
      <c r="K385" s="1" t="s">
        <v>860</v>
      </c>
      <c r="L385" s="1" t="s">
        <v>866</v>
      </c>
      <c r="M385" s="1" t="s">
        <v>874</v>
      </c>
      <c r="N385" s="2">
        <f>HYPERLINK("https://tidesandcurrents.noaa.gov/datums.html?datum=MLLW&amp;units=0&amp;epoch=0&amp;id=8741041", "Datum Info")</f>
        <v>0</v>
      </c>
      <c r="O385" s="1" t="s">
        <v>886</v>
      </c>
      <c r="P385" s="1">
        <v>1.55</v>
      </c>
      <c r="Q385" s="1">
        <v>1.45</v>
      </c>
      <c r="R385" s="1">
        <v>0.78</v>
      </c>
      <c r="S385" s="1">
        <v>0.76</v>
      </c>
      <c r="T385" s="1">
        <v>0.78</v>
      </c>
      <c r="U385" s="1">
        <v>0.09</v>
      </c>
      <c r="V385" s="1">
        <v>0</v>
      </c>
      <c r="X385" s="1">
        <v>-21.63</v>
      </c>
    </row>
    <row r="386" spans="1:38">
      <c r="A386" s="1" t="s">
        <v>410</v>
      </c>
      <c r="B386" s="1" t="s">
        <v>630</v>
      </c>
      <c r="C386" s="1" t="s">
        <v>649</v>
      </c>
      <c r="D386" s="1" t="s">
        <v>654</v>
      </c>
      <c r="E386" s="1" t="s">
        <v>765</v>
      </c>
      <c r="F386" s="1" t="s">
        <v>849</v>
      </c>
      <c r="G386" s="1" t="s">
        <v>856</v>
      </c>
      <c r="H386" s="1">
        <f>HYPERLINK("https://tidesandcurrents.noaa.gov/stationhome.html?id=8741533", "8741533")</f>
        <v>0</v>
      </c>
      <c r="I386" s="1">
        <v>-88.56310000000001</v>
      </c>
      <c r="J386" s="1">
        <v>30.36778</v>
      </c>
      <c r="K386" s="1" t="s">
        <v>860</v>
      </c>
      <c r="L386" s="1" t="s">
        <v>866</v>
      </c>
      <c r="M386" s="1" t="s">
        <v>874</v>
      </c>
      <c r="N386" s="2">
        <f>HYPERLINK("https://tidesandcurrents.noaa.gov/datums.html?datum=MLLW&amp;units=0&amp;epoch=0&amp;id=8741533", "Datum Info")</f>
        <v>0</v>
      </c>
      <c r="O386" s="1" t="s">
        <v>886</v>
      </c>
      <c r="P386" s="1">
        <v>1.53</v>
      </c>
      <c r="Q386" s="1">
        <v>1.44</v>
      </c>
      <c r="R386" s="1">
        <v>0.76</v>
      </c>
      <c r="S386" s="1">
        <v>0.76</v>
      </c>
      <c r="T386" s="1">
        <v>0.77</v>
      </c>
      <c r="U386" s="1">
        <v>0.09</v>
      </c>
      <c r="V386" s="1">
        <v>0</v>
      </c>
      <c r="W386" s="1">
        <v>0.66</v>
      </c>
      <c r="X386" s="1">
        <v>-21.88</v>
      </c>
    </row>
    <row r="387" spans="1:38">
      <c r="A387" s="1" t="s">
        <v>411</v>
      </c>
      <c r="B387" s="1" t="s">
        <v>630</v>
      </c>
      <c r="D387" s="1" t="s">
        <v>654</v>
      </c>
      <c r="H387" s="1">
        <f>HYPERLINK("https://tidesandcurrents.noaa.gov/stationhome.html?id=8747437", "8747437")</f>
        <v>0</v>
      </c>
      <c r="I387" s="1">
        <v>-89.325</v>
      </c>
      <c r="J387" s="1">
        <v>30.325</v>
      </c>
      <c r="K387" s="1" t="s">
        <v>860</v>
      </c>
      <c r="L387" s="1" t="s">
        <v>866</v>
      </c>
      <c r="M387" s="1" t="s">
        <v>874</v>
      </c>
      <c r="N387" s="2">
        <f>HYPERLINK("https://tidesandcurrents.noaa.gov/datums.html?datum=MLLW&amp;units=0&amp;epoch=0&amp;id=8747437", "Datum Info")</f>
        <v>0</v>
      </c>
      <c r="O387" s="1" t="s">
        <v>886</v>
      </c>
      <c r="P387" s="1">
        <v>1.79</v>
      </c>
      <c r="Q387" s="1">
        <v>1.66</v>
      </c>
      <c r="R387" s="1">
        <v>0.9</v>
      </c>
      <c r="S387" s="1">
        <v>0.9</v>
      </c>
      <c r="T387" s="1">
        <v>0.9</v>
      </c>
      <c r="U387" s="1">
        <v>0.14</v>
      </c>
      <c r="V387" s="1">
        <v>0</v>
      </c>
      <c r="W387" s="1">
        <v>0.8100000000000001</v>
      </c>
      <c r="X387" s="1">
        <v>-2.36</v>
      </c>
      <c r="Y387" s="1" t="s">
        <v>1257</v>
      </c>
      <c r="Z387" s="1" t="s">
        <v>1520</v>
      </c>
    </row>
    <row r="388" spans="1:38">
      <c r="A388" s="1" t="s">
        <v>412</v>
      </c>
      <c r="B388" s="1" t="s">
        <v>630</v>
      </c>
      <c r="C388" s="1" t="s">
        <v>649</v>
      </c>
      <c r="D388" s="1" t="s">
        <v>654</v>
      </c>
      <c r="E388" s="1" t="s">
        <v>766</v>
      </c>
      <c r="F388" s="1" t="s">
        <v>848</v>
      </c>
      <c r="G388" s="1" t="s">
        <v>856</v>
      </c>
      <c r="H388" s="1">
        <f>HYPERLINK("https://tidesandcurrents.noaa.gov/stationhome.html?id=8749704", "8749704")</f>
        <v>0</v>
      </c>
      <c r="I388" s="1">
        <v>-89.61499999999999</v>
      </c>
      <c r="J388" s="1">
        <v>30.24</v>
      </c>
      <c r="K388" s="1" t="s">
        <v>861</v>
      </c>
      <c r="L388" s="1" t="s">
        <v>866</v>
      </c>
      <c r="M388" s="1" t="s">
        <v>874</v>
      </c>
      <c r="N388" s="2">
        <f>HYPERLINK("https://tidesandcurrents.noaa.gov/datums.html?datum=MLLW&amp;units=0&amp;epoch=0&amp;id=8749704", "Datum Info")</f>
        <v>0</v>
      </c>
      <c r="O388" s="1" t="s">
        <v>886</v>
      </c>
      <c r="P388" s="1">
        <v>1.22</v>
      </c>
      <c r="Q388" s="1">
        <v>1.18</v>
      </c>
      <c r="R388" s="1">
        <v>0.61</v>
      </c>
      <c r="S388" s="1">
        <v>0.67</v>
      </c>
      <c r="T388" s="1">
        <v>0.61</v>
      </c>
      <c r="U388" s="1">
        <v>0.04</v>
      </c>
      <c r="V388" s="1">
        <v>0</v>
      </c>
      <c r="X388" s="1">
        <v>-3.35</v>
      </c>
    </row>
    <row r="389" spans="1:38">
      <c r="A389" s="1" t="s">
        <v>413</v>
      </c>
      <c r="B389" s="1" t="s">
        <v>630</v>
      </c>
      <c r="C389" s="1" t="s">
        <v>649</v>
      </c>
      <c r="D389" s="1" t="s">
        <v>654</v>
      </c>
      <c r="E389" s="1" t="s">
        <v>767</v>
      </c>
      <c r="F389" s="1" t="s">
        <v>848</v>
      </c>
      <c r="G389" s="1" t="s">
        <v>856</v>
      </c>
      <c r="H389" s="1">
        <f>HYPERLINK("https://tidesandcurrents.noaa.gov/stationhome.html?id=8760721", "8760721")</f>
        <v>0</v>
      </c>
      <c r="I389" s="1">
        <v>-89.25830000000001</v>
      </c>
      <c r="J389" s="1">
        <v>29.1783</v>
      </c>
      <c r="K389" s="1" t="s">
        <v>860</v>
      </c>
      <c r="L389" s="1" t="s">
        <v>866</v>
      </c>
      <c r="M389" s="1" t="s">
        <v>874</v>
      </c>
      <c r="N389" s="2">
        <f>HYPERLINK("https://tidesandcurrents.noaa.gov/datums.html?datum=MLLW&amp;units=0&amp;epoch=0&amp;id=8760721", "Datum Info")</f>
        <v>0</v>
      </c>
      <c r="O389" s="1" t="s">
        <v>886</v>
      </c>
      <c r="P389" s="1">
        <v>0.8</v>
      </c>
      <c r="Q389" s="1">
        <v>0.8</v>
      </c>
      <c r="R389" s="1">
        <v>0.4</v>
      </c>
      <c r="S389" s="1">
        <v>0.39</v>
      </c>
      <c r="T389" s="1">
        <v>0.4</v>
      </c>
      <c r="U389" s="1">
        <v>0</v>
      </c>
      <c r="V389" s="1">
        <v>0</v>
      </c>
      <c r="W389" s="1" t="s">
        <v>1033</v>
      </c>
      <c r="X389" s="1">
        <v>-5.85</v>
      </c>
      <c r="Y389" s="1" t="s">
        <v>1258</v>
      </c>
      <c r="Z389" s="1" t="s">
        <v>1521</v>
      </c>
    </row>
    <row r="390" spans="1:38">
      <c r="A390" s="1" t="s">
        <v>414</v>
      </c>
      <c r="B390" s="1" t="s">
        <v>630</v>
      </c>
      <c r="D390" s="1" t="s">
        <v>654</v>
      </c>
      <c r="H390" s="1">
        <f>HYPERLINK("https://tidesandcurrents.noaa.gov/stationhome.html?id=8760922", "8760922")</f>
        <v>0</v>
      </c>
      <c r="I390" s="1">
        <v>-89.4075</v>
      </c>
      <c r="J390" s="1">
        <v>28.93222</v>
      </c>
      <c r="K390" s="1" t="s">
        <v>860</v>
      </c>
      <c r="L390" s="1" t="s">
        <v>866</v>
      </c>
      <c r="M390" s="1" t="s">
        <v>874</v>
      </c>
      <c r="N390" s="2">
        <f>HYPERLINK("https://tidesandcurrents.noaa.gov/datums.html?datum=MLLW&amp;units=0&amp;epoch=0&amp;id=8760922", "Datum Info")</f>
        <v>0</v>
      </c>
      <c r="O390" s="1" t="s">
        <v>886</v>
      </c>
      <c r="P390" s="1">
        <v>1.17</v>
      </c>
      <c r="Q390" s="1">
        <v>1.16</v>
      </c>
      <c r="R390" s="1">
        <v>0.59</v>
      </c>
      <c r="S390" s="1">
        <v>0.59</v>
      </c>
      <c r="T390" s="1">
        <v>0.59</v>
      </c>
      <c r="U390" s="1">
        <v>0.02</v>
      </c>
      <c r="V390" s="1">
        <v>0</v>
      </c>
      <c r="W390" s="1" t="s">
        <v>1034</v>
      </c>
      <c r="X390" s="1">
        <v>-30.84</v>
      </c>
      <c r="Y390" s="1" t="s">
        <v>1259</v>
      </c>
      <c r="Z390" s="1" t="s">
        <v>1522</v>
      </c>
    </row>
    <row r="391" spans="1:38">
      <c r="A391" s="1" t="s">
        <v>415</v>
      </c>
      <c r="B391" s="1" t="s">
        <v>630</v>
      </c>
      <c r="C391" s="1" t="s">
        <v>649</v>
      </c>
      <c r="D391" s="1" t="s">
        <v>654</v>
      </c>
      <c r="E391" s="1" t="s">
        <v>767</v>
      </c>
      <c r="F391" s="1" t="s">
        <v>848</v>
      </c>
      <c r="G391" s="1" t="s">
        <v>856</v>
      </c>
      <c r="H391" s="1">
        <f>HYPERLINK("https://tidesandcurrents.noaa.gov/stationhome.html?id=8761193", "8761193")</f>
        <v>0</v>
      </c>
      <c r="I391" s="1">
        <v>-89.595</v>
      </c>
      <c r="J391" s="1">
        <v>29.39</v>
      </c>
      <c r="K391" s="1" t="s">
        <v>861</v>
      </c>
      <c r="L391" s="1" t="s">
        <v>866</v>
      </c>
      <c r="M391" s="1" t="s">
        <v>874</v>
      </c>
      <c r="N391" s="2">
        <f>HYPERLINK("https://tidesandcurrents.noaa.gov/datums.html?datum=MLLW&amp;units=0&amp;epoch=0&amp;id=8761193", "Datum Info")</f>
        <v>0</v>
      </c>
    </row>
    <row r="392" spans="1:38">
      <c r="A392" s="1" t="s">
        <v>416</v>
      </c>
      <c r="B392" s="1" t="s">
        <v>630</v>
      </c>
      <c r="C392" s="1" t="s">
        <v>649</v>
      </c>
      <c r="D392" s="1" t="s">
        <v>654</v>
      </c>
      <c r="E392" s="1" t="s">
        <v>768</v>
      </c>
      <c r="F392" s="1" t="s">
        <v>848</v>
      </c>
      <c r="G392" s="1" t="s">
        <v>856</v>
      </c>
      <c r="H392" s="1">
        <f>HYPERLINK("https://tidesandcurrents.noaa.gov/stationhome.html?id=8761305", "8761305")</f>
        <v>0</v>
      </c>
      <c r="I392" s="1">
        <v>-89.673</v>
      </c>
      <c r="J392" s="1">
        <v>29.8683</v>
      </c>
      <c r="K392" s="1" t="s">
        <v>860</v>
      </c>
      <c r="L392" s="1" t="s">
        <v>866</v>
      </c>
      <c r="M392" s="1" t="s">
        <v>874</v>
      </c>
      <c r="N392" s="2">
        <f>HYPERLINK("https://tidesandcurrents.noaa.gov/datums.html?datum=MLLW&amp;units=0&amp;epoch=0&amp;id=8761305", "Datum Info")</f>
        <v>0</v>
      </c>
      <c r="O392" s="1" t="s">
        <v>886</v>
      </c>
      <c r="P392" s="1">
        <v>1.47</v>
      </c>
      <c r="Q392" s="1">
        <v>1.4</v>
      </c>
      <c r="R392" s="1">
        <v>0.74</v>
      </c>
      <c r="S392" s="1">
        <v>0.75</v>
      </c>
      <c r="T392" s="1">
        <v>0.73</v>
      </c>
      <c r="U392" s="1">
        <v>0.08</v>
      </c>
      <c r="V392" s="1">
        <v>0</v>
      </c>
      <c r="W392" s="1">
        <v>0.72</v>
      </c>
      <c r="X392" s="1">
        <v>-31.35</v>
      </c>
      <c r="Y392" s="1" t="s">
        <v>1222</v>
      </c>
      <c r="Z392" s="1" t="s">
        <v>1523</v>
      </c>
    </row>
    <row r="393" spans="1:38">
      <c r="A393" s="1" t="s">
        <v>417</v>
      </c>
      <c r="B393" s="1" t="s">
        <v>630</v>
      </c>
      <c r="C393" s="1" t="s">
        <v>649</v>
      </c>
      <c r="D393" s="1" t="s">
        <v>654</v>
      </c>
      <c r="E393" s="1" t="s">
        <v>767</v>
      </c>
      <c r="F393" s="1" t="s">
        <v>848</v>
      </c>
      <c r="G393" s="1" t="s">
        <v>856</v>
      </c>
      <c r="H393" s="1">
        <f>HYPERLINK("https://tidesandcurrents.noaa.gov/stationhome.html?id=8761494", "8761494")</f>
        <v>0</v>
      </c>
      <c r="I393" s="1">
        <v>-89.80500000000001</v>
      </c>
      <c r="J393" s="1">
        <v>29.5733</v>
      </c>
      <c r="K393" s="1" t="s">
        <v>861</v>
      </c>
      <c r="L393" s="1" t="s">
        <v>866</v>
      </c>
      <c r="M393" s="1" t="s">
        <v>874</v>
      </c>
      <c r="N393" s="2">
        <f>HYPERLINK("https://tidesandcurrents.noaa.gov/datums.html?datum=MLLW&amp;units=0&amp;epoch=0&amp;id=8761494", "Datum Info")</f>
        <v>0</v>
      </c>
    </row>
    <row r="394" spans="1:38">
      <c r="A394" s="1" t="s">
        <v>418</v>
      </c>
      <c r="B394" s="1" t="s">
        <v>630</v>
      </c>
      <c r="C394" s="1" t="s">
        <v>649</v>
      </c>
      <c r="D394" s="1" t="s">
        <v>654</v>
      </c>
      <c r="E394" s="1" t="s">
        <v>758</v>
      </c>
      <c r="F394" s="1" t="s">
        <v>848</v>
      </c>
      <c r="G394" s="1" t="s">
        <v>856</v>
      </c>
      <c r="H394" s="1">
        <f>HYPERLINK("https://tidesandcurrents.noaa.gov/stationhome.html?id=8761724", "8761724")</f>
        <v>0</v>
      </c>
      <c r="I394" s="1">
        <v>-89.95699999999999</v>
      </c>
      <c r="J394" s="1">
        <v>29.263</v>
      </c>
      <c r="K394" s="1" t="s">
        <v>860</v>
      </c>
      <c r="L394" s="1" t="s">
        <v>866</v>
      </c>
      <c r="M394" s="1" t="s">
        <v>874</v>
      </c>
      <c r="N394" s="2">
        <f>HYPERLINK("https://tidesandcurrents.noaa.gov/datums.html?datum=MLLW&amp;units=0&amp;epoch=0&amp;id=8761724", "Datum Info")</f>
        <v>0</v>
      </c>
      <c r="O394" s="1" t="s">
        <v>886</v>
      </c>
      <c r="P394" s="1">
        <v>1.06</v>
      </c>
      <c r="Q394" s="1">
        <v>1.06</v>
      </c>
      <c r="R394" s="1">
        <v>0.53</v>
      </c>
      <c r="S394" s="1">
        <v>0.54</v>
      </c>
      <c r="T394" s="1">
        <v>0.53</v>
      </c>
      <c r="U394" s="1">
        <v>0.01</v>
      </c>
      <c r="V394" s="1">
        <v>0</v>
      </c>
      <c r="W394" s="1" t="s">
        <v>1035</v>
      </c>
      <c r="X394" s="1">
        <v>-6.35</v>
      </c>
      <c r="Y394" s="1" t="s">
        <v>1260</v>
      </c>
      <c r="Z394" s="1" t="s">
        <v>1504</v>
      </c>
    </row>
    <row r="395" spans="1:38">
      <c r="A395" s="1" t="s">
        <v>419</v>
      </c>
      <c r="B395" s="1" t="s">
        <v>630</v>
      </c>
      <c r="C395" s="1" t="s">
        <v>649</v>
      </c>
      <c r="D395" s="1" t="s">
        <v>654</v>
      </c>
      <c r="E395" s="1" t="s">
        <v>767</v>
      </c>
      <c r="F395" s="1" t="s">
        <v>848</v>
      </c>
      <c r="G395" s="1" t="s">
        <v>856</v>
      </c>
      <c r="H395" s="1">
        <f>HYPERLINK("https://tidesandcurrents.noaa.gov/stationhome.html?id=8761727", "8761727")</f>
        <v>0</v>
      </c>
      <c r="I395" s="1">
        <v>-89.97329999999999</v>
      </c>
      <c r="J395" s="1">
        <v>29.69</v>
      </c>
      <c r="K395" s="1" t="s">
        <v>861</v>
      </c>
      <c r="L395" s="1" t="s">
        <v>866</v>
      </c>
      <c r="M395" s="1" t="s">
        <v>874</v>
      </c>
      <c r="N395" s="2">
        <f>HYPERLINK("https://tidesandcurrents.noaa.gov/datums.html?datum=MLLW&amp;units=0&amp;epoch=0&amp;id=8761727", "Datum Info")</f>
        <v>0</v>
      </c>
    </row>
    <row r="396" spans="1:38">
      <c r="A396" s="1" t="s">
        <v>420</v>
      </c>
      <c r="B396" s="1" t="s">
        <v>630</v>
      </c>
      <c r="C396" s="1" t="s">
        <v>649</v>
      </c>
      <c r="D396" s="1" t="s">
        <v>654</v>
      </c>
      <c r="H396" s="1">
        <f>HYPERLINK("https://tidesandcurrents.noaa.gov/stationhome.html?id=8761927", "8761927")</f>
        <v>0</v>
      </c>
      <c r="I396" s="1">
        <v>-90.1133</v>
      </c>
      <c r="J396" s="1">
        <v>30.02722</v>
      </c>
      <c r="K396" s="1" t="s">
        <v>860</v>
      </c>
      <c r="L396" s="1" t="s">
        <v>866</v>
      </c>
      <c r="M396" s="1" t="s">
        <v>874</v>
      </c>
      <c r="N396" s="2">
        <f>HYPERLINK("https://tidesandcurrents.noaa.gov/datums.html?datum=MLLW&amp;units=0&amp;epoch=0&amp;id=8761927", "Datum Info")</f>
        <v>0</v>
      </c>
      <c r="O396" s="1" t="s">
        <v>886</v>
      </c>
      <c r="P396" s="1">
        <v>0.54</v>
      </c>
      <c r="Q396" s="1">
        <v>0.54</v>
      </c>
      <c r="R396" s="1">
        <v>0.27</v>
      </c>
      <c r="S396" s="1">
        <v>0.27</v>
      </c>
      <c r="T396" s="1">
        <v>0.27</v>
      </c>
      <c r="U396" s="1">
        <v>-0.01</v>
      </c>
      <c r="V396" s="1">
        <v>0</v>
      </c>
      <c r="W396" s="1">
        <v>0.23</v>
      </c>
      <c r="X396" s="1">
        <v>-4.3</v>
      </c>
      <c r="Y396" s="1" t="s">
        <v>1261</v>
      </c>
      <c r="Z396" s="1" t="s">
        <v>1524</v>
      </c>
    </row>
    <row r="397" spans="1:38">
      <c r="A397" s="1" t="s">
        <v>421</v>
      </c>
      <c r="B397" s="1" t="s">
        <v>630</v>
      </c>
      <c r="C397" s="1" t="s">
        <v>649</v>
      </c>
      <c r="D397" s="1" t="s">
        <v>654</v>
      </c>
      <c r="E397" s="1" t="s">
        <v>769</v>
      </c>
      <c r="F397" s="1" t="s">
        <v>848</v>
      </c>
      <c r="G397" s="1" t="s">
        <v>856</v>
      </c>
      <c r="H397" s="1">
        <f>HYPERLINK("https://tidesandcurrents.noaa.gov/stationhome.html?id=8761955", "8761955")</f>
        <v>0</v>
      </c>
      <c r="I397" s="1">
        <v>-90.13549999999999</v>
      </c>
      <c r="J397" s="1">
        <v>29.9329</v>
      </c>
      <c r="K397" s="1" t="s">
        <v>861</v>
      </c>
      <c r="L397" s="1" t="s">
        <v>866</v>
      </c>
      <c r="M397" s="1" t="s">
        <v>874</v>
      </c>
      <c r="N397" s="2">
        <f>HYPERLINK("https://tidesandcurrents.noaa.gov/datums.html?datum=NAVD88&amp;units=0&amp;epoch=0&amp;id=8761955", "Datum Info")</f>
        <v>0</v>
      </c>
      <c r="O397" s="1" t="s">
        <v>887</v>
      </c>
      <c r="S397" s="1">
        <v>5.82</v>
      </c>
      <c r="W397" s="1">
        <v>0</v>
      </c>
      <c r="X397" s="1">
        <v>0.45</v>
      </c>
      <c r="Y397" s="1" t="s">
        <v>1262</v>
      </c>
    </row>
    <row r="398" spans="1:38">
      <c r="A398" s="1" t="s">
        <v>422</v>
      </c>
      <c r="B398" s="1" t="s">
        <v>630</v>
      </c>
      <c r="C398" s="1" t="s">
        <v>649</v>
      </c>
      <c r="D398" s="1" t="s">
        <v>654</v>
      </c>
      <c r="E398" s="1" t="s">
        <v>766</v>
      </c>
      <c r="F398" s="1" t="s">
        <v>848</v>
      </c>
      <c r="G398" s="1" t="s">
        <v>856</v>
      </c>
      <c r="H398" s="1">
        <f>HYPERLINK("https://tidesandcurrents.noaa.gov/stationhome.html?id=8761993", "8761993")</f>
        <v>0</v>
      </c>
      <c r="I398" s="1">
        <v>-90.16</v>
      </c>
      <c r="J398" s="1">
        <v>30.3783</v>
      </c>
      <c r="K398" s="1" t="s">
        <v>861</v>
      </c>
      <c r="L398" s="1" t="s">
        <v>866</v>
      </c>
      <c r="M398" s="1" t="s">
        <v>874</v>
      </c>
      <c r="N398" s="2">
        <f>HYPERLINK("https://tidesandcurrents.noaa.gov/datums.html?datum=MLLW&amp;units=0&amp;epoch=0&amp;id=8761993", "Datum Info")</f>
        <v>0</v>
      </c>
      <c r="O398" s="1" t="s">
        <v>886</v>
      </c>
      <c r="P398" s="1">
        <v>0.5600000000000001</v>
      </c>
      <c r="Q398" s="1">
        <v>0.5600000000000001</v>
      </c>
      <c r="R398" s="1">
        <v>0.27</v>
      </c>
      <c r="S398" s="1">
        <v>0.28</v>
      </c>
      <c r="T398" s="1">
        <v>0.28</v>
      </c>
      <c r="U398" s="1">
        <v>-0.02</v>
      </c>
      <c r="V398" s="1">
        <v>0</v>
      </c>
      <c r="W398" s="1" t="s">
        <v>1036</v>
      </c>
      <c r="X398" s="1">
        <v>-2.84</v>
      </c>
      <c r="Y398" s="1" t="s">
        <v>1263</v>
      </c>
      <c r="Z398" s="1" t="s">
        <v>1525</v>
      </c>
      <c r="AA398" s="1" t="s">
        <v>887</v>
      </c>
      <c r="AH398" s="1">
        <v>0</v>
      </c>
      <c r="AI398" s="1">
        <v>0</v>
      </c>
      <c r="AJ398" s="1">
        <v>0</v>
      </c>
      <c r="AK398" s="1">
        <v>0</v>
      </c>
      <c r="AL398" s="1" t="s">
        <v>1744</v>
      </c>
    </row>
    <row r="399" spans="1:38">
      <c r="A399" s="1" t="s">
        <v>423</v>
      </c>
      <c r="B399" s="1" t="s">
        <v>630</v>
      </c>
      <c r="C399" s="1" t="s">
        <v>649</v>
      </c>
      <c r="D399" s="1" t="s">
        <v>654</v>
      </c>
      <c r="E399" s="1" t="s">
        <v>770</v>
      </c>
      <c r="F399" s="1" t="s">
        <v>848</v>
      </c>
      <c r="G399" s="1" t="s">
        <v>856</v>
      </c>
      <c r="H399" s="1">
        <f>HYPERLINK("https://tidesandcurrents.noaa.gov/stationhome.html?id=8762075", "8762075")</f>
        <v>0</v>
      </c>
      <c r="I399" s="1">
        <v>-90.1992</v>
      </c>
      <c r="J399" s="1">
        <v>29.11417</v>
      </c>
      <c r="K399" s="1" t="s">
        <v>860</v>
      </c>
      <c r="L399" s="1" t="s">
        <v>866</v>
      </c>
      <c r="M399" s="1" t="s">
        <v>874</v>
      </c>
      <c r="N399" s="2">
        <f>HYPERLINK("https://tidesandcurrents.noaa.gov/datums.html?datum=MLLW&amp;units=0&amp;epoch=0&amp;id=8762075", "Datum Info")</f>
        <v>0</v>
      </c>
      <c r="O399" s="1" t="s">
        <v>886</v>
      </c>
      <c r="P399" s="1">
        <v>1.21</v>
      </c>
      <c r="Q399" s="1">
        <v>1.2</v>
      </c>
      <c r="R399" s="1">
        <v>0.61</v>
      </c>
      <c r="S399" s="1">
        <v>0.63</v>
      </c>
      <c r="T399" s="1">
        <v>0.61</v>
      </c>
      <c r="U399" s="1">
        <v>0.02</v>
      </c>
      <c r="V399" s="1">
        <v>0</v>
      </c>
      <c r="X399" s="1">
        <v>-29.91</v>
      </c>
    </row>
    <row r="400" spans="1:38">
      <c r="A400" s="1" t="s">
        <v>424</v>
      </c>
      <c r="B400" s="1" t="s">
        <v>630</v>
      </c>
      <c r="C400" s="1" t="s">
        <v>649</v>
      </c>
      <c r="D400" s="1" t="s">
        <v>654</v>
      </c>
      <c r="E400" s="1" t="s">
        <v>771</v>
      </c>
      <c r="F400" s="1" t="s">
        <v>848</v>
      </c>
      <c r="G400" s="1" t="s">
        <v>856</v>
      </c>
      <c r="H400" s="1">
        <f>HYPERLINK("https://tidesandcurrents.noaa.gov/stationhome.html?id=8762372", "8762372")</f>
        <v>0</v>
      </c>
      <c r="I400" s="1">
        <v>-90.36799999999999</v>
      </c>
      <c r="J400" s="1">
        <v>30.0503</v>
      </c>
      <c r="K400" s="1" t="s">
        <v>860</v>
      </c>
      <c r="L400" s="1" t="s">
        <v>866</v>
      </c>
      <c r="M400" s="1" t="s">
        <v>874</v>
      </c>
      <c r="N400" s="2">
        <f>HYPERLINK("https://tidesandcurrents.noaa.gov/datums.html?datum=MLLW&amp;units=0&amp;epoch=0&amp;id=8762372", "Datum Info")</f>
        <v>0</v>
      </c>
      <c r="O400" s="1" t="s">
        <v>886</v>
      </c>
      <c r="P400" s="1">
        <v>0.46</v>
      </c>
      <c r="Q400" s="1">
        <v>0.46</v>
      </c>
      <c r="R400" s="1">
        <v>0.23</v>
      </c>
      <c r="S400" s="1">
        <v>0.25</v>
      </c>
      <c r="T400" s="1">
        <v>0.23</v>
      </c>
      <c r="U400" s="1">
        <v>0.01</v>
      </c>
      <c r="V400" s="1">
        <v>0</v>
      </c>
      <c r="X400" s="1">
        <v>-32.51</v>
      </c>
    </row>
    <row r="401" spans="1:38">
      <c r="A401" s="1" t="s">
        <v>425</v>
      </c>
      <c r="B401" s="1" t="s">
        <v>630</v>
      </c>
      <c r="C401" s="1" t="s">
        <v>649</v>
      </c>
      <c r="D401" s="1" t="s">
        <v>654</v>
      </c>
      <c r="E401" s="1" t="s">
        <v>770</v>
      </c>
      <c r="F401" s="1" t="s">
        <v>848</v>
      </c>
      <c r="G401" s="1" t="s">
        <v>856</v>
      </c>
      <c r="H401" s="1">
        <f>HYPERLINK("https://tidesandcurrents.noaa.gov/stationhome.html?id=8762525", "8762525")</f>
        <v>0</v>
      </c>
      <c r="I401" s="1">
        <v>-90.44670000000001</v>
      </c>
      <c r="J401" s="1">
        <v>29.4167</v>
      </c>
      <c r="K401" s="1" t="s">
        <v>860</v>
      </c>
      <c r="L401" s="1" t="s">
        <v>866</v>
      </c>
      <c r="M401" s="1" t="s">
        <v>874</v>
      </c>
      <c r="N401" s="2">
        <f>HYPERLINK("https://tidesandcurrents.noaa.gov/datums.html?datum=MLLW&amp;units=0&amp;epoch=0&amp;id=8762525", "Datum Info")</f>
        <v>0</v>
      </c>
    </row>
    <row r="402" spans="1:38">
      <c r="A402" s="1" t="s">
        <v>426</v>
      </c>
      <c r="B402" s="1" t="s">
        <v>630</v>
      </c>
      <c r="C402" s="1" t="s">
        <v>649</v>
      </c>
      <c r="D402" s="1" t="s">
        <v>654</v>
      </c>
      <c r="E402" s="1" t="s">
        <v>770</v>
      </c>
      <c r="F402" s="1" t="s">
        <v>848</v>
      </c>
      <c r="G402" s="1" t="s">
        <v>856</v>
      </c>
      <c r="H402" s="1">
        <f>HYPERLINK("https://tidesandcurrents.noaa.gov/stationhome.html?id=8762571", "8762571")</f>
        <v>0</v>
      </c>
      <c r="I402" s="1">
        <v>-90.4717</v>
      </c>
      <c r="J402" s="1">
        <v>29.4567</v>
      </c>
      <c r="K402" s="1" t="s">
        <v>860</v>
      </c>
      <c r="L402" s="1" t="s">
        <v>866</v>
      </c>
      <c r="M402" s="1" t="s">
        <v>874</v>
      </c>
      <c r="N402" s="2">
        <f>HYPERLINK("https://tidesandcurrents.noaa.gov/datums.html?datum=MLLW&amp;units=0&amp;epoch=0&amp;id=8762571", "Datum Info")</f>
        <v>0</v>
      </c>
    </row>
    <row r="403" spans="1:38">
      <c r="A403" s="1" t="s">
        <v>427</v>
      </c>
      <c r="B403" s="1" t="s">
        <v>630</v>
      </c>
      <c r="C403" s="1" t="s">
        <v>649</v>
      </c>
      <c r="D403" s="1" t="s">
        <v>654</v>
      </c>
      <c r="E403" s="1" t="s">
        <v>771</v>
      </c>
      <c r="F403" s="1" t="s">
        <v>848</v>
      </c>
      <c r="G403" s="1" t="s">
        <v>856</v>
      </c>
      <c r="H403" s="1" t="s">
        <v>859</v>
      </c>
      <c r="I403" s="1">
        <v>-90.4247</v>
      </c>
      <c r="J403" s="1">
        <v>29.9972</v>
      </c>
      <c r="K403" s="1" t="s">
        <v>861</v>
      </c>
      <c r="L403" s="1" t="s">
        <v>859</v>
      </c>
      <c r="M403" s="1" t="s">
        <v>874</v>
      </c>
    </row>
    <row r="404" spans="1:38">
      <c r="A404" s="1" t="s">
        <v>428</v>
      </c>
      <c r="B404" s="1" t="s">
        <v>630</v>
      </c>
      <c r="C404" s="1" t="s">
        <v>649</v>
      </c>
      <c r="D404" s="1" t="s">
        <v>654</v>
      </c>
      <c r="E404" s="1" t="s">
        <v>770</v>
      </c>
      <c r="F404" s="1" t="s">
        <v>848</v>
      </c>
      <c r="G404" s="1" t="s">
        <v>856</v>
      </c>
      <c r="H404" s="1" t="s">
        <v>859</v>
      </c>
      <c r="I404" s="1">
        <v>-90.47669999999999</v>
      </c>
      <c r="J404" s="1">
        <v>29.824</v>
      </c>
      <c r="K404" s="1" t="s">
        <v>861</v>
      </c>
      <c r="L404" s="1" t="s">
        <v>859</v>
      </c>
      <c r="M404" s="1" t="s">
        <v>874</v>
      </c>
    </row>
    <row r="405" spans="1:38">
      <c r="A405" s="1" t="s">
        <v>429</v>
      </c>
      <c r="B405" s="1" t="s">
        <v>630</v>
      </c>
      <c r="C405" s="1" t="s">
        <v>649</v>
      </c>
      <c r="D405" s="1" t="s">
        <v>654</v>
      </c>
      <c r="E405" s="1" t="s">
        <v>758</v>
      </c>
      <c r="F405" s="1" t="s">
        <v>848</v>
      </c>
      <c r="G405" s="1" t="s">
        <v>856</v>
      </c>
      <c r="H405" s="1" t="s">
        <v>859</v>
      </c>
      <c r="I405" s="1">
        <v>-90.16500000000001</v>
      </c>
      <c r="J405" s="1">
        <v>29.566</v>
      </c>
      <c r="K405" s="1" t="s">
        <v>861</v>
      </c>
      <c r="L405" s="1" t="s">
        <v>859</v>
      </c>
      <c r="M405" s="1" t="s">
        <v>874</v>
      </c>
      <c r="AH405" s="1">
        <v>0</v>
      </c>
      <c r="AI405" s="1">
        <v>0</v>
      </c>
      <c r="AJ405" s="1">
        <v>0</v>
      </c>
      <c r="AK405" s="1">
        <v>0</v>
      </c>
      <c r="AL405" s="1" t="s">
        <v>1744</v>
      </c>
    </row>
    <row r="406" spans="1:38">
      <c r="A406" s="1" t="s">
        <v>430</v>
      </c>
      <c r="B406" s="1" t="s">
        <v>630</v>
      </c>
      <c r="C406" s="1" t="s">
        <v>649</v>
      </c>
      <c r="D406" s="1" t="s">
        <v>654</v>
      </c>
      <c r="E406" s="1" t="s">
        <v>772</v>
      </c>
      <c r="F406" s="1" t="s">
        <v>848</v>
      </c>
      <c r="G406" s="1" t="s">
        <v>856</v>
      </c>
      <c r="H406" s="1" t="s">
        <v>859</v>
      </c>
      <c r="I406" s="1">
        <v>-91.32250000000001</v>
      </c>
      <c r="J406" s="1">
        <v>30.13</v>
      </c>
      <c r="K406" s="1" t="s">
        <v>861</v>
      </c>
      <c r="L406" s="1" t="s">
        <v>859</v>
      </c>
      <c r="M406" s="1" t="s">
        <v>874</v>
      </c>
    </row>
    <row r="407" spans="1:38">
      <c r="A407" s="1" t="s">
        <v>431</v>
      </c>
      <c r="B407" s="1" t="s">
        <v>630</v>
      </c>
      <c r="C407" s="1" t="s">
        <v>649</v>
      </c>
      <c r="D407" s="1" t="s">
        <v>654</v>
      </c>
      <c r="E407" s="1" t="s">
        <v>773</v>
      </c>
      <c r="F407" s="1" t="s">
        <v>848</v>
      </c>
      <c r="G407" s="1" t="s">
        <v>856</v>
      </c>
      <c r="H407" s="1" t="s">
        <v>859</v>
      </c>
      <c r="I407" s="1">
        <v>-90.56861000000001</v>
      </c>
      <c r="J407" s="1">
        <v>30.05556</v>
      </c>
      <c r="K407" s="1" t="s">
        <v>861</v>
      </c>
      <c r="L407" s="1" t="s">
        <v>859</v>
      </c>
      <c r="M407" s="1" t="s">
        <v>874</v>
      </c>
    </row>
    <row r="408" spans="1:38">
      <c r="A408" s="1" t="s">
        <v>432</v>
      </c>
      <c r="B408" s="1" t="s">
        <v>630</v>
      </c>
      <c r="C408" s="1" t="s">
        <v>649</v>
      </c>
      <c r="D408" s="1" t="s">
        <v>654</v>
      </c>
      <c r="E408" s="1" t="s">
        <v>766</v>
      </c>
      <c r="F408" s="1" t="s">
        <v>848</v>
      </c>
      <c r="G408" s="1" t="s">
        <v>856</v>
      </c>
      <c r="H408" s="1" t="s">
        <v>859</v>
      </c>
      <c r="I408" s="1">
        <v>-89.7186</v>
      </c>
      <c r="J408" s="1">
        <v>30.2917</v>
      </c>
      <c r="K408" s="1" t="s">
        <v>861</v>
      </c>
      <c r="L408" s="1" t="s">
        <v>859</v>
      </c>
      <c r="M408" s="1" t="s">
        <v>874</v>
      </c>
    </row>
    <row r="409" spans="1:38">
      <c r="A409" s="1" t="s">
        <v>433</v>
      </c>
      <c r="B409" s="1" t="s">
        <v>630</v>
      </c>
      <c r="C409" s="1" t="s">
        <v>649</v>
      </c>
      <c r="D409" s="1" t="s">
        <v>654</v>
      </c>
      <c r="E409" s="1" t="s">
        <v>767</v>
      </c>
      <c r="F409" s="1" t="s">
        <v>848</v>
      </c>
      <c r="G409" s="1" t="s">
        <v>856</v>
      </c>
      <c r="H409" s="1" t="s">
        <v>859</v>
      </c>
      <c r="I409" s="1">
        <v>-89.4646</v>
      </c>
      <c r="J409" s="1">
        <v>29.364</v>
      </c>
      <c r="K409" s="1" t="s">
        <v>860</v>
      </c>
      <c r="L409" s="1" t="s">
        <v>859</v>
      </c>
      <c r="M409" s="1" t="s">
        <v>874</v>
      </c>
    </row>
    <row r="410" spans="1:38">
      <c r="A410" s="1" t="s">
        <v>434</v>
      </c>
      <c r="B410" s="1" t="s">
        <v>630</v>
      </c>
      <c r="C410" s="1" t="s">
        <v>649</v>
      </c>
      <c r="D410" s="1" t="s">
        <v>654</v>
      </c>
      <c r="E410" s="1" t="s">
        <v>774</v>
      </c>
      <c r="F410" s="1" t="s">
        <v>848</v>
      </c>
      <c r="G410" s="1" t="s">
        <v>856</v>
      </c>
      <c r="H410" s="1" t="s">
        <v>859</v>
      </c>
      <c r="I410" s="1">
        <v>-90.718</v>
      </c>
      <c r="J410" s="1">
        <v>29.569</v>
      </c>
      <c r="K410" s="1" t="s">
        <v>860</v>
      </c>
      <c r="L410" s="1" t="s">
        <v>859</v>
      </c>
      <c r="M410" s="1" t="s">
        <v>874</v>
      </c>
    </row>
    <row r="411" spans="1:38">
      <c r="A411" s="1" t="s">
        <v>435</v>
      </c>
      <c r="B411" s="1" t="s">
        <v>630</v>
      </c>
      <c r="C411" s="1" t="s">
        <v>649</v>
      </c>
      <c r="D411" s="1" t="s">
        <v>654</v>
      </c>
      <c r="H411" s="1" t="s">
        <v>859</v>
      </c>
      <c r="I411" s="1">
        <v>-89.2508</v>
      </c>
      <c r="J411" s="1">
        <v>29.14306</v>
      </c>
      <c r="K411" s="1" t="s">
        <v>861</v>
      </c>
      <c r="L411" s="1" t="s">
        <v>859</v>
      </c>
      <c r="M411" s="1" t="s">
        <v>874</v>
      </c>
    </row>
    <row r="412" spans="1:38">
      <c r="A412" s="1" t="s">
        <v>436</v>
      </c>
      <c r="B412" s="1" t="s">
        <v>630</v>
      </c>
      <c r="C412" s="1" t="s">
        <v>649</v>
      </c>
      <c r="D412" s="1" t="s">
        <v>654</v>
      </c>
      <c r="E412" s="1" t="s">
        <v>766</v>
      </c>
      <c r="F412" s="1" t="s">
        <v>848</v>
      </c>
      <c r="G412" s="1" t="s">
        <v>856</v>
      </c>
      <c r="H412" s="1" t="s">
        <v>859</v>
      </c>
      <c r="I412" s="1">
        <v>-89.95639</v>
      </c>
      <c r="J412" s="1">
        <v>30.2647</v>
      </c>
      <c r="K412" s="1" t="s">
        <v>861</v>
      </c>
      <c r="L412" s="1" t="s">
        <v>859</v>
      </c>
      <c r="M412" s="1" t="s">
        <v>874</v>
      </c>
    </row>
    <row r="413" spans="1:38">
      <c r="A413" s="1" t="s">
        <v>437</v>
      </c>
      <c r="B413" s="1" t="s">
        <v>630</v>
      </c>
      <c r="C413" s="1" t="s">
        <v>649</v>
      </c>
      <c r="D413" s="1" t="s">
        <v>654</v>
      </c>
      <c r="E413" s="1" t="s">
        <v>767</v>
      </c>
      <c r="F413" s="1" t="s">
        <v>848</v>
      </c>
      <c r="G413" s="1" t="s">
        <v>856</v>
      </c>
      <c r="H413" s="1" t="s">
        <v>859</v>
      </c>
      <c r="I413" s="1">
        <v>-89.9778</v>
      </c>
      <c r="J413" s="1">
        <v>29.8569</v>
      </c>
      <c r="K413" s="1" t="s">
        <v>861</v>
      </c>
      <c r="L413" s="1" t="s">
        <v>859</v>
      </c>
      <c r="M413" s="1" t="s">
        <v>874</v>
      </c>
      <c r="AA413" s="1" t="s">
        <v>887</v>
      </c>
      <c r="AH413" s="1">
        <v>0</v>
      </c>
      <c r="AI413" s="1">
        <v>0</v>
      </c>
      <c r="AJ413" s="1">
        <v>0</v>
      </c>
      <c r="AK413" s="1">
        <v>0</v>
      </c>
      <c r="AL413" s="1" t="s">
        <v>1744</v>
      </c>
    </row>
    <row r="414" spans="1:38">
      <c r="A414" s="1" t="s">
        <v>438</v>
      </c>
      <c r="B414" s="1" t="s">
        <v>630</v>
      </c>
      <c r="C414" s="1" t="s">
        <v>649</v>
      </c>
      <c r="D414" s="1" t="s">
        <v>654</v>
      </c>
      <c r="E414" s="1" t="s">
        <v>761</v>
      </c>
      <c r="F414" s="1" t="s">
        <v>848</v>
      </c>
      <c r="G414" s="1" t="s">
        <v>856</v>
      </c>
      <c r="H414" s="1" t="s">
        <v>859</v>
      </c>
      <c r="I414" s="1">
        <v>-91.008</v>
      </c>
      <c r="J414" s="1">
        <v>29.945</v>
      </c>
      <c r="K414" s="1" t="s">
        <v>860</v>
      </c>
      <c r="L414" s="1" t="s">
        <v>859</v>
      </c>
      <c r="M414" s="1" t="s">
        <v>874</v>
      </c>
    </row>
    <row r="415" spans="1:38">
      <c r="A415" s="1" t="s">
        <v>439</v>
      </c>
      <c r="B415" s="1" t="s">
        <v>630</v>
      </c>
      <c r="C415" s="1" t="s">
        <v>649</v>
      </c>
      <c r="D415" s="1" t="s">
        <v>654</v>
      </c>
      <c r="E415" s="1" t="s">
        <v>775</v>
      </c>
      <c r="F415" s="1" t="s">
        <v>848</v>
      </c>
      <c r="G415" s="1" t="s">
        <v>856</v>
      </c>
      <c r="H415" s="1" t="s">
        <v>859</v>
      </c>
      <c r="I415" s="1">
        <v>-91.66444</v>
      </c>
      <c r="J415" s="1">
        <v>30.96083</v>
      </c>
      <c r="K415" s="1" t="s">
        <v>861</v>
      </c>
      <c r="L415" s="1" t="s">
        <v>859</v>
      </c>
      <c r="M415" s="1" t="s">
        <v>874</v>
      </c>
    </row>
    <row r="416" spans="1:38">
      <c r="A416" s="1" t="s">
        <v>440</v>
      </c>
      <c r="B416" s="1" t="s">
        <v>630</v>
      </c>
      <c r="C416" s="1" t="s">
        <v>649</v>
      </c>
      <c r="D416" s="1" t="s">
        <v>654</v>
      </c>
      <c r="E416" s="1" t="s">
        <v>773</v>
      </c>
      <c r="F416" s="1" t="s">
        <v>848</v>
      </c>
      <c r="G416" s="1" t="s">
        <v>856</v>
      </c>
      <c r="H416" s="1" t="s">
        <v>859</v>
      </c>
      <c r="I416" s="1">
        <v>-90.56861000000001</v>
      </c>
      <c r="J416" s="1">
        <v>30.05556</v>
      </c>
      <c r="K416" s="1" t="s">
        <v>861</v>
      </c>
      <c r="L416" s="1" t="s">
        <v>859</v>
      </c>
      <c r="M416" s="1" t="s">
        <v>874</v>
      </c>
    </row>
    <row r="417" spans="1:38">
      <c r="A417" s="1" t="s">
        <v>441</v>
      </c>
      <c r="B417" s="1" t="s">
        <v>630</v>
      </c>
      <c r="C417" s="1" t="s">
        <v>649</v>
      </c>
      <c r="D417" s="1" t="s">
        <v>654</v>
      </c>
      <c r="E417" s="1" t="s">
        <v>776</v>
      </c>
      <c r="F417" s="1" t="s">
        <v>848</v>
      </c>
      <c r="G417" s="1" t="s">
        <v>856</v>
      </c>
      <c r="H417" s="1" t="s">
        <v>859</v>
      </c>
      <c r="I417" s="1">
        <v>-91.34417000000001</v>
      </c>
      <c r="J417" s="1">
        <v>30.7028</v>
      </c>
      <c r="K417" s="1" t="s">
        <v>861</v>
      </c>
      <c r="L417" s="1" t="s">
        <v>859</v>
      </c>
      <c r="M417" s="1" t="s">
        <v>874</v>
      </c>
    </row>
    <row r="418" spans="1:38">
      <c r="A418" s="1" t="s">
        <v>442</v>
      </c>
      <c r="B418" s="1" t="s">
        <v>630</v>
      </c>
      <c r="C418" s="1" t="s">
        <v>649</v>
      </c>
      <c r="D418" s="1" t="s">
        <v>654</v>
      </c>
      <c r="E418" s="1" t="s">
        <v>774</v>
      </c>
      <c r="F418" s="1" t="s">
        <v>848</v>
      </c>
      <c r="G418" s="1" t="s">
        <v>856</v>
      </c>
      <c r="H418" s="1" t="s">
        <v>859</v>
      </c>
      <c r="I418" s="1">
        <v>-90.62</v>
      </c>
      <c r="J418" s="1">
        <v>29.386</v>
      </c>
      <c r="K418" s="1" t="s">
        <v>860</v>
      </c>
      <c r="L418" s="1" t="s">
        <v>859</v>
      </c>
      <c r="M418" s="1" t="s">
        <v>874</v>
      </c>
    </row>
    <row r="419" spans="1:38">
      <c r="A419" s="1" t="s">
        <v>443</v>
      </c>
      <c r="B419" s="1" t="s">
        <v>630</v>
      </c>
      <c r="C419" s="1" t="s">
        <v>649</v>
      </c>
      <c r="D419" s="1" t="s">
        <v>654</v>
      </c>
      <c r="E419" s="1" t="s">
        <v>770</v>
      </c>
      <c r="F419" s="1" t="s">
        <v>848</v>
      </c>
      <c r="G419" s="1" t="s">
        <v>856</v>
      </c>
      <c r="H419" s="1" t="s">
        <v>859</v>
      </c>
      <c r="I419" s="1">
        <v>-90.242</v>
      </c>
      <c r="J419" s="1">
        <v>29.334</v>
      </c>
      <c r="K419" s="1" t="s">
        <v>860</v>
      </c>
      <c r="L419" s="1" t="s">
        <v>859</v>
      </c>
      <c r="M419" s="1" t="s">
        <v>874</v>
      </c>
    </row>
    <row r="420" spans="1:38">
      <c r="A420" s="1" t="s">
        <v>444</v>
      </c>
      <c r="B420" s="1" t="s">
        <v>630</v>
      </c>
      <c r="C420" s="1" t="s">
        <v>649</v>
      </c>
      <c r="D420" s="1" t="s">
        <v>654</v>
      </c>
      <c r="E420" s="1" t="s">
        <v>766</v>
      </c>
      <c r="F420" s="1" t="s">
        <v>848</v>
      </c>
      <c r="G420" s="1" t="s">
        <v>856</v>
      </c>
      <c r="H420" s="1" t="s">
        <v>859</v>
      </c>
      <c r="I420" s="1">
        <v>-89.66889999999999</v>
      </c>
      <c r="J420" s="1">
        <v>30.2308</v>
      </c>
      <c r="K420" s="1" t="s">
        <v>861</v>
      </c>
      <c r="L420" s="1" t="s">
        <v>859</v>
      </c>
      <c r="M420" s="1" t="s">
        <v>874</v>
      </c>
    </row>
    <row r="421" spans="1:38">
      <c r="A421" s="1" t="s">
        <v>445</v>
      </c>
      <c r="B421" s="1" t="s">
        <v>630</v>
      </c>
      <c r="C421" s="1" t="s">
        <v>649</v>
      </c>
      <c r="D421" s="1" t="s">
        <v>654</v>
      </c>
      <c r="E421" s="1" t="s">
        <v>777</v>
      </c>
      <c r="F421" s="1" t="s">
        <v>849</v>
      </c>
      <c r="G421" s="1" t="s">
        <v>856</v>
      </c>
      <c r="H421" s="1">
        <f>HYPERLINK("https://waterdata.usgs.gov/nwis/nwismap/?site_no=02480590&amp;agency_cd=USGS", "US02480590")</f>
        <v>0</v>
      </c>
      <c r="I421" s="1">
        <v>-88.89335899</v>
      </c>
      <c r="J421" s="1">
        <v>30.47602513</v>
      </c>
      <c r="K421" s="1" t="s">
        <v>861</v>
      </c>
      <c r="L421" s="1" t="s">
        <v>867</v>
      </c>
      <c r="M421" s="1" t="s">
        <v>874</v>
      </c>
      <c r="N421" s="2">
        <f>HYPERLINK("https://waterservices.usgs.gov/nwis/site/?site=02480590&amp;format=rdb", "Datum Info")</f>
        <v>0</v>
      </c>
      <c r="O421" s="1" t="s">
        <v>887</v>
      </c>
      <c r="W421" s="1" t="s">
        <v>1037</v>
      </c>
      <c r="AA421" s="1" t="s">
        <v>887</v>
      </c>
      <c r="AB421" s="1">
        <v>-0.88</v>
      </c>
      <c r="AC421" s="1" t="s">
        <v>1674</v>
      </c>
      <c r="AH421" s="1">
        <v>8</v>
      </c>
      <c r="AI421" s="1">
        <v>8</v>
      </c>
      <c r="AJ421" s="1">
        <v>15</v>
      </c>
      <c r="AK421" s="1">
        <v>18</v>
      </c>
      <c r="AL421" s="1" t="s">
        <v>1744</v>
      </c>
    </row>
    <row r="422" spans="1:38">
      <c r="A422" s="1" t="s">
        <v>446</v>
      </c>
      <c r="B422" s="1" t="s">
        <v>630</v>
      </c>
      <c r="C422" s="1" t="s">
        <v>649</v>
      </c>
      <c r="D422" s="1" t="s">
        <v>654</v>
      </c>
      <c r="E422" s="1" t="s">
        <v>778</v>
      </c>
      <c r="F422" s="1" t="s">
        <v>849</v>
      </c>
      <c r="G422" s="1" t="s">
        <v>856</v>
      </c>
      <c r="H422" s="1">
        <f>HYPERLINK("https://waterdata.usgs.gov/nwis/nwismap/?site_no=02481660&amp;agency_cd=USGS", "US02481660")</f>
        <v>0</v>
      </c>
      <c r="I422" s="1">
        <v>-89.44138344</v>
      </c>
      <c r="J422" s="1">
        <v>30.38721667</v>
      </c>
      <c r="K422" s="1" t="s">
        <v>861</v>
      </c>
      <c r="L422" s="1" t="s">
        <v>867</v>
      </c>
      <c r="M422" s="1" t="s">
        <v>874</v>
      </c>
      <c r="N422" s="2">
        <f>HYPERLINK("https://waterservices.usgs.gov/nwis/site/?site=02481660&amp;format=rdb", "Datum Info")</f>
        <v>0</v>
      </c>
      <c r="O422" s="1" t="s">
        <v>887</v>
      </c>
      <c r="W422" s="1" t="s">
        <v>956</v>
      </c>
    </row>
    <row r="423" spans="1:38">
      <c r="A423" s="1" t="s">
        <v>447</v>
      </c>
      <c r="B423" s="1" t="s">
        <v>630</v>
      </c>
      <c r="C423" s="1" t="s">
        <v>649</v>
      </c>
      <c r="D423" s="1" t="s">
        <v>654</v>
      </c>
      <c r="E423" s="1" t="s">
        <v>778</v>
      </c>
      <c r="F423" s="1" t="s">
        <v>849</v>
      </c>
      <c r="G423" s="1" t="s">
        <v>856</v>
      </c>
      <c r="H423" s="1">
        <f>HYPERLINK("https://waterdata.usgs.gov/nwis/nwismap/?site_no=02492620&amp;agency_cd=USGS", "US02492620")</f>
        <v>0</v>
      </c>
      <c r="I423" s="1">
        <v>-89.6458927</v>
      </c>
      <c r="J423" s="1">
        <v>30.352416</v>
      </c>
      <c r="K423" s="1" t="s">
        <v>861</v>
      </c>
      <c r="L423" s="1" t="s">
        <v>867</v>
      </c>
      <c r="M423" s="1" t="s">
        <v>874</v>
      </c>
      <c r="N423" s="2">
        <f>HYPERLINK("https://waterservices.usgs.gov/nwis/site/?site=02492620&amp;format=rdb", "Datum Info")</f>
        <v>0</v>
      </c>
      <c r="O423" s="1" t="s">
        <v>887</v>
      </c>
      <c r="W423" s="1" t="s">
        <v>1025</v>
      </c>
      <c r="Y423" s="1" t="s">
        <v>1264</v>
      </c>
      <c r="AA423" s="1" t="s">
        <v>887</v>
      </c>
      <c r="AB423" s="1">
        <v>0</v>
      </c>
      <c r="AC423" s="1" t="s">
        <v>1427</v>
      </c>
      <c r="AH423" s="1">
        <v>0</v>
      </c>
      <c r="AI423" s="1">
        <v>0</v>
      </c>
      <c r="AJ423" s="1">
        <v>0</v>
      </c>
      <c r="AK423" s="1">
        <v>0</v>
      </c>
      <c r="AL423" s="1" t="s">
        <v>1744</v>
      </c>
    </row>
    <row r="424" spans="1:38">
      <c r="A424" s="1" t="s">
        <v>448</v>
      </c>
      <c r="B424" s="1" t="s">
        <v>630</v>
      </c>
      <c r="C424" s="1" t="s">
        <v>649</v>
      </c>
      <c r="D424" s="1" t="s">
        <v>654</v>
      </c>
      <c r="E424" s="1" t="s">
        <v>767</v>
      </c>
      <c r="F424" s="1" t="s">
        <v>848</v>
      </c>
      <c r="G424" s="1" t="s">
        <v>856</v>
      </c>
      <c r="H424" s="1">
        <f>HYPERLINK("https://waterdata.usgs.gov/nwis/nwismap/?site_no=07374550&amp;agency_cd=USGS", "US07374550")</f>
        <v>0</v>
      </c>
      <c r="I424" s="1">
        <v>-89.3500536</v>
      </c>
      <c r="J424" s="1">
        <v>29.2741095</v>
      </c>
      <c r="K424" s="1" t="s">
        <v>861</v>
      </c>
      <c r="L424" s="1" t="s">
        <v>867</v>
      </c>
      <c r="M424" s="1" t="s">
        <v>874</v>
      </c>
      <c r="N424" s="2">
        <f>HYPERLINK("https://waterservices.usgs.gov/nwis/site/?site=07374550&amp;format=rdb", "Datum Info")</f>
        <v>0</v>
      </c>
    </row>
    <row r="425" spans="1:38">
      <c r="A425" s="1" t="s">
        <v>449</v>
      </c>
      <c r="B425" s="1" t="s">
        <v>630</v>
      </c>
      <c r="C425" s="1" t="s">
        <v>649</v>
      </c>
      <c r="D425" s="1" t="s">
        <v>654</v>
      </c>
      <c r="E425" s="1" t="s">
        <v>779</v>
      </c>
      <c r="F425" s="1" t="s">
        <v>848</v>
      </c>
      <c r="G425" s="1" t="s">
        <v>856</v>
      </c>
      <c r="H425" s="1">
        <f>HYPERLINK("https://waterdata.usgs.gov/nwis/nwismap/?site_no=07375650&amp;agency_cd=USGS", "US07375650")</f>
        <v>0</v>
      </c>
      <c r="I425" s="1">
        <v>-90.33457758999999</v>
      </c>
      <c r="J425" s="1">
        <v>30.44368893</v>
      </c>
      <c r="K425" s="1" t="s">
        <v>861</v>
      </c>
      <c r="L425" s="1" t="s">
        <v>867</v>
      </c>
      <c r="M425" s="1" t="s">
        <v>874</v>
      </c>
      <c r="N425" s="2">
        <f>HYPERLINK("https://waterservices.usgs.gov/nwis/site/?site=07375650&amp;format=rdb", "Datum Info")</f>
        <v>0</v>
      </c>
      <c r="O425" s="1" t="s">
        <v>887</v>
      </c>
      <c r="W425" s="1" t="s">
        <v>1038</v>
      </c>
      <c r="Y425" s="1" t="s">
        <v>1265</v>
      </c>
      <c r="AH425" s="1">
        <v>0</v>
      </c>
      <c r="AI425" s="1">
        <v>0</v>
      </c>
      <c r="AJ425" s="1">
        <v>0</v>
      </c>
      <c r="AK425" s="1">
        <v>0</v>
      </c>
      <c r="AL425" s="1" t="s">
        <v>1744</v>
      </c>
    </row>
    <row r="426" spans="1:38">
      <c r="A426" s="1" t="s">
        <v>450</v>
      </c>
      <c r="B426" s="1" t="s">
        <v>630</v>
      </c>
      <c r="C426" s="1" t="s">
        <v>649</v>
      </c>
      <c r="D426" s="1" t="s">
        <v>654</v>
      </c>
      <c r="E426" s="1" t="s">
        <v>780</v>
      </c>
      <c r="F426" s="1" t="s">
        <v>848</v>
      </c>
      <c r="G426" s="1" t="s">
        <v>856</v>
      </c>
      <c r="H426" s="1">
        <f>HYPERLINK("https://waterdata.usgs.gov/nwis/nwismap/?site_no=07376300&amp;agency_cd=USGS", "US07376300")</f>
        <v>0</v>
      </c>
      <c r="I426" s="1">
        <v>-90.5511111</v>
      </c>
      <c r="J426" s="1">
        <v>30.37655556</v>
      </c>
      <c r="K426" s="1" t="s">
        <v>861</v>
      </c>
      <c r="L426" s="1" t="s">
        <v>867</v>
      </c>
      <c r="M426" s="1" t="s">
        <v>874</v>
      </c>
      <c r="N426" s="2">
        <f>HYPERLINK("https://waterservices.usgs.gov/nwis/site/?site=07376300&amp;format=rdb", "Datum Info")</f>
        <v>0</v>
      </c>
      <c r="O426" s="1" t="s">
        <v>887</v>
      </c>
      <c r="W426" s="1" t="s">
        <v>1039</v>
      </c>
      <c r="Y426" s="1" t="s">
        <v>1266</v>
      </c>
    </row>
    <row r="427" spans="1:38">
      <c r="A427" s="1" t="s">
        <v>451</v>
      </c>
      <c r="B427" s="1" t="s">
        <v>630</v>
      </c>
      <c r="C427" s="1" t="s">
        <v>649</v>
      </c>
      <c r="D427" s="1" t="s">
        <v>654</v>
      </c>
      <c r="E427" s="1" t="s">
        <v>780</v>
      </c>
      <c r="F427" s="1" t="s">
        <v>848</v>
      </c>
      <c r="G427" s="1" t="s">
        <v>856</v>
      </c>
      <c r="H427" s="1">
        <f>HYPERLINK("https://waterdata.usgs.gov/nwis/nwismap/?site_no=07380215&amp;agency_cd=USGS", "US07380215")</f>
        <v>0</v>
      </c>
      <c r="I427" s="1">
        <v>-90.60871643</v>
      </c>
      <c r="J427" s="1">
        <v>30.30768897</v>
      </c>
      <c r="K427" s="1" t="s">
        <v>861</v>
      </c>
      <c r="L427" s="1" t="s">
        <v>867</v>
      </c>
      <c r="M427" s="1" t="s">
        <v>874</v>
      </c>
      <c r="N427" s="2">
        <f>HYPERLINK("https://waterservices.usgs.gov/nwis/site/?site=07380215&amp;format=rdb", "Datum Info")</f>
        <v>0</v>
      </c>
      <c r="O427" s="1" t="s">
        <v>887</v>
      </c>
      <c r="W427" s="1" t="s">
        <v>1040</v>
      </c>
      <c r="Y427" s="1" t="s">
        <v>1267</v>
      </c>
      <c r="AA427" s="1" t="s">
        <v>887</v>
      </c>
      <c r="AB427" s="1">
        <v>0</v>
      </c>
      <c r="AH427" s="1">
        <v>0</v>
      </c>
      <c r="AI427" s="1">
        <v>4</v>
      </c>
      <c r="AJ427" s="1">
        <v>5</v>
      </c>
      <c r="AK427" s="1">
        <v>7</v>
      </c>
      <c r="AL427" s="1" t="s">
        <v>1744</v>
      </c>
    </row>
    <row r="428" spans="1:38">
      <c r="A428" s="1" t="s">
        <v>452</v>
      </c>
      <c r="B428" s="1" t="s">
        <v>630</v>
      </c>
      <c r="C428" s="1" t="s">
        <v>649</v>
      </c>
      <c r="D428" s="1" t="s">
        <v>654</v>
      </c>
      <c r="E428" s="1" t="s">
        <v>774</v>
      </c>
      <c r="F428" s="1" t="s">
        <v>848</v>
      </c>
      <c r="G428" s="1" t="s">
        <v>856</v>
      </c>
      <c r="H428" s="1">
        <f>HYPERLINK("https://waterdata.usgs.gov/nwis/nwismap/?site_no=07381324&amp;agency_cd=USGS", "US07381324")</f>
        <v>0</v>
      </c>
      <c r="I428" s="1">
        <v>-90.71536164</v>
      </c>
      <c r="J428" s="1">
        <v>29.38299342</v>
      </c>
      <c r="K428" s="1" t="s">
        <v>861</v>
      </c>
      <c r="L428" s="1" t="s">
        <v>867</v>
      </c>
      <c r="M428" s="1" t="s">
        <v>874</v>
      </c>
      <c r="N428" s="2">
        <f>HYPERLINK("https://waterservices.usgs.gov/nwis/site/?site=07381324&amp;format=rdb", "Datum Info")</f>
        <v>0</v>
      </c>
      <c r="O428" s="1" t="s">
        <v>887</v>
      </c>
      <c r="W428" s="1" t="s">
        <v>1041</v>
      </c>
      <c r="AA428" s="1" t="s">
        <v>887</v>
      </c>
      <c r="AH428" s="1">
        <v>0</v>
      </c>
      <c r="AI428" s="1">
        <v>0</v>
      </c>
      <c r="AJ428" s="1">
        <v>0</v>
      </c>
      <c r="AK428" s="1">
        <v>0</v>
      </c>
      <c r="AL428" s="1" t="s">
        <v>1744</v>
      </c>
    </row>
    <row r="429" spans="1:38">
      <c r="A429" s="1" t="s">
        <v>453</v>
      </c>
      <c r="B429" s="1" t="s">
        <v>630</v>
      </c>
      <c r="C429" s="1" t="s">
        <v>649</v>
      </c>
      <c r="D429" s="1" t="s">
        <v>654</v>
      </c>
      <c r="E429" s="1" t="s">
        <v>781</v>
      </c>
      <c r="F429" s="1" t="s">
        <v>848</v>
      </c>
      <c r="G429" s="1" t="s">
        <v>856</v>
      </c>
      <c r="H429" s="1">
        <f>HYPERLINK("https://waterdata.usgs.gov/nwis/nwismap/?site_no=07381412&amp;agency_cd=USGS", "US07381412")</f>
        <v>0</v>
      </c>
      <c r="I429" s="1">
        <v>-91.2104722</v>
      </c>
      <c r="J429" s="1">
        <v>30.4322222</v>
      </c>
      <c r="K429" s="1" t="s">
        <v>861</v>
      </c>
      <c r="L429" s="1" t="s">
        <v>867</v>
      </c>
      <c r="M429" s="1" t="s">
        <v>874</v>
      </c>
      <c r="N429" s="2">
        <f>HYPERLINK("https://waterservices.usgs.gov/nwis/site/?site=07381412&amp;format=rdb", "Datum Info")</f>
        <v>0</v>
      </c>
      <c r="O429" s="1" t="s">
        <v>887</v>
      </c>
      <c r="W429" s="1" t="s">
        <v>1042</v>
      </c>
      <c r="Y429" s="1" t="s">
        <v>1268</v>
      </c>
    </row>
    <row r="430" spans="1:38">
      <c r="A430" s="1" t="s">
        <v>454</v>
      </c>
      <c r="B430" s="1" t="s">
        <v>630</v>
      </c>
      <c r="D430" s="1" t="s">
        <v>654</v>
      </c>
      <c r="H430" s="1">
        <f>HYPERLINK("https://waterdata.usgs.gov/nwis/nwismap/?site_no=300722089150100&amp;agency_cd=USGS", "US300722089150100")</f>
        <v>0</v>
      </c>
      <c r="I430" s="1">
        <v>-89.2502724</v>
      </c>
      <c r="J430" s="1">
        <v>30.1227723</v>
      </c>
      <c r="K430" s="1" t="s">
        <v>860</v>
      </c>
      <c r="L430" s="1" t="s">
        <v>867</v>
      </c>
      <c r="M430" s="1" t="s">
        <v>874</v>
      </c>
      <c r="N430" s="2">
        <f>HYPERLINK("https://waterservices.usgs.gov/nwis/site/?site=300722089150100&amp;format=rdb", "Datum Info")</f>
        <v>0</v>
      </c>
      <c r="O430" s="1" t="s">
        <v>887</v>
      </c>
      <c r="W430" s="1" t="s">
        <v>1043</v>
      </c>
      <c r="AA430" s="1" t="s">
        <v>887</v>
      </c>
      <c r="AB430" s="1">
        <v>-0.97</v>
      </c>
      <c r="AH430" s="1">
        <v>0</v>
      </c>
      <c r="AI430" s="1">
        <v>0</v>
      </c>
      <c r="AJ430" s="1">
        <v>0</v>
      </c>
      <c r="AK430" s="1">
        <v>0</v>
      </c>
      <c r="AL430" s="1" t="s">
        <v>1744</v>
      </c>
    </row>
    <row r="431" spans="1:38">
      <c r="A431" s="1" t="s">
        <v>455</v>
      </c>
      <c r="B431" s="1" t="s">
        <v>630</v>
      </c>
      <c r="D431" s="1" t="s">
        <v>654</v>
      </c>
      <c r="E431" s="1" t="s">
        <v>766</v>
      </c>
      <c r="F431" s="1" t="s">
        <v>848</v>
      </c>
      <c r="G431" s="1" t="s">
        <v>856</v>
      </c>
      <c r="H431" s="1">
        <f>HYPERLINK("https://waterdata.usgs.gov/nwis/nwismap/?site_no=301141089320300&amp;agency_cd=USGS", "US301141089320300")</f>
        <v>0</v>
      </c>
      <c r="I431" s="1">
        <v>-89.53416122</v>
      </c>
      <c r="J431" s="1">
        <v>30.19471672</v>
      </c>
      <c r="K431" s="1" t="s">
        <v>861</v>
      </c>
      <c r="L431" s="1" t="s">
        <v>867</v>
      </c>
      <c r="M431" s="1" t="s">
        <v>874</v>
      </c>
      <c r="N431" s="2">
        <f>HYPERLINK("https://waterservices.usgs.gov/nwis/site/?site=301141089320300&amp;format=rdb", "Datum Info")</f>
        <v>0</v>
      </c>
      <c r="O431" s="1" t="s">
        <v>887</v>
      </c>
      <c r="W431" s="1" t="s">
        <v>1044</v>
      </c>
      <c r="Y431" s="1" t="s">
        <v>1269</v>
      </c>
      <c r="AA431" s="1" t="s">
        <v>887</v>
      </c>
      <c r="AB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 t="s">
        <v>1744</v>
      </c>
    </row>
    <row r="432" spans="1:38">
      <c r="A432" s="1" t="s">
        <v>456</v>
      </c>
      <c r="B432" s="1" t="s">
        <v>631</v>
      </c>
      <c r="D432" s="1" t="s">
        <v>654</v>
      </c>
      <c r="H432" s="1">
        <f>HYPERLINK("https://tidesandcurrents.noaa.gov/stationhome.html?id=8722670", "8722670")</f>
        <v>0</v>
      </c>
      <c r="I432" s="1">
        <v>-80.0342</v>
      </c>
      <c r="J432" s="1">
        <v>26.61278</v>
      </c>
      <c r="K432" s="1" t="s">
        <v>860</v>
      </c>
      <c r="L432" s="1" t="s">
        <v>866</v>
      </c>
      <c r="M432" s="1" t="s">
        <v>874</v>
      </c>
      <c r="N432" s="2">
        <f>HYPERLINK("https://tidesandcurrents.noaa.gov/datums.html?datum=MLLW&amp;units=0&amp;epoch=0&amp;id=8722670", "Datum Info")</f>
        <v>0</v>
      </c>
      <c r="O432" s="1" t="s">
        <v>886</v>
      </c>
      <c r="P432" s="1">
        <v>3.06</v>
      </c>
      <c r="Q432" s="1">
        <v>2.88</v>
      </c>
      <c r="R432" s="1">
        <v>1.52</v>
      </c>
      <c r="S432" s="1">
        <v>1.54</v>
      </c>
      <c r="T432" s="1">
        <v>1.53</v>
      </c>
      <c r="U432" s="1">
        <v>0.16</v>
      </c>
      <c r="V432" s="1">
        <v>0</v>
      </c>
      <c r="W432" s="1">
        <v>2.51</v>
      </c>
      <c r="X432" s="1">
        <v>-29.99</v>
      </c>
      <c r="Y432" s="1" t="s">
        <v>1270</v>
      </c>
      <c r="Z432" s="1" t="s">
        <v>1526</v>
      </c>
    </row>
    <row r="433" spans="1:38">
      <c r="A433" s="1" t="s">
        <v>457</v>
      </c>
      <c r="B433" s="1" t="s">
        <v>631</v>
      </c>
      <c r="D433" s="1" t="s">
        <v>654</v>
      </c>
      <c r="H433" s="1">
        <f>HYPERLINK("https://tidesandcurrents.noaa.gov/stationhome.html?id=8723214", "8723214")</f>
        <v>0</v>
      </c>
      <c r="I433" s="1">
        <v>-80.1617</v>
      </c>
      <c r="J433" s="1">
        <v>25.73167</v>
      </c>
      <c r="K433" s="1" t="s">
        <v>860</v>
      </c>
      <c r="L433" s="1" t="s">
        <v>866</v>
      </c>
      <c r="M433" s="1" t="s">
        <v>874</v>
      </c>
      <c r="N433" s="2">
        <f>HYPERLINK("https://tidesandcurrents.noaa.gov/datums.html?datum=MLLW&amp;units=0&amp;epoch=0&amp;id=8723214", "Datum Info")</f>
        <v>0</v>
      </c>
      <c r="O433" s="1" t="s">
        <v>886</v>
      </c>
      <c r="P433" s="1">
        <v>2.25</v>
      </c>
      <c r="Q433" s="1">
        <v>2.17</v>
      </c>
      <c r="R433" s="1">
        <v>1.16</v>
      </c>
      <c r="S433" s="1">
        <v>1.13</v>
      </c>
      <c r="T433" s="1">
        <v>1.13</v>
      </c>
      <c r="U433" s="1">
        <v>0.14</v>
      </c>
      <c r="V433" s="1">
        <v>0</v>
      </c>
      <c r="W433" s="1">
        <v>2.02</v>
      </c>
      <c r="X433" s="1">
        <v>-10.13</v>
      </c>
      <c r="Y433" s="1" t="s">
        <v>1271</v>
      </c>
      <c r="Z433" s="1" t="s">
        <v>1527</v>
      </c>
    </row>
    <row r="434" spans="1:38">
      <c r="A434" s="1" t="s">
        <v>458</v>
      </c>
      <c r="B434" s="1" t="s">
        <v>631</v>
      </c>
      <c r="D434" s="1" t="s">
        <v>654</v>
      </c>
      <c r="H434" s="1">
        <f>HYPERLINK("https://tidesandcurrents.noaa.gov/stationhome.html?id=8725110", "8725110")</f>
        <v>0</v>
      </c>
      <c r="I434" s="1">
        <v>-81.8075</v>
      </c>
      <c r="J434" s="1">
        <v>26.13167</v>
      </c>
      <c r="K434" s="1" t="s">
        <v>860</v>
      </c>
      <c r="L434" s="1" t="s">
        <v>866</v>
      </c>
      <c r="M434" s="1" t="s">
        <v>874</v>
      </c>
      <c r="N434" s="2">
        <f>HYPERLINK("https://tidesandcurrents.noaa.gov/datums.html?datum=MLLW&amp;units=0&amp;epoch=0&amp;id=8725110", "Datum Info")</f>
        <v>0</v>
      </c>
      <c r="O434" s="1" t="s">
        <v>886</v>
      </c>
      <c r="P434" s="1">
        <v>2.87</v>
      </c>
      <c r="Q434" s="1">
        <v>2.62</v>
      </c>
      <c r="R434" s="1">
        <v>1.61</v>
      </c>
      <c r="S434" s="1">
        <v>1.65</v>
      </c>
      <c r="T434" s="1">
        <v>1.44</v>
      </c>
      <c r="U434" s="1">
        <v>0.61</v>
      </c>
      <c r="V434" s="1">
        <v>0</v>
      </c>
      <c r="W434" s="1">
        <v>2.27</v>
      </c>
      <c r="X434" s="1">
        <v>-2.14</v>
      </c>
      <c r="Y434" s="1" t="s">
        <v>1272</v>
      </c>
      <c r="Z434" s="1" t="s">
        <v>1528</v>
      </c>
    </row>
    <row r="435" spans="1:38">
      <c r="A435" s="1" t="s">
        <v>459</v>
      </c>
      <c r="B435" s="1" t="s">
        <v>631</v>
      </c>
      <c r="C435" s="1" t="s">
        <v>645</v>
      </c>
      <c r="D435" s="1" t="s">
        <v>654</v>
      </c>
      <c r="E435" s="1" t="s">
        <v>782</v>
      </c>
      <c r="F435" s="1" t="s">
        <v>847</v>
      </c>
      <c r="G435" s="1" t="s">
        <v>854</v>
      </c>
      <c r="H435" s="1">
        <f>HYPERLINK("https://waterdata.usgs.gov/nwis/nwismap/?site_no=255534081324000&amp;agency_cd=USGS", "US255534081324000")</f>
        <v>0</v>
      </c>
      <c r="I435" s="1">
        <v>-81.5443056</v>
      </c>
      <c r="J435" s="1">
        <v>25.926</v>
      </c>
      <c r="K435" s="1" t="s">
        <v>861</v>
      </c>
      <c r="L435" s="1" t="s">
        <v>867</v>
      </c>
      <c r="M435" s="1" t="s">
        <v>874</v>
      </c>
      <c r="N435" s="2">
        <f>HYPERLINK("https://waterservices.usgs.gov/nwis/site/?site=255534081324000&amp;format=rdb", "Datum Info")</f>
        <v>0</v>
      </c>
      <c r="AH435" s="1">
        <v>0</v>
      </c>
      <c r="AI435" s="1">
        <v>0</v>
      </c>
      <c r="AJ435" s="1">
        <v>0</v>
      </c>
      <c r="AK435" s="1">
        <v>0</v>
      </c>
      <c r="AL435" s="1" t="s">
        <v>1744</v>
      </c>
    </row>
    <row r="436" spans="1:38">
      <c r="A436" s="1" t="s">
        <v>460</v>
      </c>
      <c r="B436" s="1" t="s">
        <v>632</v>
      </c>
      <c r="C436" s="1" t="s">
        <v>645</v>
      </c>
      <c r="D436" s="1" t="s">
        <v>654</v>
      </c>
      <c r="H436" s="1">
        <f>HYPERLINK("https://tidesandcurrents.noaa.gov/stationhome.html?id=8721604", "8721604")</f>
        <v>0</v>
      </c>
      <c r="I436" s="1">
        <v>-80.59310000000001</v>
      </c>
      <c r="J436" s="1">
        <v>28.41583</v>
      </c>
      <c r="K436" s="1" t="s">
        <v>860</v>
      </c>
      <c r="L436" s="1" t="s">
        <v>866</v>
      </c>
      <c r="M436" s="1" t="s">
        <v>874</v>
      </c>
      <c r="N436" s="2">
        <f>HYPERLINK("https://tidesandcurrents.noaa.gov/datums.html?datum=MLLW&amp;units=0&amp;epoch=0&amp;id=8721604", "Datum Info")</f>
        <v>0</v>
      </c>
      <c r="O436" s="1" t="s">
        <v>886</v>
      </c>
      <c r="P436" s="1">
        <v>3.93</v>
      </c>
      <c r="Q436" s="1">
        <v>3.58</v>
      </c>
      <c r="R436" s="1">
        <v>1.88</v>
      </c>
      <c r="S436" s="1">
        <v>1.88</v>
      </c>
      <c r="T436" s="1">
        <v>1.97</v>
      </c>
      <c r="U436" s="1">
        <v>0.17</v>
      </c>
      <c r="V436" s="1">
        <v>0</v>
      </c>
      <c r="W436" s="1">
        <v>2.83</v>
      </c>
      <c r="X436" s="1">
        <v>-18</v>
      </c>
      <c r="Y436" s="1" t="s">
        <v>1273</v>
      </c>
      <c r="Z436" s="1" t="s">
        <v>1030</v>
      </c>
    </row>
    <row r="437" spans="1:38">
      <c r="A437" s="1" t="s">
        <v>461</v>
      </c>
      <c r="B437" s="1" t="s">
        <v>632</v>
      </c>
      <c r="C437" s="1" t="s">
        <v>645</v>
      </c>
      <c r="D437" s="1" t="s">
        <v>654</v>
      </c>
      <c r="E437" s="1" t="s">
        <v>783</v>
      </c>
      <c r="F437" s="1" t="s">
        <v>847</v>
      </c>
      <c r="G437" s="1" t="s">
        <v>854</v>
      </c>
      <c r="H437" s="1">
        <f>HYPERLINK("https://waterdata.usgs.gov/nwis/nwismap/?site_no=02236125&amp;agency_cd=USGS", "US02236125")</f>
        <v>0</v>
      </c>
      <c r="I437" s="1">
        <v>-81.52201253</v>
      </c>
      <c r="J437" s="1">
        <v>29.16691896</v>
      </c>
      <c r="K437" s="1" t="s">
        <v>861</v>
      </c>
      <c r="L437" s="1" t="s">
        <v>867</v>
      </c>
      <c r="M437" s="1" t="s">
        <v>874</v>
      </c>
      <c r="N437" s="2">
        <f>HYPERLINK("https://waterservices.usgs.gov/nwis/site/?site=02236125&amp;format=rdb", "Datum Info")</f>
        <v>0</v>
      </c>
      <c r="AA437" s="1" t="s">
        <v>889</v>
      </c>
      <c r="AB437" s="1">
        <v>0</v>
      </c>
      <c r="AD437" s="1" t="s">
        <v>1693</v>
      </c>
      <c r="AG437" s="1" t="s">
        <v>1693</v>
      </c>
      <c r="AH437" s="1">
        <v>2</v>
      </c>
      <c r="AI437" s="1">
        <v>2.3</v>
      </c>
      <c r="AJ437" s="1">
        <v>3</v>
      </c>
      <c r="AK437" s="1">
        <v>4</v>
      </c>
      <c r="AL437" s="1" t="s">
        <v>1744</v>
      </c>
    </row>
    <row r="438" spans="1:38">
      <c r="A438" s="1" t="s">
        <v>462</v>
      </c>
      <c r="B438" s="1" t="s">
        <v>632</v>
      </c>
      <c r="C438" s="1" t="s">
        <v>645</v>
      </c>
      <c r="D438" s="1" t="s">
        <v>654</v>
      </c>
      <c r="H438" s="1">
        <f>HYPERLINK("https://waterdata.usgs.gov/nwis/nwismap/?site_no=02251800&amp;agency_cd=USGS", "US02251800")</f>
        <v>0</v>
      </c>
      <c r="I438" s="1">
        <v>-80.42754879</v>
      </c>
      <c r="J438" s="1">
        <v>27.75446779</v>
      </c>
      <c r="K438" s="1" t="s">
        <v>861</v>
      </c>
      <c r="L438" s="1" t="s">
        <v>867</v>
      </c>
      <c r="M438" s="1" t="s">
        <v>874</v>
      </c>
      <c r="N438" s="2">
        <f>HYPERLINK("https://waterservices.usgs.gov/nwis/site/?site=02251800&amp;format=rdb", "Datum Info")</f>
        <v>0</v>
      </c>
      <c r="AB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 t="s">
        <v>1744</v>
      </c>
    </row>
    <row r="439" spans="1:38">
      <c r="A439" s="1" t="s">
        <v>463</v>
      </c>
      <c r="B439" s="1" t="s">
        <v>632</v>
      </c>
      <c r="D439" s="1" t="s">
        <v>654</v>
      </c>
      <c r="H439" s="1">
        <f>HYPERLINK("https://waterdata.usgs.gov/nwis/nwismap/?site_no=02277100&amp;agency_cd=USGS", "US02277100")</f>
        <v>0</v>
      </c>
      <c r="I439" s="1">
        <v>-80.25878056000001</v>
      </c>
      <c r="J439" s="1">
        <v>27.20479496</v>
      </c>
      <c r="K439" s="1" t="s">
        <v>861</v>
      </c>
      <c r="L439" s="1" t="s">
        <v>867</v>
      </c>
      <c r="M439" s="1" t="s">
        <v>874</v>
      </c>
      <c r="N439" s="2">
        <f>HYPERLINK("https://waterservices.usgs.gov/nwis/site/?site=02277100&amp;format=rdb", "Datum Info")</f>
        <v>0</v>
      </c>
      <c r="AH439" s="1">
        <v>0</v>
      </c>
      <c r="AI439" s="1">
        <v>0</v>
      </c>
      <c r="AJ439" s="1">
        <v>0</v>
      </c>
      <c r="AK439" s="1">
        <v>0</v>
      </c>
      <c r="AL439" s="1" t="s">
        <v>1744</v>
      </c>
    </row>
    <row r="440" spans="1:38">
      <c r="A440" s="1" t="s">
        <v>464</v>
      </c>
      <c r="B440" s="1" t="s">
        <v>632</v>
      </c>
      <c r="D440" s="1" t="s">
        <v>654</v>
      </c>
      <c r="H440" s="1">
        <f>HYPERLINK("https://waterdata.usgs.gov/nwis/nwismap/?site_no=02277110&amp;agency_cd=USGS", "US02277110")</f>
        <v>0</v>
      </c>
      <c r="I440" s="1">
        <v>-80.20744168</v>
      </c>
      <c r="J440" s="1">
        <v>27.19902274</v>
      </c>
      <c r="K440" s="1" t="s">
        <v>861</v>
      </c>
      <c r="L440" s="1" t="s">
        <v>867</v>
      </c>
      <c r="M440" s="1" t="s">
        <v>874</v>
      </c>
      <c r="N440" s="2">
        <f>HYPERLINK("https://waterservices.usgs.gov/nwis/site/?site=02277110&amp;format=rdb", "Datum Info")</f>
        <v>0</v>
      </c>
      <c r="AH440" s="1">
        <v>0</v>
      </c>
      <c r="AI440" s="1">
        <v>0</v>
      </c>
      <c r="AJ440" s="1">
        <v>0</v>
      </c>
      <c r="AK440" s="1">
        <v>0</v>
      </c>
      <c r="AL440" s="1" t="s">
        <v>1744</v>
      </c>
    </row>
    <row r="441" spans="1:38">
      <c r="A441" s="1" t="s">
        <v>465</v>
      </c>
      <c r="B441" s="1" t="s">
        <v>632</v>
      </c>
      <c r="C441" s="1" t="s">
        <v>645</v>
      </c>
      <c r="D441" s="1" t="s">
        <v>654</v>
      </c>
      <c r="E441" s="1" t="s">
        <v>784</v>
      </c>
      <c r="F441" s="1" t="s">
        <v>847</v>
      </c>
      <c r="G441" s="1" t="s">
        <v>854</v>
      </c>
      <c r="H441" s="1">
        <f>HYPERLINK("https://waterdata.usgs.gov/nwis/nwismap/?site_no=265906080093500&amp;agency_cd=USGS", "US265906080093500")</f>
        <v>0</v>
      </c>
      <c r="I441" s="1">
        <v>-80.16</v>
      </c>
      <c r="J441" s="1">
        <v>26.98528333</v>
      </c>
      <c r="K441" s="1" t="s">
        <v>861</v>
      </c>
      <c r="L441" s="1" t="s">
        <v>867</v>
      </c>
      <c r="M441" s="1" t="s">
        <v>874</v>
      </c>
      <c r="N441" s="2">
        <f>HYPERLINK("https://waterservices.usgs.gov/nwis/site/?site=265906080093500&amp;format=rdb", "Datum Info")</f>
        <v>0</v>
      </c>
      <c r="AH441" s="1">
        <v>0</v>
      </c>
      <c r="AI441" s="1">
        <v>0</v>
      </c>
      <c r="AJ441" s="1">
        <v>0</v>
      </c>
      <c r="AK441" s="1">
        <v>0</v>
      </c>
      <c r="AL441" s="1" t="s">
        <v>1744</v>
      </c>
    </row>
    <row r="442" spans="1:38">
      <c r="A442" s="1" t="s">
        <v>466</v>
      </c>
      <c r="B442" s="1" t="s">
        <v>633</v>
      </c>
      <c r="C442" s="1" t="s">
        <v>645</v>
      </c>
      <c r="D442" s="1" t="s">
        <v>654</v>
      </c>
      <c r="E442" s="1" t="s">
        <v>785</v>
      </c>
      <c r="F442" s="1" t="s">
        <v>847</v>
      </c>
      <c r="G442" s="1" t="s">
        <v>856</v>
      </c>
      <c r="H442" s="1">
        <f>HYPERLINK("https://tidesandcurrents.noaa.gov/stationhome.html?id=8729840", "8729840")</f>
        <v>0</v>
      </c>
      <c r="I442" s="1">
        <v>-87.21120000000001</v>
      </c>
      <c r="J442" s="1">
        <v>30.40439</v>
      </c>
      <c r="K442" s="1" t="s">
        <v>865</v>
      </c>
      <c r="L442" s="1" t="s">
        <v>866</v>
      </c>
      <c r="M442" s="1" t="s">
        <v>874</v>
      </c>
      <c r="N442" s="2">
        <f>HYPERLINK("https://tidesandcurrents.noaa.gov/datums.html?datum=MLLW&amp;units=0&amp;epoch=0&amp;id=8729840", "Datum Info")</f>
        <v>0</v>
      </c>
      <c r="O442" s="1" t="s">
        <v>886</v>
      </c>
      <c r="P442" s="1">
        <v>1.26</v>
      </c>
      <c r="Q442" s="1">
        <v>1.22</v>
      </c>
      <c r="R442" s="1">
        <v>0.63</v>
      </c>
      <c r="S442" s="1">
        <v>0.62</v>
      </c>
      <c r="T442" s="1">
        <v>0.63</v>
      </c>
      <c r="U442" s="1">
        <v>0.03</v>
      </c>
      <c r="V442" s="1">
        <v>0</v>
      </c>
      <c r="W442" s="1">
        <v>0.32</v>
      </c>
      <c r="X442" s="1">
        <v>-8.43</v>
      </c>
      <c r="Y442" s="1" t="s">
        <v>1274</v>
      </c>
      <c r="Z442" s="1" t="s">
        <v>1529</v>
      </c>
    </row>
    <row r="443" spans="1:38">
      <c r="A443" s="1" t="s">
        <v>467</v>
      </c>
      <c r="B443" s="1" t="s">
        <v>633</v>
      </c>
      <c r="C443" s="1" t="s">
        <v>645</v>
      </c>
      <c r="D443" s="1" t="s">
        <v>654</v>
      </c>
      <c r="E443" s="1" t="s">
        <v>786</v>
      </c>
      <c r="F443" s="1" t="s">
        <v>850</v>
      </c>
      <c r="G443" s="1" t="s">
        <v>856</v>
      </c>
      <c r="H443" s="1">
        <f>HYPERLINK("https://tidesandcurrents.noaa.gov/stationhome.html?id=8732828", "8732828")</f>
        <v>0</v>
      </c>
      <c r="I443" s="1">
        <v>-87.8254</v>
      </c>
      <c r="J443" s="1">
        <v>30.4169</v>
      </c>
      <c r="K443" s="1" t="s">
        <v>865</v>
      </c>
      <c r="L443" s="1" t="s">
        <v>866</v>
      </c>
      <c r="M443" s="1" t="s">
        <v>874</v>
      </c>
      <c r="N443" s="2">
        <f>HYPERLINK("https://tidesandcurrents.noaa.gov/datums.html?datum=MLLW&amp;units=0&amp;epoch=0&amp;id=8732828", "Datum Info")</f>
        <v>0</v>
      </c>
      <c r="O443" s="1" t="s">
        <v>886</v>
      </c>
      <c r="P443" s="1">
        <v>1.61</v>
      </c>
      <c r="Q443" s="1">
        <v>1.49</v>
      </c>
      <c r="R443" s="1">
        <v>0.8</v>
      </c>
      <c r="S443" s="1">
        <v>0.8</v>
      </c>
      <c r="T443" s="1">
        <v>0.8</v>
      </c>
      <c r="U443" s="1">
        <v>0.11</v>
      </c>
      <c r="V443" s="1">
        <v>0</v>
      </c>
      <c r="X443" s="1">
        <v>-30.23</v>
      </c>
    </row>
    <row r="444" spans="1:38">
      <c r="A444" s="1" t="s">
        <v>468</v>
      </c>
      <c r="B444" s="1" t="s">
        <v>633</v>
      </c>
      <c r="D444" s="1" t="s">
        <v>654</v>
      </c>
      <c r="H444" s="1">
        <f>HYPERLINK("https://tidesandcurrents.noaa.gov/stationhome.html?id=8735180", "8735180")</f>
        <v>0</v>
      </c>
      <c r="I444" s="1">
        <v>-88.075</v>
      </c>
      <c r="J444" s="1">
        <v>30.25</v>
      </c>
      <c r="K444" s="1" t="s">
        <v>865</v>
      </c>
      <c r="L444" s="1" t="s">
        <v>866</v>
      </c>
      <c r="M444" s="1" t="s">
        <v>874</v>
      </c>
      <c r="N444" s="2">
        <f>HYPERLINK("https://tidesandcurrents.noaa.gov/datums.html?datum=MLLW&amp;units=0&amp;epoch=0&amp;id=8735180", "Datum Info")</f>
        <v>0</v>
      </c>
      <c r="O444" s="1" t="s">
        <v>886</v>
      </c>
      <c r="P444" s="1">
        <v>1.22</v>
      </c>
      <c r="Q444" s="1">
        <v>1.2</v>
      </c>
      <c r="R444" s="1">
        <v>0.61</v>
      </c>
      <c r="S444" s="1">
        <v>0.57</v>
      </c>
      <c r="T444" s="1">
        <v>0.61</v>
      </c>
      <c r="U444" s="1">
        <v>0.02</v>
      </c>
      <c r="V444" s="1">
        <v>0</v>
      </c>
      <c r="W444" s="1">
        <v>0.52</v>
      </c>
      <c r="X444" s="1">
        <v>-2.87</v>
      </c>
      <c r="Y444" s="1" t="s">
        <v>1275</v>
      </c>
      <c r="Z444" s="1" t="s">
        <v>1530</v>
      </c>
    </row>
    <row r="445" spans="1:38">
      <c r="A445" s="1" t="s">
        <v>469</v>
      </c>
      <c r="B445" s="1" t="s">
        <v>633</v>
      </c>
      <c r="C445" s="1" t="s">
        <v>645</v>
      </c>
      <c r="D445" s="1" t="s">
        <v>654</v>
      </c>
      <c r="H445" s="1">
        <f>HYPERLINK("https://tidesandcurrents.noaa.gov/stationhome.html?id=8735391", "8735391")</f>
        <v>0</v>
      </c>
      <c r="I445" s="1">
        <v>-88.08799999999999</v>
      </c>
      <c r="J445" s="1">
        <v>30.5652</v>
      </c>
      <c r="K445" s="1" t="s">
        <v>865</v>
      </c>
      <c r="L445" s="1" t="s">
        <v>866</v>
      </c>
      <c r="M445" s="1" t="s">
        <v>874</v>
      </c>
      <c r="N445" s="2">
        <f>HYPERLINK("https://tidesandcurrents.noaa.gov/datums.html?datum=MLLW&amp;units=0&amp;epoch=0&amp;id=8735391", "Datum Info")</f>
        <v>0</v>
      </c>
      <c r="O445" s="1" t="s">
        <v>886</v>
      </c>
      <c r="P445" s="1">
        <v>1.64</v>
      </c>
      <c r="Q445" s="1">
        <v>1.55</v>
      </c>
      <c r="R445" s="1">
        <v>0.82</v>
      </c>
      <c r="S445" s="1">
        <v>0.8</v>
      </c>
      <c r="T445" s="1">
        <v>0.82</v>
      </c>
      <c r="U445" s="1">
        <v>0.09</v>
      </c>
      <c r="V445" s="1">
        <v>0</v>
      </c>
      <c r="W445" s="1" t="s">
        <v>1045</v>
      </c>
      <c r="X445" s="1">
        <v>-28.94</v>
      </c>
      <c r="Y445" s="1" t="s">
        <v>1276</v>
      </c>
      <c r="Z445" s="1" t="s">
        <v>1531</v>
      </c>
    </row>
    <row r="446" spans="1:38">
      <c r="A446" s="1" t="s">
        <v>470</v>
      </c>
      <c r="B446" s="1" t="s">
        <v>633</v>
      </c>
      <c r="C446" s="1" t="s">
        <v>645</v>
      </c>
      <c r="D446" s="1" t="s">
        <v>654</v>
      </c>
      <c r="H446" s="1">
        <f>HYPERLINK("https://tidesandcurrents.noaa.gov/stationhome.html?id=8735523", "8735523")</f>
        <v>0</v>
      </c>
      <c r="I446" s="1">
        <v>-88.1139</v>
      </c>
      <c r="J446" s="1">
        <v>30.4437</v>
      </c>
      <c r="K446" s="1" t="s">
        <v>865</v>
      </c>
      <c r="L446" s="1" t="s">
        <v>866</v>
      </c>
      <c r="M446" s="1" t="s">
        <v>874</v>
      </c>
      <c r="N446" s="2">
        <f>HYPERLINK("https://tidesandcurrents.noaa.gov/datums.html?datum=MLLW&amp;units=0&amp;epoch=0&amp;id=8735523", "Datum Info")</f>
        <v>0</v>
      </c>
      <c r="O446" s="1" t="s">
        <v>886</v>
      </c>
      <c r="P446" s="1">
        <v>1.47</v>
      </c>
      <c r="Q446" s="1">
        <v>1.42</v>
      </c>
      <c r="R446" s="1">
        <v>0.74</v>
      </c>
      <c r="S446" s="1">
        <v>0.73</v>
      </c>
      <c r="T446" s="1">
        <v>0.74</v>
      </c>
      <c r="U446" s="1">
        <v>0.07000000000000001</v>
      </c>
      <c r="V446" s="1">
        <v>0</v>
      </c>
      <c r="W446" s="1">
        <v>0.65</v>
      </c>
      <c r="X446" s="1">
        <v>-13.48</v>
      </c>
    </row>
    <row r="447" spans="1:38">
      <c r="A447" s="1" t="s">
        <v>471</v>
      </c>
      <c r="B447" s="1" t="s">
        <v>633</v>
      </c>
      <c r="C447" s="1" t="s">
        <v>645</v>
      </c>
      <c r="D447" s="1" t="s">
        <v>654</v>
      </c>
      <c r="E447" s="1" t="s">
        <v>787</v>
      </c>
      <c r="F447" s="1" t="s">
        <v>850</v>
      </c>
      <c r="G447" s="1" t="s">
        <v>856</v>
      </c>
      <c r="H447" s="1">
        <f>HYPERLINK("https://tidesandcurrents.noaa.gov/stationhome.html?id=8736897", "8736897")</f>
        <v>0</v>
      </c>
      <c r="I447" s="1">
        <v>-88.0583</v>
      </c>
      <c r="J447" s="1">
        <v>30.6483</v>
      </c>
      <c r="K447" s="1" t="s">
        <v>865</v>
      </c>
      <c r="L447" s="1" t="s">
        <v>866</v>
      </c>
      <c r="M447" s="1" t="s">
        <v>874</v>
      </c>
      <c r="N447" s="2">
        <f>HYPERLINK("https://tidesandcurrents.noaa.gov/datums.html?datum=MLLW&amp;units=0&amp;epoch=0&amp;id=8736897", "Datum Info")</f>
        <v>0</v>
      </c>
      <c r="O447" s="1" t="s">
        <v>886</v>
      </c>
      <c r="P447" s="1">
        <v>1.69</v>
      </c>
      <c r="Q447" s="1">
        <v>1.62</v>
      </c>
      <c r="R447" s="1">
        <v>0.85</v>
      </c>
      <c r="S447" s="1">
        <v>0.84</v>
      </c>
      <c r="T447" s="1">
        <v>0.85</v>
      </c>
      <c r="U447" s="1">
        <v>0.09</v>
      </c>
      <c r="V447" s="1">
        <v>0</v>
      </c>
      <c r="W447" s="1">
        <v>0.53</v>
      </c>
      <c r="X447" s="1">
        <v>-28.63</v>
      </c>
      <c r="Y447" s="1" t="s">
        <v>1277</v>
      </c>
      <c r="Z447" s="1" t="s">
        <v>1267</v>
      </c>
    </row>
    <row r="448" spans="1:38">
      <c r="A448" s="1" t="s">
        <v>472</v>
      </c>
      <c r="B448" s="1" t="s">
        <v>633</v>
      </c>
      <c r="C448" s="1" t="s">
        <v>645</v>
      </c>
      <c r="D448" s="1" t="s">
        <v>654</v>
      </c>
      <c r="H448" s="1">
        <f>HYPERLINK("https://tidesandcurrents.noaa.gov/stationhome.html?id=8737048", "8737048")</f>
        <v>0</v>
      </c>
      <c r="I448" s="1">
        <v>-88.03959999999999</v>
      </c>
      <c r="J448" s="1">
        <v>30.70461</v>
      </c>
      <c r="K448" s="1" t="s">
        <v>865</v>
      </c>
      <c r="L448" s="1" t="s">
        <v>866</v>
      </c>
      <c r="M448" s="1" t="s">
        <v>874</v>
      </c>
      <c r="N448" s="2">
        <f>HYPERLINK("https://tidesandcurrents.noaa.gov/datums.html?datum=MLLW&amp;units=0&amp;epoch=0&amp;id=8737048", "Datum Info")</f>
        <v>0</v>
      </c>
      <c r="O448" s="1" t="s">
        <v>886</v>
      </c>
      <c r="P448" s="1">
        <v>1.65</v>
      </c>
      <c r="Q448" s="1">
        <v>1.56</v>
      </c>
      <c r="R448" s="1">
        <v>0.83</v>
      </c>
      <c r="S448" s="1">
        <v>0.82</v>
      </c>
      <c r="T448" s="1">
        <v>0.82</v>
      </c>
      <c r="U448" s="1">
        <v>0.09</v>
      </c>
      <c r="V448" s="1">
        <v>0</v>
      </c>
      <c r="W448" s="1">
        <v>0.49</v>
      </c>
      <c r="X448" s="1">
        <v>-1.48</v>
      </c>
      <c r="Y448" s="1" t="s">
        <v>1278</v>
      </c>
      <c r="Z448" s="1" t="s">
        <v>1532</v>
      </c>
    </row>
    <row r="449" spans="1:38">
      <c r="A449" s="1" t="s">
        <v>473</v>
      </c>
      <c r="B449" s="1" t="s">
        <v>633</v>
      </c>
      <c r="C449" s="1" t="s">
        <v>645</v>
      </c>
      <c r="D449" s="1" t="s">
        <v>654</v>
      </c>
      <c r="E449" s="1" t="s">
        <v>787</v>
      </c>
      <c r="F449" s="1" t="s">
        <v>850</v>
      </c>
      <c r="G449" s="1" t="s">
        <v>856</v>
      </c>
      <c r="H449" s="1">
        <f>HYPERLINK("https://tidesandcurrents.noaa.gov/stationhome.html?id=8737138", "8737138")</f>
        <v>0</v>
      </c>
      <c r="I449" s="1">
        <v>-88.0736</v>
      </c>
      <c r="J449" s="1">
        <v>30.7819</v>
      </c>
      <c r="K449" s="1" t="s">
        <v>865</v>
      </c>
      <c r="L449" s="1" t="s">
        <v>866</v>
      </c>
      <c r="M449" s="1" t="s">
        <v>874</v>
      </c>
      <c r="N449" s="2">
        <f>HYPERLINK("https://tidesandcurrents.noaa.gov/datums.html?datum=MLLW&amp;units=0&amp;epoch=0&amp;id=8737138", "Datum Info")</f>
        <v>0</v>
      </c>
      <c r="O449" s="1" t="s">
        <v>886</v>
      </c>
      <c r="P449" s="1">
        <v>1.72</v>
      </c>
      <c r="Q449" s="1">
        <v>1.62</v>
      </c>
      <c r="R449" s="1">
        <v>0.87</v>
      </c>
      <c r="S449" s="1">
        <v>0.86</v>
      </c>
      <c r="T449" s="1">
        <v>0.86</v>
      </c>
      <c r="U449" s="1">
        <v>0.12</v>
      </c>
      <c r="V449" s="1">
        <v>0</v>
      </c>
      <c r="W449" s="1">
        <v>0.45</v>
      </c>
      <c r="X449" s="1">
        <v>-24.58</v>
      </c>
    </row>
    <row r="450" spans="1:38">
      <c r="A450" s="1" t="s">
        <v>474</v>
      </c>
      <c r="B450" s="1" t="s">
        <v>633</v>
      </c>
      <c r="C450" s="1" t="s">
        <v>649</v>
      </c>
      <c r="D450" s="1" t="s">
        <v>654</v>
      </c>
      <c r="E450" s="1" t="s">
        <v>787</v>
      </c>
      <c r="F450" s="1" t="s">
        <v>850</v>
      </c>
      <c r="G450" s="1" t="s">
        <v>856</v>
      </c>
      <c r="H450" s="1">
        <f>HYPERLINK("https://tidesandcurrents.noaa.gov/stationhome.html?id=8738043", "8738043")</f>
        <v>0</v>
      </c>
      <c r="I450" s="1">
        <v>-88.15860000000001</v>
      </c>
      <c r="J450" s="1">
        <v>30.3766</v>
      </c>
      <c r="K450" s="1" t="s">
        <v>865</v>
      </c>
      <c r="L450" s="1" t="s">
        <v>866</v>
      </c>
      <c r="M450" s="1" t="s">
        <v>874</v>
      </c>
      <c r="N450" s="2">
        <f>HYPERLINK("https://tidesandcurrents.noaa.gov/datums.html?datum=MLLW&amp;units=0&amp;epoch=0&amp;id=8738043", "Datum Info")</f>
        <v>0</v>
      </c>
      <c r="O450" s="1" t="s">
        <v>886</v>
      </c>
      <c r="P450" s="1">
        <v>1.68</v>
      </c>
      <c r="Q450" s="1">
        <v>1.52</v>
      </c>
      <c r="R450" s="1">
        <v>0.83</v>
      </c>
      <c r="S450" s="1">
        <v>0.84</v>
      </c>
      <c r="T450" s="1">
        <v>0.84</v>
      </c>
      <c r="U450" s="1">
        <v>0.14</v>
      </c>
      <c r="V450" s="1">
        <v>0</v>
      </c>
      <c r="W450" s="1">
        <v>0.77</v>
      </c>
      <c r="X450" s="1">
        <v>-19.48</v>
      </c>
    </row>
    <row r="451" spans="1:38">
      <c r="A451" s="1" t="s">
        <v>475</v>
      </c>
      <c r="B451" s="1" t="s">
        <v>633</v>
      </c>
      <c r="C451" s="1" t="s">
        <v>645</v>
      </c>
      <c r="D451" s="1" t="s">
        <v>654</v>
      </c>
      <c r="H451" s="1">
        <f>HYPERLINK("https://waterdata.usgs.gov/nwis/nwismap/?site_no=02378185&amp;agency_cd=USGS", "US02378185")</f>
        <v>0</v>
      </c>
      <c r="I451" s="1">
        <v>-87.6866524</v>
      </c>
      <c r="J451" s="1">
        <v>30.27964626</v>
      </c>
      <c r="K451" s="1" t="s">
        <v>861</v>
      </c>
      <c r="L451" s="1" t="s">
        <v>867</v>
      </c>
      <c r="M451" s="1" t="s">
        <v>874</v>
      </c>
      <c r="N451" s="2">
        <f>HYPERLINK("https://waterservices.usgs.gov/nwis/site/?site=02378185&amp;format=rdb", "Datum Info")</f>
        <v>0</v>
      </c>
      <c r="AH451" s="1">
        <v>0</v>
      </c>
      <c r="AI451" s="1">
        <v>3.7</v>
      </c>
      <c r="AJ451" s="1">
        <v>4.7</v>
      </c>
      <c r="AK451" s="1">
        <v>7.7</v>
      </c>
      <c r="AL451" s="1" t="s">
        <v>1744</v>
      </c>
    </row>
    <row r="452" spans="1:38">
      <c r="A452" s="1" t="s">
        <v>476</v>
      </c>
      <c r="B452" s="1" t="s">
        <v>634</v>
      </c>
      <c r="D452" s="1" t="s">
        <v>654</v>
      </c>
      <c r="E452" s="1" t="s">
        <v>788</v>
      </c>
      <c r="F452" s="1" t="s">
        <v>653</v>
      </c>
      <c r="G452" s="1" t="s">
        <v>857</v>
      </c>
      <c r="H452" s="1" t="s">
        <v>859</v>
      </c>
      <c r="I452" s="1">
        <v>-66.71083</v>
      </c>
      <c r="J452" s="1">
        <v>18.47159</v>
      </c>
      <c r="K452" s="1" t="s">
        <v>861</v>
      </c>
      <c r="L452" s="1" t="s">
        <v>859</v>
      </c>
      <c r="M452" s="1" t="s">
        <v>876</v>
      </c>
    </row>
    <row r="453" spans="1:38">
      <c r="A453" s="1" t="s">
        <v>477</v>
      </c>
      <c r="B453" s="1" t="s">
        <v>634</v>
      </c>
      <c r="D453" s="1" t="s">
        <v>654</v>
      </c>
      <c r="E453" s="1" t="s">
        <v>789</v>
      </c>
      <c r="F453" s="1" t="s">
        <v>653</v>
      </c>
      <c r="G453" s="1" t="s">
        <v>857</v>
      </c>
      <c r="H453" s="1" t="s">
        <v>859</v>
      </c>
      <c r="I453" s="1">
        <v>-66.16246</v>
      </c>
      <c r="J453" s="1">
        <v>18.45036</v>
      </c>
      <c r="K453" s="1" t="s">
        <v>861</v>
      </c>
      <c r="L453" s="1" t="s">
        <v>859</v>
      </c>
      <c r="M453" s="1" t="s">
        <v>876</v>
      </c>
    </row>
    <row r="454" spans="1:38">
      <c r="A454" s="1" t="s">
        <v>478</v>
      </c>
      <c r="B454" s="1" t="s">
        <v>634</v>
      </c>
      <c r="D454" s="1" t="s">
        <v>654</v>
      </c>
      <c r="E454" s="1" t="s">
        <v>790</v>
      </c>
      <c r="F454" s="1" t="s">
        <v>653</v>
      </c>
      <c r="G454" s="1" t="s">
        <v>857</v>
      </c>
      <c r="H454" s="1" t="s">
        <v>859</v>
      </c>
      <c r="I454" s="1">
        <v>-66.25814</v>
      </c>
      <c r="J454" s="1">
        <v>18.45856</v>
      </c>
      <c r="K454" s="1" t="s">
        <v>861</v>
      </c>
      <c r="L454" s="1" t="s">
        <v>859</v>
      </c>
      <c r="M454" s="1" t="s">
        <v>876</v>
      </c>
    </row>
    <row r="455" spans="1:38">
      <c r="A455" s="1" t="s">
        <v>479</v>
      </c>
      <c r="B455" s="1" t="s">
        <v>634</v>
      </c>
      <c r="D455" s="1" t="s">
        <v>654</v>
      </c>
      <c r="E455" s="1" t="s">
        <v>791</v>
      </c>
      <c r="F455" s="1" t="s">
        <v>653</v>
      </c>
      <c r="G455" s="1" t="s">
        <v>857</v>
      </c>
      <c r="H455" s="1" t="s">
        <v>859</v>
      </c>
      <c r="I455" s="1">
        <v>-65.73981999999999</v>
      </c>
      <c r="J455" s="1">
        <v>18.17517</v>
      </c>
      <c r="K455" s="1" t="s">
        <v>861</v>
      </c>
      <c r="L455" s="1" t="s">
        <v>859</v>
      </c>
      <c r="M455" s="1" t="s">
        <v>876</v>
      </c>
    </row>
    <row r="456" spans="1:38">
      <c r="A456" s="1" t="s">
        <v>480</v>
      </c>
      <c r="B456" s="1" t="s">
        <v>634</v>
      </c>
      <c r="D456" s="1" t="s">
        <v>654</v>
      </c>
      <c r="H456" s="1" t="s">
        <v>859</v>
      </c>
      <c r="I456" s="1">
        <v>-65.88271</v>
      </c>
      <c r="J456" s="1">
        <v>18.434</v>
      </c>
      <c r="K456" s="1" t="s">
        <v>861</v>
      </c>
      <c r="L456" s="1" t="s">
        <v>859</v>
      </c>
      <c r="M456" s="1" t="s">
        <v>876</v>
      </c>
    </row>
    <row r="457" spans="1:38">
      <c r="A457" s="1" t="s">
        <v>481</v>
      </c>
      <c r="B457" s="1" t="s">
        <v>634</v>
      </c>
      <c r="D457" s="1" t="s">
        <v>654</v>
      </c>
      <c r="E457" s="1" t="s">
        <v>792</v>
      </c>
      <c r="F457" s="1" t="s">
        <v>653</v>
      </c>
      <c r="G457" s="1" t="s">
        <v>857</v>
      </c>
      <c r="H457" s="1" t="s">
        <v>859</v>
      </c>
      <c r="I457" s="1">
        <v>-65.75138</v>
      </c>
      <c r="J457" s="1">
        <v>18.38511</v>
      </c>
      <c r="K457" s="1" t="s">
        <v>861</v>
      </c>
      <c r="L457" s="1" t="s">
        <v>859</v>
      </c>
      <c r="M457" s="1" t="s">
        <v>876</v>
      </c>
    </row>
    <row r="458" spans="1:38">
      <c r="A458" s="1" t="s">
        <v>482</v>
      </c>
      <c r="B458" s="1" t="s">
        <v>634</v>
      </c>
      <c r="D458" s="1" t="s">
        <v>654</v>
      </c>
      <c r="H458" s="1" t="s">
        <v>859</v>
      </c>
      <c r="I458" s="1">
        <v>-66.53424</v>
      </c>
      <c r="J458" s="1">
        <v>18.47962</v>
      </c>
      <c r="K458" s="1" t="s">
        <v>861</v>
      </c>
      <c r="L458" s="1" t="s">
        <v>859</v>
      </c>
      <c r="M458" s="1" t="s">
        <v>876</v>
      </c>
    </row>
    <row r="459" spans="1:38">
      <c r="A459" s="1" t="s">
        <v>483</v>
      </c>
      <c r="B459" s="1" t="s">
        <v>634</v>
      </c>
      <c r="D459" s="1" t="s">
        <v>654</v>
      </c>
      <c r="H459" s="1" t="s">
        <v>859</v>
      </c>
      <c r="I459" s="1">
        <v>-65.72517999999999</v>
      </c>
      <c r="J459" s="1">
        <v>18.18848</v>
      </c>
      <c r="K459" s="1" t="s">
        <v>861</v>
      </c>
      <c r="L459" s="1" t="s">
        <v>859</v>
      </c>
      <c r="M459" s="1" t="s">
        <v>876</v>
      </c>
    </row>
    <row r="460" spans="1:38">
      <c r="A460" s="1" t="s">
        <v>484</v>
      </c>
      <c r="B460" s="1" t="s">
        <v>634</v>
      </c>
      <c r="D460" s="1" t="s">
        <v>654</v>
      </c>
      <c r="H460" s="1" t="s">
        <v>859</v>
      </c>
      <c r="I460" s="1">
        <v>-65.80405</v>
      </c>
      <c r="J460" s="1">
        <v>18.4104</v>
      </c>
      <c r="K460" s="1" t="s">
        <v>861</v>
      </c>
      <c r="L460" s="1" t="s">
        <v>859</v>
      </c>
      <c r="M460" s="1" t="s">
        <v>876</v>
      </c>
    </row>
    <row r="461" spans="1:38">
      <c r="A461" s="1" t="s">
        <v>485</v>
      </c>
      <c r="B461" s="1" t="s">
        <v>634</v>
      </c>
      <c r="D461" s="1" t="s">
        <v>654</v>
      </c>
      <c r="H461" s="1" t="s">
        <v>859</v>
      </c>
      <c r="I461" s="1">
        <v>-66.08135</v>
      </c>
      <c r="J461" s="1">
        <v>18.4387</v>
      </c>
      <c r="K461" s="1" t="s">
        <v>861</v>
      </c>
      <c r="L461" s="1" t="s">
        <v>859</v>
      </c>
      <c r="M461" s="1" t="s">
        <v>876</v>
      </c>
    </row>
    <row r="462" spans="1:38">
      <c r="A462" s="1" t="s">
        <v>486</v>
      </c>
      <c r="B462" s="1" t="s">
        <v>635</v>
      </c>
      <c r="C462" s="1" t="s">
        <v>645</v>
      </c>
      <c r="D462" s="1" t="s">
        <v>654</v>
      </c>
      <c r="H462" s="1">
        <f>HYPERLINK("https://tidesandcurrents.noaa.gov/stationhome.html?id=8728690", "8728690")</f>
        <v>0</v>
      </c>
      <c r="I462" s="1">
        <v>-84.9806</v>
      </c>
      <c r="J462" s="1">
        <v>29.72444</v>
      </c>
      <c r="K462" s="1" t="s">
        <v>860</v>
      </c>
      <c r="L462" s="1" t="s">
        <v>866</v>
      </c>
      <c r="M462" s="1" t="s">
        <v>874</v>
      </c>
      <c r="N462" s="2">
        <f>HYPERLINK("https://tidesandcurrents.noaa.gov/datums.html?datum=MLLW&amp;units=0&amp;epoch=0&amp;id=8728690", "Datum Info")</f>
        <v>0</v>
      </c>
      <c r="O462" s="1" t="s">
        <v>886</v>
      </c>
      <c r="P462" s="1">
        <v>1.61</v>
      </c>
      <c r="Q462" s="1">
        <v>1.51</v>
      </c>
      <c r="R462" s="1">
        <v>0.95</v>
      </c>
      <c r="S462" s="1">
        <v>0.91</v>
      </c>
      <c r="T462" s="1">
        <v>0.8</v>
      </c>
      <c r="U462" s="1">
        <v>0.4</v>
      </c>
      <c r="V462" s="1">
        <v>0</v>
      </c>
      <c r="W462" s="1">
        <v>0.76</v>
      </c>
      <c r="X462" s="1">
        <v>-4.29</v>
      </c>
      <c r="Y462" s="1" t="s">
        <v>1279</v>
      </c>
      <c r="Z462" s="1" t="s">
        <v>1376</v>
      </c>
    </row>
    <row r="463" spans="1:38">
      <c r="A463" s="1" t="s">
        <v>487</v>
      </c>
      <c r="B463" s="1" t="s">
        <v>635</v>
      </c>
      <c r="D463" s="1" t="s">
        <v>654</v>
      </c>
      <c r="H463" s="1">
        <f>HYPERLINK("https://tidesandcurrents.noaa.gov/stationhome.html?id=8729108", "8729108")</f>
        <v>0</v>
      </c>
      <c r="I463" s="1">
        <v>-85.7</v>
      </c>
      <c r="J463" s="1">
        <v>30.15228</v>
      </c>
      <c r="K463" s="1" t="s">
        <v>860</v>
      </c>
      <c r="L463" s="1" t="s">
        <v>866</v>
      </c>
      <c r="M463" s="1" t="s">
        <v>874</v>
      </c>
      <c r="N463" s="2">
        <f>HYPERLINK("https://tidesandcurrents.noaa.gov/datums.html?datum=MLLW&amp;units=0&amp;epoch=0&amp;id=8729108", "Datum Info")</f>
        <v>0</v>
      </c>
      <c r="O463" s="1" t="s">
        <v>886</v>
      </c>
      <c r="P463" s="1">
        <v>1.34</v>
      </c>
      <c r="Q463" s="1">
        <v>1.3</v>
      </c>
      <c r="R463" s="1">
        <v>0.68</v>
      </c>
      <c r="S463" s="1">
        <v>0.67</v>
      </c>
      <c r="T463" s="1">
        <v>0.68</v>
      </c>
      <c r="U463" s="1">
        <v>0.05</v>
      </c>
      <c r="V463" s="1">
        <v>0</v>
      </c>
      <c r="W463" s="1">
        <v>0.5600000000000001</v>
      </c>
      <c r="X463" s="1">
        <v>-3.34</v>
      </c>
      <c r="Y463" s="1" t="s">
        <v>1280</v>
      </c>
      <c r="Z463" s="1" t="s">
        <v>1533</v>
      </c>
    </row>
    <row r="464" spans="1:38">
      <c r="A464" s="1" t="s">
        <v>488</v>
      </c>
      <c r="B464" s="1" t="s">
        <v>635</v>
      </c>
      <c r="C464" s="1" t="s">
        <v>645</v>
      </c>
      <c r="D464" s="1" t="s">
        <v>654</v>
      </c>
      <c r="E464" s="1" t="s">
        <v>793</v>
      </c>
      <c r="F464" s="1" t="s">
        <v>847</v>
      </c>
      <c r="G464" s="1" t="s">
        <v>854</v>
      </c>
      <c r="H464" s="1" t="s">
        <v>859</v>
      </c>
      <c r="I464" s="1">
        <v>-84.5025</v>
      </c>
      <c r="J464" s="1">
        <v>29.988333</v>
      </c>
      <c r="K464" s="1" t="s">
        <v>861</v>
      </c>
      <c r="L464" s="1" t="s">
        <v>859</v>
      </c>
      <c r="M464" s="1" t="s">
        <v>874</v>
      </c>
    </row>
    <row r="465" spans="1:38">
      <c r="A465" s="1" t="s">
        <v>489</v>
      </c>
      <c r="B465" s="1" t="s">
        <v>635</v>
      </c>
      <c r="C465" s="1" t="s">
        <v>645</v>
      </c>
      <c r="D465" s="1" t="s">
        <v>654</v>
      </c>
      <c r="E465" s="1" t="s">
        <v>793</v>
      </c>
      <c r="F465" s="1" t="s">
        <v>847</v>
      </c>
      <c r="G465" s="1" t="s">
        <v>854</v>
      </c>
      <c r="H465" s="1" t="s">
        <v>859</v>
      </c>
      <c r="I465" s="1">
        <v>-84.28333000000001</v>
      </c>
      <c r="J465" s="1">
        <v>30.06667</v>
      </c>
      <c r="K465" s="1" t="s">
        <v>860</v>
      </c>
      <c r="L465" s="1" t="s">
        <v>859</v>
      </c>
      <c r="M465" s="1" t="s">
        <v>874</v>
      </c>
    </row>
    <row r="466" spans="1:38">
      <c r="A466" s="1" t="s">
        <v>490</v>
      </c>
      <c r="B466" s="1" t="s">
        <v>635</v>
      </c>
      <c r="C466" s="1" t="s">
        <v>645</v>
      </c>
      <c r="D466" s="1" t="s">
        <v>654</v>
      </c>
      <c r="E466" s="1" t="s">
        <v>794</v>
      </c>
      <c r="F466" s="1" t="s">
        <v>847</v>
      </c>
      <c r="G466" s="1" t="s">
        <v>854</v>
      </c>
      <c r="H466" s="1">
        <f>HYPERLINK("https://waterdata.usgs.gov/nwis/nwismap/?site_no=02323592&amp;agency_cd=USGS", "US02323592")</f>
        <v>0</v>
      </c>
      <c r="I466" s="1">
        <v>-83.08651500000001</v>
      </c>
      <c r="J466" s="1">
        <v>29.33940554</v>
      </c>
      <c r="K466" s="1" t="s">
        <v>861</v>
      </c>
      <c r="L466" s="1" t="s">
        <v>867</v>
      </c>
      <c r="M466" s="1" t="s">
        <v>874</v>
      </c>
      <c r="N466" s="2">
        <f>HYPERLINK("https://waterservices.usgs.gov/nwis/site/?site=02323592&amp;format=rdb", "Datum Info")</f>
        <v>0</v>
      </c>
      <c r="AB466" s="1">
        <v>0</v>
      </c>
      <c r="AC466" s="1" t="s">
        <v>1675</v>
      </c>
      <c r="AF466" s="1" t="s">
        <v>1025</v>
      </c>
      <c r="AH466" s="1">
        <v>0.7</v>
      </c>
      <c r="AI466" s="1">
        <v>1.7</v>
      </c>
      <c r="AJ466" s="1">
        <v>3</v>
      </c>
      <c r="AK466" s="1">
        <v>5</v>
      </c>
      <c r="AL466" s="1" t="s">
        <v>1744</v>
      </c>
    </row>
    <row r="467" spans="1:38">
      <c r="A467" s="1" t="s">
        <v>491</v>
      </c>
      <c r="B467" s="1" t="s">
        <v>635</v>
      </c>
      <c r="C467" s="1" t="s">
        <v>645</v>
      </c>
      <c r="D467" s="1" t="s">
        <v>654</v>
      </c>
      <c r="E467" s="1" t="s">
        <v>795</v>
      </c>
      <c r="F467" s="1" t="s">
        <v>847</v>
      </c>
      <c r="G467" s="1" t="s">
        <v>854</v>
      </c>
      <c r="H467" s="1">
        <f>HYPERLINK("https://waterdata.usgs.gov/nwis/nwismap/?site_no=02324170&amp;agency_cd=USGS", "US02324170")</f>
        <v>0</v>
      </c>
      <c r="I467" s="1">
        <v>-83.37735988999999</v>
      </c>
      <c r="J467" s="1">
        <v>29.6682821</v>
      </c>
      <c r="K467" s="1" t="s">
        <v>861</v>
      </c>
      <c r="L467" s="1" t="s">
        <v>867</v>
      </c>
      <c r="M467" s="1" t="s">
        <v>874</v>
      </c>
      <c r="N467" s="2">
        <f>HYPERLINK("https://waterservices.usgs.gov/nwis/site/?site=02324170&amp;format=rdb", "Datum Info")</f>
        <v>0</v>
      </c>
      <c r="AA467" s="1" t="s">
        <v>887</v>
      </c>
      <c r="AB467" s="1">
        <v>0</v>
      </c>
      <c r="AC467" s="1" t="s">
        <v>1676</v>
      </c>
      <c r="AF467" s="1" t="s">
        <v>1735</v>
      </c>
      <c r="AH467" s="1">
        <v>1.4</v>
      </c>
      <c r="AI467" s="1">
        <v>2.4</v>
      </c>
      <c r="AJ467" s="1">
        <v>4</v>
      </c>
      <c r="AK467" s="1">
        <v>6</v>
      </c>
      <c r="AL467" s="1" t="s">
        <v>1744</v>
      </c>
    </row>
    <row r="468" spans="1:38">
      <c r="A468" s="1" t="s">
        <v>492</v>
      </c>
      <c r="B468" s="1" t="s">
        <v>635</v>
      </c>
      <c r="C468" s="1" t="s">
        <v>645</v>
      </c>
      <c r="D468" s="1" t="s">
        <v>654</v>
      </c>
      <c r="E468" s="1" t="s">
        <v>795</v>
      </c>
      <c r="F468" s="1" t="s">
        <v>847</v>
      </c>
      <c r="G468" s="1" t="s">
        <v>854</v>
      </c>
      <c r="H468" s="1">
        <f>HYPERLINK("https://waterdata.usgs.gov/nwis/nwismap/?site_no=02325543&amp;agency_cd=USGS", "US02325543")</f>
        <v>0</v>
      </c>
      <c r="I468" s="1">
        <v>-83.77765340000001</v>
      </c>
      <c r="J468" s="1">
        <v>30.01132315</v>
      </c>
      <c r="K468" s="1" t="s">
        <v>860</v>
      </c>
      <c r="L468" s="1" t="s">
        <v>867</v>
      </c>
      <c r="M468" s="1" t="s">
        <v>874</v>
      </c>
      <c r="N468" s="2">
        <f>HYPERLINK("https://waterservices.usgs.gov/nwis/site/?site=02325543&amp;format=rdb", "Datum Info")</f>
        <v>0</v>
      </c>
      <c r="AH468" s="1">
        <v>0.8</v>
      </c>
      <c r="AI468" s="1">
        <v>2</v>
      </c>
      <c r="AJ468" s="1">
        <v>3.5</v>
      </c>
      <c r="AK468" s="1">
        <v>5</v>
      </c>
      <c r="AL468" s="1" t="s">
        <v>1744</v>
      </c>
    </row>
    <row r="469" spans="1:38">
      <c r="A469" s="1" t="s">
        <v>493</v>
      </c>
      <c r="B469" s="1" t="s">
        <v>635</v>
      </c>
      <c r="C469" s="1" t="s">
        <v>645</v>
      </c>
      <c r="D469" s="1" t="s">
        <v>654</v>
      </c>
      <c r="E469" s="1" t="s">
        <v>795</v>
      </c>
      <c r="F469" s="1" t="s">
        <v>847</v>
      </c>
      <c r="G469" s="1" t="s">
        <v>854</v>
      </c>
      <c r="H469" s="1">
        <f>HYPERLINK("https://waterdata.usgs.gov/nwis/nwismap/?site_no=02326050&amp;agency_cd=USGS", "US02326050")</f>
        <v>0</v>
      </c>
      <c r="I469" s="1">
        <v>-83.8987028</v>
      </c>
      <c r="J469" s="1">
        <v>30.06811667</v>
      </c>
      <c r="K469" s="1" t="s">
        <v>860</v>
      </c>
      <c r="L469" s="1" t="s">
        <v>867</v>
      </c>
      <c r="M469" s="1" t="s">
        <v>874</v>
      </c>
      <c r="N469" s="2">
        <f>HYPERLINK("https://waterservices.usgs.gov/nwis/site/?site=02326050&amp;format=rdb", "Datum Info")</f>
        <v>0</v>
      </c>
      <c r="O469" s="1" t="s">
        <v>887</v>
      </c>
      <c r="W469" s="1" t="s">
        <v>1046</v>
      </c>
      <c r="AH469" s="1">
        <v>1.2</v>
      </c>
      <c r="AI469" s="1">
        <v>2.3</v>
      </c>
      <c r="AJ469" s="1">
        <v>3.5</v>
      </c>
      <c r="AK469" s="1">
        <v>5</v>
      </c>
      <c r="AL469" s="1" t="s">
        <v>1744</v>
      </c>
    </row>
    <row r="470" spans="1:38">
      <c r="A470" s="1" t="s">
        <v>494</v>
      </c>
      <c r="B470" s="1" t="s">
        <v>635</v>
      </c>
      <c r="C470" s="1" t="s">
        <v>645</v>
      </c>
      <c r="D470" s="1" t="s">
        <v>654</v>
      </c>
      <c r="E470" s="1" t="s">
        <v>795</v>
      </c>
      <c r="F470" s="1" t="s">
        <v>847</v>
      </c>
      <c r="G470" s="1" t="s">
        <v>854</v>
      </c>
      <c r="H470" s="1">
        <f>HYPERLINK("https://waterdata.usgs.gov/nwis/nwismap/?site_no=02326550&amp;agency_cd=USGS", "US02326550")</f>
        <v>0</v>
      </c>
      <c r="I470" s="1">
        <v>-83.97976887999999</v>
      </c>
      <c r="J470" s="1">
        <v>30.1123413</v>
      </c>
      <c r="K470" s="1" t="s">
        <v>861</v>
      </c>
      <c r="L470" s="1" t="s">
        <v>867</v>
      </c>
      <c r="M470" s="1" t="s">
        <v>874</v>
      </c>
      <c r="N470" s="2">
        <f>HYPERLINK("https://waterservices.usgs.gov/nwis/site/?site=02326550&amp;format=rdb", "Datum Info")</f>
        <v>0</v>
      </c>
      <c r="AB470" s="1">
        <v>0</v>
      </c>
      <c r="AC470" s="1" t="s">
        <v>1677</v>
      </c>
      <c r="AF470" s="1" t="s">
        <v>1735</v>
      </c>
      <c r="AH470" s="1">
        <v>1.7</v>
      </c>
      <c r="AI470" s="1">
        <v>2.7</v>
      </c>
      <c r="AJ470" s="1">
        <v>4.2</v>
      </c>
      <c r="AK470" s="1">
        <v>6.2</v>
      </c>
      <c r="AL470" s="1" t="s">
        <v>1744</v>
      </c>
    </row>
    <row r="471" spans="1:38">
      <c r="A471" s="1" t="s">
        <v>495</v>
      </c>
      <c r="B471" s="1" t="s">
        <v>635</v>
      </c>
      <c r="C471" s="1" t="s">
        <v>645</v>
      </c>
      <c r="D471" s="1" t="s">
        <v>654</v>
      </c>
      <c r="H471" s="1">
        <f>HYPERLINK("https://waterdata.usgs.gov/nwis/nwismap/?site_no=02327031&amp;agency_cd=USGS", "US02327031")</f>
        <v>0</v>
      </c>
      <c r="I471" s="1">
        <v>-84.32739318</v>
      </c>
      <c r="J471" s="1">
        <v>30.07269923</v>
      </c>
      <c r="K471" s="1" t="s">
        <v>861</v>
      </c>
      <c r="L471" s="1" t="s">
        <v>867</v>
      </c>
      <c r="M471" s="1" t="s">
        <v>874</v>
      </c>
      <c r="N471" s="2">
        <f>HYPERLINK("https://waterservices.usgs.gov/nwis/site/?site=02327031&amp;format=rdb", "Datum Info")</f>
        <v>0</v>
      </c>
      <c r="O471" s="1" t="s">
        <v>887</v>
      </c>
      <c r="W471" s="1" t="s">
        <v>956</v>
      </c>
      <c r="AB471" s="1">
        <v>0</v>
      </c>
      <c r="AC471" s="1" t="s">
        <v>1676</v>
      </c>
      <c r="AF471" s="1" t="s">
        <v>1025</v>
      </c>
      <c r="AH471" s="1">
        <v>1</v>
      </c>
      <c r="AI471" s="1">
        <v>2</v>
      </c>
      <c r="AJ471" s="1">
        <v>4</v>
      </c>
      <c r="AK471" s="1">
        <v>6</v>
      </c>
      <c r="AL471" s="1" t="s">
        <v>1744</v>
      </c>
    </row>
    <row r="472" spans="1:38">
      <c r="A472" s="1" t="s">
        <v>496</v>
      </c>
      <c r="B472" s="1" t="s">
        <v>635</v>
      </c>
      <c r="C472" s="1" t="s">
        <v>645</v>
      </c>
      <c r="D472" s="1" t="s">
        <v>654</v>
      </c>
      <c r="E472" s="1" t="s">
        <v>796</v>
      </c>
      <c r="F472" s="1" t="s">
        <v>847</v>
      </c>
      <c r="G472" s="1" t="s">
        <v>854</v>
      </c>
      <c r="H472" s="1">
        <f>HYPERLINK("https://waterdata.usgs.gov/nwis/nwismap/?site_no=02359223&amp;agency_cd=USGS", "US02359223")</f>
        <v>0</v>
      </c>
      <c r="I472" s="1">
        <v>-85.0842806</v>
      </c>
      <c r="J472" s="1">
        <v>29.7695111</v>
      </c>
      <c r="K472" s="1" t="s">
        <v>861</v>
      </c>
      <c r="L472" s="1" t="s">
        <v>867</v>
      </c>
      <c r="M472" s="1" t="s">
        <v>874</v>
      </c>
      <c r="N472" s="2">
        <f>HYPERLINK("https://waterservices.usgs.gov/nwis/site/?site=02359223&amp;format=rdb", "Datum Info")</f>
        <v>0</v>
      </c>
      <c r="AH472" s="1">
        <v>0.9</v>
      </c>
      <c r="AI472" s="1">
        <v>2</v>
      </c>
      <c r="AJ472" s="1">
        <v>4</v>
      </c>
      <c r="AK472" s="1">
        <v>6</v>
      </c>
      <c r="AL472" s="1" t="s">
        <v>1744</v>
      </c>
    </row>
    <row r="473" spans="1:38">
      <c r="A473" s="1" t="s">
        <v>497</v>
      </c>
      <c r="B473" s="1" t="s">
        <v>636</v>
      </c>
      <c r="D473" s="1" t="s">
        <v>654</v>
      </c>
      <c r="E473" s="1" t="s">
        <v>797</v>
      </c>
      <c r="F473" s="1" t="s">
        <v>847</v>
      </c>
      <c r="G473" s="1" t="s">
        <v>854</v>
      </c>
      <c r="H473" s="1">
        <f>HYPERLINK("https://tidesandcurrents.noaa.gov/stationhome.html?id=8725520", "8725520")</f>
        <v>0</v>
      </c>
      <c r="I473" s="1">
        <v>-81.871</v>
      </c>
      <c r="J473" s="1">
        <v>26.648</v>
      </c>
      <c r="K473" s="1" t="s">
        <v>860</v>
      </c>
      <c r="L473" s="1" t="s">
        <v>866</v>
      </c>
      <c r="M473" s="1" t="s">
        <v>874</v>
      </c>
      <c r="N473" s="2">
        <f>HYPERLINK("https://tidesandcurrents.noaa.gov/datums.html?datum=MLLW&amp;units=0&amp;epoch=0&amp;id=8725520", "Datum Info")</f>
        <v>0</v>
      </c>
      <c r="O473" s="1" t="s">
        <v>886</v>
      </c>
      <c r="P473" s="1">
        <v>1.32</v>
      </c>
      <c r="Q473" s="1">
        <v>1.1</v>
      </c>
      <c r="R473" s="1">
        <v>0.63</v>
      </c>
      <c r="S473" s="1">
        <v>0.63</v>
      </c>
      <c r="T473" s="1">
        <v>0.66</v>
      </c>
      <c r="U473" s="1">
        <v>0.15</v>
      </c>
      <c r="V473" s="1">
        <v>0</v>
      </c>
      <c r="W473" s="1">
        <v>1.04</v>
      </c>
      <c r="X473" s="1">
        <v>-4.36</v>
      </c>
      <c r="Y473" s="1" t="s">
        <v>1281</v>
      </c>
      <c r="Z473" s="1" t="s">
        <v>1534</v>
      </c>
    </row>
    <row r="474" spans="1:38">
      <c r="A474" s="1" t="s">
        <v>498</v>
      </c>
      <c r="B474" s="1" t="s">
        <v>636</v>
      </c>
      <c r="C474" s="1" t="s">
        <v>645</v>
      </c>
      <c r="D474" s="1" t="s">
        <v>654</v>
      </c>
      <c r="E474" s="1" t="s">
        <v>798</v>
      </c>
      <c r="F474" s="1" t="s">
        <v>847</v>
      </c>
      <c r="G474" s="1" t="s">
        <v>854</v>
      </c>
      <c r="H474" s="1">
        <f>HYPERLINK("https://tidesandcurrents.noaa.gov/stationhome.html?id=8726384", "8726384")</f>
        <v>0</v>
      </c>
      <c r="I474" s="1">
        <v>-82.5625</v>
      </c>
      <c r="J474" s="1">
        <v>27.63833</v>
      </c>
      <c r="K474" s="1" t="s">
        <v>860</v>
      </c>
      <c r="L474" s="1" t="s">
        <v>866</v>
      </c>
      <c r="M474" s="1" t="s">
        <v>874</v>
      </c>
      <c r="N474" s="2">
        <f>HYPERLINK("https://tidesandcurrents.noaa.gov/datums.html?datum=MLLW&amp;units=0&amp;epoch=0&amp;id=8726384", "Datum Info")</f>
        <v>0</v>
      </c>
      <c r="O474" s="1" t="s">
        <v>886</v>
      </c>
      <c r="P474" s="1">
        <v>2.17</v>
      </c>
      <c r="Q474" s="1">
        <v>1.91</v>
      </c>
      <c r="R474" s="1">
        <v>1.14</v>
      </c>
      <c r="S474" s="1">
        <v>1.16</v>
      </c>
      <c r="T474" s="1">
        <v>1.09</v>
      </c>
      <c r="U474" s="1">
        <v>0.36</v>
      </c>
      <c r="V474" s="1">
        <v>0</v>
      </c>
      <c r="W474" s="1">
        <v>1.59</v>
      </c>
      <c r="X474" s="1">
        <v>-0.21</v>
      </c>
      <c r="Y474" s="1" t="s">
        <v>1146</v>
      </c>
      <c r="Z474" s="1" t="s">
        <v>1535</v>
      </c>
    </row>
    <row r="475" spans="1:38">
      <c r="A475" s="1" t="s">
        <v>499</v>
      </c>
      <c r="B475" s="1" t="s">
        <v>636</v>
      </c>
      <c r="C475" s="1" t="s">
        <v>645</v>
      </c>
      <c r="D475" s="1" t="s">
        <v>654</v>
      </c>
      <c r="E475" s="1" t="s">
        <v>799</v>
      </c>
      <c r="F475" s="1" t="s">
        <v>847</v>
      </c>
      <c r="G475" s="1" t="s">
        <v>854</v>
      </c>
      <c r="H475" s="1">
        <f>HYPERLINK("https://tidesandcurrents.noaa.gov/stationhome.html?id=8726520", "8726520")</f>
        <v>0</v>
      </c>
      <c r="I475" s="1">
        <v>-82.62690000000001</v>
      </c>
      <c r="J475" s="1">
        <v>27.76061</v>
      </c>
      <c r="K475" s="1" t="s">
        <v>860</v>
      </c>
      <c r="L475" s="1" t="s">
        <v>866</v>
      </c>
      <c r="M475" s="1" t="s">
        <v>874</v>
      </c>
      <c r="N475" s="2">
        <f>HYPERLINK("https://tidesandcurrents.noaa.gov/datums.html?datum=MLLW&amp;units=0&amp;epoch=0&amp;id=8726520", "Datum Info")</f>
        <v>0</v>
      </c>
      <c r="O475" s="1" t="s">
        <v>886</v>
      </c>
      <c r="P475" s="1">
        <v>2.26</v>
      </c>
      <c r="Q475" s="1">
        <v>1.98</v>
      </c>
      <c r="R475" s="1">
        <v>1.18</v>
      </c>
      <c r="S475" s="1">
        <v>1.2</v>
      </c>
      <c r="T475" s="1">
        <v>1.13</v>
      </c>
      <c r="U475" s="1">
        <v>0.39</v>
      </c>
      <c r="V475" s="1">
        <v>0</v>
      </c>
      <c r="W475" s="1">
        <v>1.48</v>
      </c>
      <c r="X475" s="1">
        <v>-3.37</v>
      </c>
      <c r="Y475" s="1" t="s">
        <v>1282</v>
      </c>
      <c r="Z475" s="1" t="s">
        <v>1536</v>
      </c>
    </row>
    <row r="476" spans="1:38">
      <c r="A476" s="1" t="s">
        <v>500</v>
      </c>
      <c r="B476" s="1" t="s">
        <v>636</v>
      </c>
      <c r="D476" s="1" t="s">
        <v>654</v>
      </c>
      <c r="H476" s="1">
        <f>HYPERLINK("https://tidesandcurrents.noaa.gov/stationhome.html?id=8726607", "8726607")</f>
        <v>0</v>
      </c>
      <c r="I476" s="1">
        <v>-82.5528</v>
      </c>
      <c r="J476" s="1">
        <v>27.85778</v>
      </c>
      <c r="K476" s="1" t="s">
        <v>860</v>
      </c>
      <c r="L476" s="1" t="s">
        <v>866</v>
      </c>
      <c r="M476" s="1" t="s">
        <v>874</v>
      </c>
      <c r="N476" s="2">
        <f>HYPERLINK("https://tidesandcurrents.noaa.gov/datums.html?datum=MLLW&amp;units=0&amp;epoch=0&amp;id=8726607", "Datum Info")</f>
        <v>0</v>
      </c>
      <c r="O476" s="1" t="s">
        <v>886</v>
      </c>
      <c r="P476" s="1">
        <v>2.48</v>
      </c>
      <c r="Q476" s="1">
        <v>2.16</v>
      </c>
      <c r="R476" s="1">
        <v>1.3</v>
      </c>
      <c r="S476" s="1">
        <v>1.3</v>
      </c>
      <c r="T476" s="1">
        <v>1.24</v>
      </c>
      <c r="U476" s="1">
        <v>0.44</v>
      </c>
      <c r="V476" s="1">
        <v>0</v>
      </c>
      <c r="W476" s="1">
        <v>1.69</v>
      </c>
      <c r="X476" s="1">
        <v>-28.27</v>
      </c>
      <c r="Y476" s="1" t="s">
        <v>1283</v>
      </c>
      <c r="Z476" s="1" t="s">
        <v>992</v>
      </c>
    </row>
    <row r="477" spans="1:38">
      <c r="A477" s="1" t="s">
        <v>501</v>
      </c>
      <c r="B477" s="1" t="s">
        <v>636</v>
      </c>
      <c r="D477" s="1" t="s">
        <v>654</v>
      </c>
      <c r="H477" s="1">
        <f>HYPERLINK("https://tidesandcurrents.noaa.gov/stationhome.html?id=8726667", "8726667")</f>
        <v>0</v>
      </c>
      <c r="I477" s="1">
        <v>-82.425</v>
      </c>
      <c r="J477" s="1">
        <v>27.91333</v>
      </c>
      <c r="K477" s="1" t="s">
        <v>860</v>
      </c>
      <c r="L477" s="1" t="s">
        <v>866</v>
      </c>
      <c r="M477" s="1" t="s">
        <v>874</v>
      </c>
      <c r="N477" s="2">
        <f>HYPERLINK("https://tidesandcurrents.noaa.gov/datums.html?datum=MLLW&amp;units=0&amp;epoch=0&amp;id=8726667", "Datum Info")</f>
        <v>0</v>
      </c>
      <c r="O477" s="1" t="s">
        <v>886</v>
      </c>
      <c r="P477" s="1">
        <v>2.68</v>
      </c>
      <c r="Q477" s="1">
        <v>2.35</v>
      </c>
      <c r="R477" s="1">
        <v>1.43</v>
      </c>
      <c r="S477" s="1">
        <v>1.46</v>
      </c>
      <c r="T477" s="1">
        <v>1.34</v>
      </c>
      <c r="U477" s="1">
        <v>0.5</v>
      </c>
      <c r="V477" s="1">
        <v>0</v>
      </c>
      <c r="W477" s="1">
        <v>1.69</v>
      </c>
      <c r="X477" s="1">
        <v>-0.27</v>
      </c>
      <c r="Y477" s="1" t="s">
        <v>1284</v>
      </c>
      <c r="Z477" s="1" t="s">
        <v>1537</v>
      </c>
    </row>
    <row r="478" spans="1:38">
      <c r="A478" s="1" t="s">
        <v>502</v>
      </c>
      <c r="B478" s="1" t="s">
        <v>636</v>
      </c>
      <c r="D478" s="1" t="s">
        <v>654</v>
      </c>
      <c r="H478" s="1">
        <f>HYPERLINK("https://tidesandcurrents.noaa.gov/stationhome.html?id=8726724", "8726724")</f>
        <v>0</v>
      </c>
      <c r="I478" s="1">
        <v>-82.8317</v>
      </c>
      <c r="J478" s="1">
        <v>27.97831</v>
      </c>
      <c r="K478" s="1" t="s">
        <v>860</v>
      </c>
      <c r="L478" s="1" t="s">
        <v>866</v>
      </c>
      <c r="M478" s="1" t="s">
        <v>874</v>
      </c>
      <c r="N478" s="2">
        <f>HYPERLINK("https://tidesandcurrents.noaa.gov/datums.html?datum=MLLW&amp;units=0&amp;epoch=0&amp;id=8726724", "Datum Info")</f>
        <v>0</v>
      </c>
      <c r="O478" s="1" t="s">
        <v>886</v>
      </c>
      <c r="P478" s="1">
        <v>2.74</v>
      </c>
      <c r="Q478" s="1">
        <v>2.4</v>
      </c>
      <c r="R478" s="1">
        <v>1.46</v>
      </c>
      <c r="S478" s="1">
        <v>1.47</v>
      </c>
      <c r="T478" s="1">
        <v>1.37</v>
      </c>
      <c r="U478" s="1">
        <v>0.51</v>
      </c>
      <c r="V478" s="1">
        <v>0</v>
      </c>
      <c r="W478" s="1">
        <v>1.79</v>
      </c>
      <c r="X478" s="1">
        <v>-1.73</v>
      </c>
      <c r="Y478" s="1" t="s">
        <v>1285</v>
      </c>
      <c r="Z478" s="1" t="s">
        <v>1538</v>
      </c>
    </row>
    <row r="479" spans="1:38">
      <c r="A479" s="1" t="s">
        <v>503</v>
      </c>
      <c r="B479" s="1" t="s">
        <v>636</v>
      </c>
      <c r="D479" s="1" t="s">
        <v>654</v>
      </c>
      <c r="H479" s="1">
        <f>HYPERLINK("https://tidesandcurrents.noaa.gov/stationhome.html?id=8727520", "8727520")</f>
        <v>0</v>
      </c>
      <c r="I479" s="1">
        <v>-83.0317</v>
      </c>
      <c r="J479" s="1">
        <v>29.135</v>
      </c>
      <c r="K479" s="1" t="s">
        <v>860</v>
      </c>
      <c r="L479" s="1" t="s">
        <v>866</v>
      </c>
      <c r="M479" s="1" t="s">
        <v>874</v>
      </c>
      <c r="N479" s="2">
        <f>HYPERLINK("https://tidesandcurrents.noaa.gov/datums.html?datum=MLLW&amp;units=0&amp;epoch=0&amp;id=8727520", "Datum Info")</f>
        <v>0</v>
      </c>
      <c r="O479" s="1" t="s">
        <v>886</v>
      </c>
      <c r="P479" s="1">
        <v>3.8</v>
      </c>
      <c r="Q479" s="1">
        <v>3.47</v>
      </c>
      <c r="R479" s="1">
        <v>2.05</v>
      </c>
      <c r="S479" s="1">
        <v>2.04</v>
      </c>
      <c r="T479" s="1">
        <v>1.9</v>
      </c>
      <c r="U479" s="1">
        <v>0.64</v>
      </c>
      <c r="V479" s="1">
        <v>0</v>
      </c>
      <c r="W479" s="1">
        <v>2.26</v>
      </c>
      <c r="X479" s="1">
        <v>-1.8</v>
      </c>
      <c r="Y479" s="1" t="s">
        <v>1286</v>
      </c>
      <c r="Z479" s="1" t="s">
        <v>1539</v>
      </c>
    </row>
    <row r="480" spans="1:38">
      <c r="A480" s="1" t="s">
        <v>504</v>
      </c>
      <c r="B480" s="1" t="s">
        <v>636</v>
      </c>
      <c r="D480" s="1" t="s">
        <v>654</v>
      </c>
      <c r="H480" s="1" t="s">
        <v>859</v>
      </c>
      <c r="I480" s="1">
        <v>-82.42140000000001</v>
      </c>
      <c r="J480" s="1">
        <v>27.9231</v>
      </c>
      <c r="K480" s="1" t="s">
        <v>860</v>
      </c>
      <c r="L480" s="1" t="s">
        <v>859</v>
      </c>
      <c r="M480" s="1" t="s">
        <v>874</v>
      </c>
    </row>
    <row r="481" spans="1:38">
      <c r="A481" s="1" t="s">
        <v>505</v>
      </c>
      <c r="B481" s="1" t="s">
        <v>636</v>
      </c>
      <c r="C481" s="1" t="s">
        <v>645</v>
      </c>
      <c r="D481" s="1" t="s">
        <v>654</v>
      </c>
      <c r="E481" s="1" t="s">
        <v>800</v>
      </c>
      <c r="F481" s="1" t="s">
        <v>847</v>
      </c>
      <c r="G481" s="1" t="s">
        <v>854</v>
      </c>
      <c r="H481" s="1" t="s">
        <v>859</v>
      </c>
      <c r="I481" s="1">
        <v>-82.45889</v>
      </c>
      <c r="J481" s="1">
        <v>27.991667</v>
      </c>
      <c r="K481" s="1" t="s">
        <v>861</v>
      </c>
      <c r="L481" s="1" t="s">
        <v>859</v>
      </c>
      <c r="M481" s="1" t="s">
        <v>874</v>
      </c>
      <c r="AH481" s="1">
        <v>0</v>
      </c>
      <c r="AI481" s="1">
        <v>0</v>
      </c>
      <c r="AJ481" s="1">
        <v>0</v>
      </c>
      <c r="AK481" s="1">
        <v>0</v>
      </c>
      <c r="AL481" s="1" t="s">
        <v>1744</v>
      </c>
    </row>
    <row r="482" spans="1:38">
      <c r="A482" s="1" t="s">
        <v>506</v>
      </c>
      <c r="B482" s="1" t="s">
        <v>636</v>
      </c>
      <c r="C482" s="1" t="s">
        <v>645</v>
      </c>
      <c r="D482" s="1" t="s">
        <v>654</v>
      </c>
      <c r="E482" s="1" t="s">
        <v>801</v>
      </c>
      <c r="F482" s="1" t="s">
        <v>847</v>
      </c>
      <c r="G482" s="1" t="s">
        <v>854</v>
      </c>
      <c r="H482" s="1">
        <f>HYPERLINK("https://waterdata.usgs.gov/nwis/nwismap/?site_no=02299230&amp;agency_cd=USGS", "US02299230")</f>
        <v>0</v>
      </c>
      <c r="I482" s="1">
        <v>-82.29306217</v>
      </c>
      <c r="J482" s="1">
        <v>27.04519129</v>
      </c>
      <c r="K482" s="1" t="s">
        <v>861</v>
      </c>
      <c r="L482" s="1" t="s">
        <v>867</v>
      </c>
      <c r="M482" s="1" t="s">
        <v>874</v>
      </c>
      <c r="N482" s="2">
        <f>HYPERLINK("https://waterservices.usgs.gov/nwis/site/?site=02299230&amp;format=rdb", "Datum Info")</f>
        <v>0</v>
      </c>
      <c r="O482" s="1" t="s">
        <v>887</v>
      </c>
      <c r="W482" s="1" t="s">
        <v>1047</v>
      </c>
      <c r="AA482" s="1" t="s">
        <v>887</v>
      </c>
      <c r="AC482" s="1" t="s">
        <v>1678</v>
      </c>
      <c r="AF482" s="1" t="s">
        <v>1429</v>
      </c>
      <c r="AH482" s="1">
        <v>0</v>
      </c>
      <c r="AI482" s="1">
        <v>0</v>
      </c>
      <c r="AJ482" s="1">
        <v>0</v>
      </c>
      <c r="AK482" s="1">
        <v>0</v>
      </c>
      <c r="AL482" s="1" t="s">
        <v>1744</v>
      </c>
    </row>
    <row r="483" spans="1:38">
      <c r="A483" s="1" t="s">
        <v>507</v>
      </c>
      <c r="B483" s="1" t="s">
        <v>636</v>
      </c>
      <c r="C483" s="1" t="s">
        <v>645</v>
      </c>
      <c r="D483" s="1" t="s">
        <v>654</v>
      </c>
      <c r="E483" s="1" t="s">
        <v>801</v>
      </c>
      <c r="F483" s="1" t="s">
        <v>847</v>
      </c>
      <c r="G483" s="1" t="s">
        <v>854</v>
      </c>
      <c r="H483" s="1">
        <f>HYPERLINK("https://waterdata.usgs.gov/nwis/nwismap/?site_no=02299727&amp;agency_cd=USGS", "US02299727")</f>
        <v>0</v>
      </c>
      <c r="I483" s="1">
        <v>-82.43009243</v>
      </c>
      <c r="J483" s="1">
        <v>27.14393748</v>
      </c>
      <c r="K483" s="1" t="s">
        <v>861</v>
      </c>
      <c r="L483" s="1" t="s">
        <v>867</v>
      </c>
      <c r="M483" s="1" t="s">
        <v>874</v>
      </c>
      <c r="N483" s="2">
        <f>HYPERLINK("https://waterservices.usgs.gov/nwis/site/?site=02299727&amp;format=rdb", "Datum Info")</f>
        <v>0</v>
      </c>
      <c r="O483" s="1" t="s">
        <v>889</v>
      </c>
      <c r="Y483" s="1" t="s">
        <v>956</v>
      </c>
      <c r="AF483" s="1" t="s">
        <v>1736</v>
      </c>
      <c r="AH483" s="1">
        <v>0</v>
      </c>
      <c r="AI483" s="1">
        <v>0</v>
      </c>
      <c r="AJ483" s="1">
        <v>0</v>
      </c>
      <c r="AK483" s="1">
        <v>0</v>
      </c>
      <c r="AL483" s="1" t="s">
        <v>1744</v>
      </c>
    </row>
    <row r="484" spans="1:38">
      <c r="A484" s="1" t="s">
        <v>508</v>
      </c>
      <c r="B484" s="1" t="s">
        <v>636</v>
      </c>
      <c r="D484" s="1" t="s">
        <v>654</v>
      </c>
      <c r="E484" s="1" t="s">
        <v>801</v>
      </c>
      <c r="F484" s="1" t="s">
        <v>847</v>
      </c>
      <c r="G484" s="1" t="s">
        <v>854</v>
      </c>
      <c r="H484" s="1">
        <f>HYPERLINK("https://waterdata.usgs.gov/nwis/nwismap/?site_no=02299735&amp;agency_cd=USGS", "US02299735")</f>
        <v>0</v>
      </c>
      <c r="I484" s="1">
        <v>-82.46555222000001</v>
      </c>
      <c r="J484" s="1">
        <v>27.11221723</v>
      </c>
      <c r="K484" s="1" t="s">
        <v>861</v>
      </c>
      <c r="L484" s="1" t="s">
        <v>867</v>
      </c>
      <c r="M484" s="1" t="s">
        <v>874</v>
      </c>
      <c r="N484" s="2">
        <f>HYPERLINK("https://waterservices.usgs.gov/nwis/site/?site=02299735&amp;format=rdb", "Datum Info")</f>
        <v>0</v>
      </c>
      <c r="O484" s="1" t="s">
        <v>887</v>
      </c>
      <c r="W484" s="1" t="s">
        <v>956</v>
      </c>
      <c r="AC484" s="1" t="s">
        <v>1427</v>
      </c>
      <c r="AF484" s="1" t="s">
        <v>1737</v>
      </c>
      <c r="AH484" s="1">
        <v>0</v>
      </c>
      <c r="AI484" s="1">
        <v>0</v>
      </c>
      <c r="AJ484" s="1">
        <v>0</v>
      </c>
      <c r="AK484" s="1">
        <v>0</v>
      </c>
      <c r="AL484" s="1" t="s">
        <v>1744</v>
      </c>
    </row>
    <row r="485" spans="1:38">
      <c r="A485" s="1" t="s">
        <v>509</v>
      </c>
      <c r="B485" s="1" t="s">
        <v>636</v>
      </c>
      <c r="C485" s="1" t="s">
        <v>645</v>
      </c>
      <c r="D485" s="1" t="s">
        <v>654</v>
      </c>
      <c r="E485" s="1" t="s">
        <v>800</v>
      </c>
      <c r="F485" s="1" t="s">
        <v>847</v>
      </c>
      <c r="G485" s="1" t="s">
        <v>854</v>
      </c>
      <c r="H485" s="1">
        <f>HYPERLINK("https://waterdata.usgs.gov/nwis/nwismap/?site_no=02301721&amp;agency_cd=USGS", "US02301721")</f>
        <v>0</v>
      </c>
      <c r="I485" s="1">
        <v>-82.38425642</v>
      </c>
      <c r="J485" s="1">
        <v>27.85974224</v>
      </c>
      <c r="K485" s="1" t="s">
        <v>861</v>
      </c>
      <c r="L485" s="1" t="s">
        <v>867</v>
      </c>
      <c r="M485" s="1" t="s">
        <v>874</v>
      </c>
      <c r="N485" s="2">
        <f>HYPERLINK("https://waterservices.usgs.gov/nwis/site/?site=02301721&amp;format=rdb", "Datum Info")</f>
        <v>0</v>
      </c>
      <c r="O485" s="1" t="s">
        <v>887</v>
      </c>
      <c r="W485" s="1" t="s">
        <v>1048</v>
      </c>
      <c r="AC485" s="1" t="s">
        <v>1679</v>
      </c>
      <c r="AF485" s="1" t="s">
        <v>1738</v>
      </c>
      <c r="AH485" s="1">
        <v>0</v>
      </c>
      <c r="AI485" s="1">
        <v>0</v>
      </c>
      <c r="AJ485" s="1">
        <v>0</v>
      </c>
      <c r="AK485" s="1">
        <v>0</v>
      </c>
      <c r="AL485" s="1" t="s">
        <v>1744</v>
      </c>
    </row>
    <row r="486" spans="1:38">
      <c r="A486" s="1" t="s">
        <v>510</v>
      </c>
      <c r="B486" s="1" t="s">
        <v>636</v>
      </c>
      <c r="C486" s="1" t="s">
        <v>645</v>
      </c>
      <c r="D486" s="1" t="s">
        <v>654</v>
      </c>
      <c r="E486" s="1" t="s">
        <v>802</v>
      </c>
      <c r="F486" s="1" t="s">
        <v>847</v>
      </c>
      <c r="G486" s="1" t="s">
        <v>854</v>
      </c>
      <c r="H486" s="1">
        <f>HYPERLINK("https://waterdata.usgs.gov/nwis/nwismap/?site_no=02310308&amp;agency_cd=USGS", "US02310308")</f>
        <v>0</v>
      </c>
      <c r="I486" s="1">
        <v>-82.72259711</v>
      </c>
      <c r="J486" s="1">
        <v>28.25028246</v>
      </c>
      <c r="K486" s="1" t="s">
        <v>861</v>
      </c>
      <c r="L486" s="1" t="s">
        <v>867</v>
      </c>
      <c r="M486" s="1" t="s">
        <v>874</v>
      </c>
      <c r="N486" s="2">
        <f>HYPERLINK("https://waterservices.usgs.gov/nwis/site/?site=02310308&amp;format=rdb", "Datum Info")</f>
        <v>0</v>
      </c>
      <c r="O486" s="1" t="s">
        <v>887</v>
      </c>
      <c r="W486" s="1" t="s">
        <v>956</v>
      </c>
      <c r="AF486" s="1" t="s">
        <v>1739</v>
      </c>
      <c r="AH486" s="1">
        <v>2</v>
      </c>
      <c r="AI486" s="1">
        <v>3</v>
      </c>
      <c r="AJ486" s="1">
        <v>4</v>
      </c>
      <c r="AK486" s="1">
        <v>6</v>
      </c>
      <c r="AL486" s="1" t="s">
        <v>1744</v>
      </c>
    </row>
    <row r="487" spans="1:38">
      <c r="A487" s="1" t="s">
        <v>511</v>
      </c>
      <c r="B487" s="1" t="s">
        <v>636</v>
      </c>
      <c r="C487" s="1" t="s">
        <v>645</v>
      </c>
      <c r="D487" s="1" t="s">
        <v>654</v>
      </c>
      <c r="E487" s="1" t="s">
        <v>803</v>
      </c>
      <c r="F487" s="1" t="s">
        <v>847</v>
      </c>
      <c r="G487" s="1" t="s">
        <v>854</v>
      </c>
      <c r="H487" s="1">
        <f>HYPERLINK("https://waterdata.usgs.gov/nwis/nwismap/?site_no=02310650&amp;agency_cd=USGS", "US02310650")</f>
        <v>0</v>
      </c>
      <c r="I487" s="1">
        <v>-82.5767656</v>
      </c>
      <c r="J487" s="1">
        <v>28.71526419</v>
      </c>
      <c r="K487" s="1" t="s">
        <v>861</v>
      </c>
      <c r="L487" s="1" t="s">
        <v>867</v>
      </c>
      <c r="M487" s="1" t="s">
        <v>874</v>
      </c>
      <c r="N487" s="2">
        <f>HYPERLINK("https://waterservices.usgs.gov/nwis/site/?site=02310650&amp;format=rdb", "Datum Info")</f>
        <v>0</v>
      </c>
      <c r="O487" s="1" t="s">
        <v>889</v>
      </c>
      <c r="Y487" s="1" t="s">
        <v>955</v>
      </c>
      <c r="AF487" s="1" t="s">
        <v>1716</v>
      </c>
      <c r="AH487" s="1">
        <v>2</v>
      </c>
      <c r="AI487" s="1">
        <v>3</v>
      </c>
      <c r="AJ487" s="1">
        <v>6</v>
      </c>
      <c r="AK487" s="1">
        <v>8</v>
      </c>
      <c r="AL487" s="1" t="s">
        <v>1744</v>
      </c>
    </row>
    <row r="488" spans="1:38">
      <c r="A488" s="1" t="s">
        <v>512</v>
      </c>
      <c r="B488" s="1" t="s">
        <v>636</v>
      </c>
      <c r="C488" s="1" t="s">
        <v>645</v>
      </c>
      <c r="D488" s="1" t="s">
        <v>654</v>
      </c>
      <c r="E488" s="1" t="s">
        <v>803</v>
      </c>
      <c r="F488" s="1" t="s">
        <v>847</v>
      </c>
      <c r="G488" s="1" t="s">
        <v>854</v>
      </c>
      <c r="H488" s="1">
        <f>HYPERLINK("https://waterdata.usgs.gov/nwis/nwismap/?site_no=02310663&amp;agency_cd=USGS", "US02310663")</f>
        <v>0</v>
      </c>
      <c r="I488" s="1">
        <v>-82.60620723</v>
      </c>
      <c r="J488" s="1">
        <v>28.71525869</v>
      </c>
      <c r="K488" s="1" t="s">
        <v>861</v>
      </c>
      <c r="L488" s="1" t="s">
        <v>867</v>
      </c>
      <c r="M488" s="1" t="s">
        <v>874</v>
      </c>
      <c r="N488" s="2">
        <f>HYPERLINK("https://waterservices.usgs.gov/nwis/site/?site=02310663&amp;format=rdb", "Datum Info")</f>
        <v>0</v>
      </c>
      <c r="O488" s="1" t="s">
        <v>887</v>
      </c>
      <c r="W488" s="1" t="s">
        <v>1049</v>
      </c>
      <c r="AC488" s="1" t="s">
        <v>1680</v>
      </c>
      <c r="AF488" s="1" t="s">
        <v>1716</v>
      </c>
      <c r="AH488" s="1">
        <v>2</v>
      </c>
      <c r="AI488" s="1">
        <v>3</v>
      </c>
      <c r="AJ488" s="1">
        <v>6</v>
      </c>
      <c r="AK488" s="1">
        <v>8</v>
      </c>
      <c r="AL488" s="1" t="s">
        <v>1744</v>
      </c>
    </row>
    <row r="489" spans="1:38">
      <c r="A489" s="1" t="s">
        <v>513</v>
      </c>
      <c r="B489" s="1" t="s">
        <v>636</v>
      </c>
      <c r="D489" s="1" t="s">
        <v>654</v>
      </c>
      <c r="H489" s="1">
        <f>HYPERLINK("https://waterdata.usgs.gov/nwis/nwismap/?site_no=02310674&amp;agency_cd=USGS", "US02310674")</f>
        <v>0</v>
      </c>
      <c r="I489" s="1">
        <v>-82.63898562</v>
      </c>
      <c r="J489" s="1">
        <v>28.694704</v>
      </c>
      <c r="K489" s="1" t="s">
        <v>861</v>
      </c>
      <c r="L489" s="1" t="s">
        <v>867</v>
      </c>
      <c r="M489" s="1" t="s">
        <v>874</v>
      </c>
      <c r="N489" s="2">
        <f>HYPERLINK("https://waterservices.usgs.gov/nwis/site/?site=02310674&amp;format=rdb", "Datum Info")</f>
        <v>0</v>
      </c>
      <c r="O489" s="1" t="s">
        <v>887</v>
      </c>
      <c r="W489" s="1" t="s">
        <v>956</v>
      </c>
      <c r="AF489" s="1" t="s">
        <v>1720</v>
      </c>
      <c r="AH489" s="1">
        <v>0</v>
      </c>
      <c r="AI489" s="1">
        <v>0</v>
      </c>
      <c r="AJ489" s="1">
        <v>0</v>
      </c>
      <c r="AK489" s="1">
        <v>0</v>
      </c>
      <c r="AL489" s="1" t="s">
        <v>1744</v>
      </c>
    </row>
    <row r="490" spans="1:38">
      <c r="A490" s="1" t="s">
        <v>514</v>
      </c>
      <c r="B490" s="1" t="s">
        <v>636</v>
      </c>
      <c r="D490" s="1" t="s">
        <v>654</v>
      </c>
      <c r="H490" s="1">
        <f>HYPERLINK("https://waterdata.usgs.gov/nwis/nwismap/?site_no=02310674&amp;agency_cd=USGS", "US02310674")</f>
        <v>0</v>
      </c>
      <c r="I490" s="1">
        <v>-82.63898562</v>
      </c>
      <c r="J490" s="1">
        <v>28.694704</v>
      </c>
      <c r="K490" s="1" t="s">
        <v>861</v>
      </c>
      <c r="L490" s="1" t="s">
        <v>867</v>
      </c>
      <c r="M490" s="1" t="s">
        <v>874</v>
      </c>
      <c r="N490" s="2">
        <f>HYPERLINK("https://waterservices.usgs.gov/nwis/site/?site=02310674&amp;format=rdb", "Datum Info")</f>
        <v>0</v>
      </c>
      <c r="O490" s="1" t="s">
        <v>887</v>
      </c>
      <c r="W490" s="1" t="s">
        <v>956</v>
      </c>
      <c r="AF490" s="1" t="s">
        <v>1740</v>
      </c>
      <c r="AH490" s="1">
        <v>0</v>
      </c>
      <c r="AI490" s="1">
        <v>0</v>
      </c>
      <c r="AJ490" s="1">
        <v>0</v>
      </c>
      <c r="AK490" s="1">
        <v>0</v>
      </c>
      <c r="AL490" s="1" t="s">
        <v>1744</v>
      </c>
    </row>
    <row r="491" spans="1:38">
      <c r="A491" s="1" t="s">
        <v>515</v>
      </c>
      <c r="B491" s="1" t="s">
        <v>636</v>
      </c>
      <c r="C491" s="1" t="s">
        <v>645</v>
      </c>
      <c r="D491" s="1" t="s">
        <v>654</v>
      </c>
      <c r="E491" s="1" t="s">
        <v>803</v>
      </c>
      <c r="F491" s="1" t="s">
        <v>847</v>
      </c>
      <c r="G491" s="1" t="s">
        <v>854</v>
      </c>
      <c r="H491" s="1">
        <f>HYPERLINK("https://waterdata.usgs.gov/nwis/nwismap/?site_no=02310740&amp;agency_cd=USGS", "US02310740")</f>
        <v>0</v>
      </c>
      <c r="I491" s="1">
        <v>-82.59565313</v>
      </c>
      <c r="J491" s="1">
        <v>28.89052961</v>
      </c>
      <c r="K491" s="1" t="s">
        <v>861</v>
      </c>
      <c r="L491" s="1" t="s">
        <v>867</v>
      </c>
      <c r="M491" s="1" t="s">
        <v>874</v>
      </c>
      <c r="N491" s="2">
        <f>HYPERLINK("https://waterservices.usgs.gov/nwis/site/?site=02310740&amp;format=rdb", "Datum Info")</f>
        <v>0</v>
      </c>
      <c r="O491" s="1" t="s">
        <v>887</v>
      </c>
      <c r="W491" s="1" t="s">
        <v>955</v>
      </c>
      <c r="AF491" s="1" t="s">
        <v>1630</v>
      </c>
      <c r="AH491" s="1">
        <v>2</v>
      </c>
      <c r="AI491" s="1">
        <v>3</v>
      </c>
      <c r="AJ491" s="1">
        <v>4</v>
      </c>
      <c r="AK491" s="1">
        <v>5</v>
      </c>
      <c r="AL491" s="1" t="s">
        <v>1744</v>
      </c>
    </row>
    <row r="492" spans="1:38">
      <c r="A492" s="1" t="s">
        <v>516</v>
      </c>
      <c r="B492" s="1" t="s">
        <v>636</v>
      </c>
      <c r="C492" s="1" t="s">
        <v>645</v>
      </c>
      <c r="D492" s="1" t="s">
        <v>654</v>
      </c>
      <c r="E492" s="1" t="s">
        <v>803</v>
      </c>
      <c r="F492" s="1" t="s">
        <v>847</v>
      </c>
      <c r="G492" s="1" t="s">
        <v>854</v>
      </c>
      <c r="H492" s="1">
        <f>HYPERLINK("https://waterdata.usgs.gov/nwis/nwismap/?site_no=02310742&amp;agency_cd=USGS", "US02310742")</f>
        <v>0</v>
      </c>
      <c r="I492" s="1">
        <v>-82.60555212</v>
      </c>
      <c r="J492" s="1">
        <v>28.89335571</v>
      </c>
      <c r="K492" s="1" t="s">
        <v>861</v>
      </c>
      <c r="L492" s="1" t="s">
        <v>867</v>
      </c>
      <c r="M492" s="1" t="s">
        <v>874</v>
      </c>
      <c r="N492" s="2">
        <f>HYPERLINK("https://waterservices.usgs.gov/nwis/site/?site=02310742&amp;format=rdb", "Datum Info")</f>
        <v>0</v>
      </c>
      <c r="O492" s="1" t="s">
        <v>887</v>
      </c>
      <c r="W492" s="1" t="s">
        <v>956</v>
      </c>
      <c r="AF492" s="1" t="s">
        <v>1741</v>
      </c>
      <c r="AH492" s="1">
        <v>2</v>
      </c>
      <c r="AI492" s="1">
        <v>3</v>
      </c>
      <c r="AJ492" s="1">
        <v>4</v>
      </c>
      <c r="AK492" s="1">
        <v>5</v>
      </c>
      <c r="AL492" s="1" t="s">
        <v>1744</v>
      </c>
    </row>
    <row r="493" spans="1:38">
      <c r="A493" s="1" t="s">
        <v>517</v>
      </c>
      <c r="B493" s="1" t="s">
        <v>636</v>
      </c>
      <c r="D493" s="1" t="s">
        <v>654</v>
      </c>
      <c r="E493" s="1" t="s">
        <v>803</v>
      </c>
      <c r="F493" s="1" t="s">
        <v>847</v>
      </c>
      <c r="G493" s="1" t="s">
        <v>854</v>
      </c>
      <c r="H493" s="1">
        <f>HYPERLINK("https://waterdata.usgs.gov/nwis/nwismap/?site_no=02310747&amp;agency_cd=USGS", "US02310747")</f>
        <v>0</v>
      </c>
      <c r="I493" s="1">
        <v>-82.64580211000001</v>
      </c>
      <c r="J493" s="1">
        <v>28.90155016</v>
      </c>
      <c r="K493" s="1" t="s">
        <v>861</v>
      </c>
      <c r="L493" s="1" t="s">
        <v>867</v>
      </c>
      <c r="M493" s="1" t="s">
        <v>874</v>
      </c>
      <c r="N493" s="2">
        <f>HYPERLINK("https://waterservices.usgs.gov/nwis/site/?site=02310747&amp;format=rdb", "Datum Info")</f>
        <v>0</v>
      </c>
      <c r="O493" s="1" t="s">
        <v>887</v>
      </c>
      <c r="W493" s="1" t="s">
        <v>1050</v>
      </c>
    </row>
    <row r="494" spans="1:38">
      <c r="A494" s="1" t="s">
        <v>518</v>
      </c>
      <c r="B494" s="1" t="s">
        <v>636</v>
      </c>
      <c r="D494" s="1" t="s">
        <v>654</v>
      </c>
      <c r="E494" s="1" t="s">
        <v>803</v>
      </c>
      <c r="F494" s="1" t="s">
        <v>847</v>
      </c>
      <c r="G494" s="1" t="s">
        <v>854</v>
      </c>
      <c r="H494" s="1">
        <f>HYPERLINK("https://waterdata.usgs.gov/nwis/nwismap/?site_no=02310752&amp;agency_cd=USGS", "US02310752")</f>
        <v>0</v>
      </c>
      <c r="I494" s="1">
        <v>-82.64580211000001</v>
      </c>
      <c r="J494" s="1">
        <v>28.90155016</v>
      </c>
      <c r="K494" s="1" t="s">
        <v>861</v>
      </c>
      <c r="L494" s="1" t="s">
        <v>867</v>
      </c>
      <c r="M494" s="1" t="s">
        <v>874</v>
      </c>
      <c r="N494" s="2">
        <f>HYPERLINK("https://waterservices.usgs.gov/nwis/site/?site=02310752&amp;format=rdb", "Datum Info")</f>
        <v>0</v>
      </c>
      <c r="O494" s="1" t="s">
        <v>887</v>
      </c>
      <c r="W494" s="1" t="s">
        <v>956</v>
      </c>
      <c r="AF494" s="1" t="s">
        <v>1616</v>
      </c>
      <c r="AH494" s="1">
        <v>2</v>
      </c>
      <c r="AI494" s="1">
        <v>3</v>
      </c>
      <c r="AJ494" s="1">
        <v>4</v>
      </c>
      <c r="AK494" s="1">
        <v>5</v>
      </c>
      <c r="AL494" s="1" t="s">
        <v>1744</v>
      </c>
    </row>
    <row r="495" spans="1:38">
      <c r="A495" s="1" t="s">
        <v>519</v>
      </c>
      <c r="B495" s="1" t="s">
        <v>636</v>
      </c>
      <c r="C495" s="1" t="s">
        <v>645</v>
      </c>
      <c r="D495" s="1" t="s">
        <v>654</v>
      </c>
      <c r="E495" s="1" t="s">
        <v>804</v>
      </c>
      <c r="F495" s="1" t="s">
        <v>847</v>
      </c>
      <c r="G495" s="1" t="s">
        <v>854</v>
      </c>
      <c r="H495" s="1">
        <f>HYPERLINK("https://waterdata.usgs.gov/nwis/nwismap/?site_no=02313272&amp;agency_cd=USGS", "US02313272")</f>
        <v>0</v>
      </c>
      <c r="I495" s="1">
        <v>-82.76578407</v>
      </c>
      <c r="J495" s="1">
        <v>29.00110393</v>
      </c>
      <c r="K495" s="1" t="s">
        <v>861</v>
      </c>
      <c r="L495" s="1" t="s">
        <v>867</v>
      </c>
      <c r="M495" s="1" t="s">
        <v>874</v>
      </c>
      <c r="N495" s="2">
        <f>HYPERLINK("https://waterservices.usgs.gov/nwis/site/?site=02313272&amp;format=rdb", "Datum Info")</f>
        <v>0</v>
      </c>
      <c r="O495" s="1" t="s">
        <v>887</v>
      </c>
      <c r="W495" s="1" t="s">
        <v>1051</v>
      </c>
      <c r="AC495" s="1" t="s">
        <v>1427</v>
      </c>
      <c r="AF495" s="1" t="s">
        <v>1427</v>
      </c>
      <c r="AH495" s="1">
        <v>1.5</v>
      </c>
      <c r="AI495" s="1">
        <v>2.5</v>
      </c>
      <c r="AJ495" s="1">
        <v>4.1</v>
      </c>
      <c r="AK495" s="1">
        <v>5.1</v>
      </c>
      <c r="AL495" s="1" t="s">
        <v>1744</v>
      </c>
    </row>
    <row r="496" spans="1:38">
      <c r="A496" s="1" t="s">
        <v>520</v>
      </c>
      <c r="B496" s="1" t="s">
        <v>636</v>
      </c>
      <c r="C496" s="1" t="s">
        <v>645</v>
      </c>
      <c r="D496" s="1" t="s">
        <v>654</v>
      </c>
      <c r="E496" s="1" t="s">
        <v>804</v>
      </c>
      <c r="F496" s="1" t="s">
        <v>847</v>
      </c>
      <c r="G496" s="1" t="s">
        <v>854</v>
      </c>
      <c r="H496" s="1">
        <f>HYPERLINK("https://waterdata.usgs.gov/nwis/nwismap/?site_no=02313700&amp;agency_cd=USGS", "US02313700")</f>
        <v>0</v>
      </c>
      <c r="I496" s="1">
        <v>-82.76899747</v>
      </c>
      <c r="J496" s="1">
        <v>29.20412832</v>
      </c>
      <c r="K496" s="1" t="s">
        <v>861</v>
      </c>
      <c r="L496" s="1" t="s">
        <v>867</v>
      </c>
      <c r="M496" s="1" t="s">
        <v>874</v>
      </c>
      <c r="N496" s="2">
        <f>HYPERLINK("https://waterservices.usgs.gov/nwis/site/?site=02313700&amp;format=rdb", "Datum Info")</f>
        <v>0</v>
      </c>
      <c r="AD496" s="1" t="s">
        <v>1694</v>
      </c>
      <c r="AF496" s="1" t="s">
        <v>1742</v>
      </c>
      <c r="AG496" s="1" t="s">
        <v>1694</v>
      </c>
      <c r="AH496" s="1">
        <v>0</v>
      </c>
      <c r="AI496" s="1">
        <v>0</v>
      </c>
      <c r="AJ496" s="1">
        <v>0</v>
      </c>
      <c r="AK496" s="1">
        <v>0</v>
      </c>
      <c r="AL496" s="1" t="s">
        <v>1744</v>
      </c>
    </row>
    <row r="497" spans="1:38">
      <c r="A497" s="1" t="s">
        <v>521</v>
      </c>
      <c r="B497" s="1" t="s">
        <v>636</v>
      </c>
      <c r="D497" s="1" t="s">
        <v>654</v>
      </c>
      <c r="H497" s="1">
        <f>HYPERLINK("https://waterdata.usgs.gov/nwis/nwismap/?site_no=285531082412600&amp;agency_cd=USGS", "US285531082412600")</f>
        <v>0</v>
      </c>
      <c r="I497" s="1">
        <v>-82.69063539</v>
      </c>
      <c r="J497" s="1">
        <v>28.92527238</v>
      </c>
      <c r="K497" s="1" t="s">
        <v>861</v>
      </c>
      <c r="L497" s="1" t="s">
        <v>867</v>
      </c>
      <c r="M497" s="1" t="s">
        <v>874</v>
      </c>
      <c r="N497" s="2">
        <f>HYPERLINK("https://waterservices.usgs.gov/nwis/site/?site=285531082412600&amp;format=rdb", "Datum Info")</f>
        <v>0</v>
      </c>
      <c r="O497" s="1" t="s">
        <v>887</v>
      </c>
      <c r="W497" s="1" t="s">
        <v>956</v>
      </c>
      <c r="AF497" s="1" t="s">
        <v>1743</v>
      </c>
      <c r="AH497" s="1">
        <v>0</v>
      </c>
      <c r="AI497" s="1">
        <v>0</v>
      </c>
      <c r="AJ497" s="1">
        <v>0</v>
      </c>
      <c r="AK497" s="1">
        <v>0</v>
      </c>
      <c r="AL497" s="1" t="s">
        <v>1744</v>
      </c>
    </row>
    <row r="498" spans="1:38">
      <c r="A498" s="1" t="s">
        <v>522</v>
      </c>
      <c r="B498" s="1" t="s">
        <v>637</v>
      </c>
      <c r="C498" s="1" t="s">
        <v>650</v>
      </c>
      <c r="D498" s="1" t="s">
        <v>655</v>
      </c>
      <c r="E498" s="1" t="s">
        <v>805</v>
      </c>
      <c r="F498" s="1" t="s">
        <v>851</v>
      </c>
      <c r="G498" s="1" t="s">
        <v>858</v>
      </c>
      <c r="H498" s="1">
        <f>HYPERLINK("https://tidesandcurrents.noaa.gov/stationhome.html?id=9417426", "9417426")</f>
        <v>0</v>
      </c>
      <c r="I498" s="1">
        <v>-123.805</v>
      </c>
      <c r="J498" s="1">
        <v>39.4258</v>
      </c>
      <c r="K498" s="1" t="s">
        <v>861</v>
      </c>
      <c r="L498" s="1" t="s">
        <v>866</v>
      </c>
      <c r="M498" s="1" t="s">
        <v>877</v>
      </c>
      <c r="N498" s="2">
        <f>HYPERLINK("https://tidesandcurrents.noaa.gov/datums.html?datum=MLLW&amp;units=0&amp;epoch=0&amp;id=9417426", "Datum Info")</f>
        <v>0</v>
      </c>
      <c r="O498" s="1" t="s">
        <v>886</v>
      </c>
      <c r="P498" s="1">
        <v>6.1</v>
      </c>
      <c r="Q498" s="1">
        <v>5.43</v>
      </c>
      <c r="R498" s="1">
        <v>3.32</v>
      </c>
      <c r="S498" s="1">
        <v>3.28</v>
      </c>
      <c r="T498" s="1">
        <v>3.05</v>
      </c>
      <c r="U498" s="1">
        <v>1.21</v>
      </c>
      <c r="V498" s="1">
        <v>0</v>
      </c>
      <c r="X498" s="1">
        <v>0.17</v>
      </c>
    </row>
    <row r="499" spans="1:38">
      <c r="A499" s="1" t="s">
        <v>523</v>
      </c>
      <c r="B499" s="1" t="s">
        <v>637</v>
      </c>
      <c r="D499" s="1" t="s">
        <v>655</v>
      </c>
      <c r="E499" s="1" t="s">
        <v>806</v>
      </c>
      <c r="F499" s="1" t="s">
        <v>851</v>
      </c>
      <c r="G499" s="1" t="s">
        <v>858</v>
      </c>
      <c r="H499" s="1">
        <f>HYPERLINK("https://tidesandcurrents.noaa.gov/stationhome.html?id=9418024", "9418024")</f>
        <v>0</v>
      </c>
      <c r="I499" s="1">
        <v>-124.058</v>
      </c>
      <c r="J499" s="1">
        <v>40.025</v>
      </c>
      <c r="K499" s="1" t="s">
        <v>861</v>
      </c>
      <c r="L499" s="1" t="s">
        <v>866</v>
      </c>
      <c r="M499" s="1" t="s">
        <v>877</v>
      </c>
      <c r="N499" s="2">
        <f>HYPERLINK("https://tidesandcurrents.noaa.gov/datums.html?datum=MLLW&amp;units=0&amp;epoch=0&amp;id=9418024", "Datum Info")</f>
        <v>0</v>
      </c>
      <c r="O499" s="1" t="s">
        <v>886</v>
      </c>
      <c r="P499" s="1">
        <v>6.14</v>
      </c>
      <c r="Q499" s="1">
        <v>5.48</v>
      </c>
      <c r="R499" s="1">
        <v>3.35</v>
      </c>
      <c r="S499" s="1">
        <v>3.3</v>
      </c>
      <c r="T499" s="1">
        <v>3.07</v>
      </c>
      <c r="U499" s="1">
        <v>1.21</v>
      </c>
      <c r="V499" s="1">
        <v>0</v>
      </c>
      <c r="W499" s="1" t="s">
        <v>1052</v>
      </c>
      <c r="X499" s="1">
        <v>-23.12</v>
      </c>
      <c r="Y499" s="1" t="s">
        <v>1287</v>
      </c>
      <c r="Z499" s="1" t="s">
        <v>1540</v>
      </c>
    </row>
    <row r="500" spans="1:38">
      <c r="A500" s="1" t="s">
        <v>524</v>
      </c>
      <c r="B500" s="1" t="s">
        <v>637</v>
      </c>
      <c r="C500" s="1" t="s">
        <v>650</v>
      </c>
      <c r="D500" s="1" t="s">
        <v>655</v>
      </c>
      <c r="E500" s="1" t="s">
        <v>806</v>
      </c>
      <c r="F500" s="1" t="s">
        <v>851</v>
      </c>
      <c r="G500" s="1" t="s">
        <v>858</v>
      </c>
      <c r="H500" s="1">
        <f>HYPERLINK("https://tidesandcurrents.noaa.gov/stationhome.html?id=9418757", "9418757")</f>
        <v>0</v>
      </c>
      <c r="I500" s="1">
        <v>-124.19333</v>
      </c>
      <c r="J500" s="1">
        <v>40.75666</v>
      </c>
      <c r="K500" s="1" t="s">
        <v>860</v>
      </c>
      <c r="L500" s="1" t="s">
        <v>866</v>
      </c>
      <c r="M500" s="1" t="s">
        <v>877</v>
      </c>
      <c r="N500" s="2">
        <f>HYPERLINK("https://tidesandcurrents.noaa.gov/datums.html?datum=MLLW&amp;units=0&amp;epoch=0&amp;id=9418757", "Datum Info")</f>
        <v>0</v>
      </c>
    </row>
    <row r="501" spans="1:38">
      <c r="A501" s="1" t="s">
        <v>525</v>
      </c>
      <c r="B501" s="1" t="s">
        <v>637</v>
      </c>
      <c r="D501" s="1" t="s">
        <v>655</v>
      </c>
      <c r="H501" s="1">
        <f>HYPERLINK("https://tidesandcurrents.noaa.gov/stationhome.html?id=9418767", "9418767")</f>
        <v>0</v>
      </c>
      <c r="I501" s="1">
        <v>-124.217</v>
      </c>
      <c r="J501" s="1">
        <v>40.7663</v>
      </c>
      <c r="K501" s="1" t="s">
        <v>860</v>
      </c>
      <c r="L501" s="1" t="s">
        <v>866</v>
      </c>
      <c r="M501" s="1" t="s">
        <v>877</v>
      </c>
      <c r="N501" s="2">
        <f>HYPERLINK("https://tidesandcurrents.noaa.gov/datums.html?datum=MLLW&amp;units=0&amp;epoch=0&amp;id=9418767", "Datum Info")</f>
        <v>0</v>
      </c>
      <c r="O501" s="1" t="s">
        <v>886</v>
      </c>
      <c r="P501" s="1">
        <v>6.85</v>
      </c>
      <c r="Q501" s="1">
        <v>6.14</v>
      </c>
      <c r="R501" s="1">
        <v>3.7</v>
      </c>
      <c r="S501" s="1">
        <v>3.7</v>
      </c>
      <c r="T501" s="1">
        <v>3.43</v>
      </c>
      <c r="U501" s="1">
        <v>1.25</v>
      </c>
      <c r="V501" s="1">
        <v>0</v>
      </c>
      <c r="W501" s="1">
        <v>0.34</v>
      </c>
      <c r="X501" s="1">
        <v>-14.55</v>
      </c>
      <c r="Y501" s="1" t="s">
        <v>1288</v>
      </c>
      <c r="Z501" s="1" t="s">
        <v>1541</v>
      </c>
    </row>
    <row r="502" spans="1:38">
      <c r="A502" s="1" t="s">
        <v>526</v>
      </c>
      <c r="B502" s="1" t="s">
        <v>637</v>
      </c>
      <c r="D502" s="1" t="s">
        <v>655</v>
      </c>
      <c r="H502" s="1">
        <f>HYPERLINK("https://tidesandcurrents.noaa.gov/stationhome.html?id=9418851", "9418851")</f>
        <v>0</v>
      </c>
      <c r="I502" s="1">
        <v>-124.11666</v>
      </c>
      <c r="J502" s="1">
        <v>40.85</v>
      </c>
      <c r="K502" s="1" t="s">
        <v>861</v>
      </c>
      <c r="L502" s="1" t="s">
        <v>866</v>
      </c>
      <c r="M502" s="1" t="s">
        <v>877</v>
      </c>
      <c r="N502" s="2">
        <f>HYPERLINK("https://tidesandcurrents.noaa.gov/datums.html?datum=MLLW&amp;units=0&amp;epoch=0&amp;id=9418851", "Datum Info")</f>
        <v>0</v>
      </c>
    </row>
    <row r="503" spans="1:38">
      <c r="A503" s="1" t="s">
        <v>527</v>
      </c>
      <c r="B503" s="1" t="s">
        <v>637</v>
      </c>
      <c r="C503" s="1" t="s">
        <v>650</v>
      </c>
      <c r="D503" s="1" t="s">
        <v>655</v>
      </c>
      <c r="E503" s="1" t="s">
        <v>806</v>
      </c>
      <c r="F503" s="1" t="s">
        <v>851</v>
      </c>
      <c r="G503" s="1" t="s">
        <v>858</v>
      </c>
      <c r="H503" s="1">
        <f>HYPERLINK("https://tidesandcurrents.noaa.gov/stationhome.html?id=9419059", "9419059")</f>
        <v>0</v>
      </c>
      <c r="I503" s="1">
        <v>-124.147</v>
      </c>
      <c r="J503" s="1">
        <v>41.0567</v>
      </c>
      <c r="K503" s="1" t="s">
        <v>861</v>
      </c>
      <c r="L503" s="1" t="s">
        <v>866</v>
      </c>
      <c r="M503" s="1" t="s">
        <v>877</v>
      </c>
      <c r="N503" s="2">
        <f>HYPERLINK("https://tidesandcurrents.noaa.gov/datums.html?datum=MLLW&amp;units=0&amp;epoch=0&amp;id=9419059", "Datum Info")</f>
        <v>0</v>
      </c>
      <c r="O503" s="1" t="s">
        <v>886</v>
      </c>
      <c r="P503" s="1">
        <v>6.73</v>
      </c>
      <c r="Q503" s="1">
        <v>6.05</v>
      </c>
      <c r="R503" s="1">
        <v>3.63</v>
      </c>
      <c r="S503" s="1">
        <v>3.61</v>
      </c>
      <c r="T503" s="1">
        <v>3.36</v>
      </c>
      <c r="U503" s="1">
        <v>1.21</v>
      </c>
      <c r="V503" s="1">
        <v>0</v>
      </c>
      <c r="W503" s="1">
        <v>0.25</v>
      </c>
      <c r="X503" s="1">
        <v>-4.98</v>
      </c>
      <c r="Y503" s="1" t="s">
        <v>1289</v>
      </c>
      <c r="Z503" s="1" t="s">
        <v>1542</v>
      </c>
    </row>
    <row r="504" spans="1:38">
      <c r="A504" s="1" t="s">
        <v>528</v>
      </c>
      <c r="B504" s="1" t="s">
        <v>637</v>
      </c>
      <c r="C504" s="1" t="s">
        <v>650</v>
      </c>
      <c r="D504" s="1" t="s">
        <v>655</v>
      </c>
      <c r="H504" s="1">
        <f>HYPERLINK("https://tidesandcurrents.noaa.gov/stationhome.html?id=9419750", "9419750")</f>
        <v>0</v>
      </c>
      <c r="I504" s="1">
        <v>-124.184</v>
      </c>
      <c r="J504" s="1">
        <v>41.74561</v>
      </c>
      <c r="K504" s="1" t="s">
        <v>860</v>
      </c>
      <c r="L504" s="1" t="s">
        <v>866</v>
      </c>
      <c r="M504" s="1" t="s">
        <v>877</v>
      </c>
      <c r="N504" s="2">
        <f>HYPERLINK("https://tidesandcurrents.noaa.gov/datums.html?datum=MLLW&amp;units=0&amp;epoch=0&amp;id=9419750", "Datum Info")</f>
        <v>0</v>
      </c>
      <c r="O504" s="1" t="s">
        <v>886</v>
      </c>
      <c r="P504" s="1">
        <v>6.87</v>
      </c>
      <c r="Q504" s="1">
        <v>6.23</v>
      </c>
      <c r="R504" s="1">
        <v>3.74</v>
      </c>
      <c r="S504" s="1">
        <v>3.7</v>
      </c>
      <c r="T504" s="1">
        <v>3.44</v>
      </c>
      <c r="U504" s="1">
        <v>1.24</v>
      </c>
      <c r="V504" s="1">
        <v>0</v>
      </c>
      <c r="W504" s="1">
        <v>0.38</v>
      </c>
      <c r="X504" s="1">
        <v>-3.69</v>
      </c>
      <c r="Y504" s="1" t="s">
        <v>1290</v>
      </c>
      <c r="Z504" s="1" t="s">
        <v>1543</v>
      </c>
    </row>
    <row r="505" spans="1:38">
      <c r="A505" s="1" t="s">
        <v>529</v>
      </c>
      <c r="B505" s="1" t="s">
        <v>637</v>
      </c>
      <c r="C505" s="1" t="s">
        <v>650</v>
      </c>
      <c r="D505" s="1" t="s">
        <v>655</v>
      </c>
      <c r="E505" s="1" t="s">
        <v>807</v>
      </c>
      <c r="F505" s="1" t="s">
        <v>851</v>
      </c>
      <c r="G505" s="1" t="s">
        <v>858</v>
      </c>
      <c r="H505" s="1">
        <f>HYPERLINK("https://tidesandcurrents.noaa.gov/stationhome.html?id=9419945", "9419945")</f>
        <v>0</v>
      </c>
      <c r="I505" s="1">
        <v>-124.201</v>
      </c>
      <c r="J505" s="1">
        <v>41.94525</v>
      </c>
      <c r="K505" s="1" t="s">
        <v>861</v>
      </c>
      <c r="L505" s="1" t="s">
        <v>866</v>
      </c>
      <c r="M505" s="1" t="s">
        <v>877</v>
      </c>
      <c r="N505" s="2">
        <f>HYPERLINK("https://tidesandcurrents.noaa.gov/datums.html?datum=MLLW&amp;units=0&amp;epoch=0&amp;id=9419945", "Datum Info")</f>
        <v>0</v>
      </c>
      <c r="O505" s="1" t="s">
        <v>886</v>
      </c>
      <c r="P505" s="1">
        <v>6.41</v>
      </c>
      <c r="Q505" s="1">
        <v>5.8</v>
      </c>
      <c r="R505" s="1">
        <v>3.46</v>
      </c>
      <c r="S505" s="1">
        <v>3.42</v>
      </c>
      <c r="T505" s="1">
        <v>3.21</v>
      </c>
      <c r="U505" s="1">
        <v>1.13</v>
      </c>
      <c r="V505" s="1">
        <v>0</v>
      </c>
      <c r="W505" s="1">
        <v>-0.55</v>
      </c>
      <c r="X505" s="1">
        <v>-20.57</v>
      </c>
      <c r="Y505" s="1" t="s">
        <v>1291</v>
      </c>
      <c r="Z505" s="1" t="s">
        <v>1544</v>
      </c>
    </row>
    <row r="506" spans="1:38">
      <c r="A506" s="1" t="s">
        <v>530</v>
      </c>
      <c r="B506" s="1" t="s">
        <v>637</v>
      </c>
      <c r="C506" s="1" t="s">
        <v>650</v>
      </c>
      <c r="D506" s="1" t="s">
        <v>655</v>
      </c>
      <c r="E506" s="1" t="s">
        <v>805</v>
      </c>
      <c r="F506" s="1" t="s">
        <v>851</v>
      </c>
      <c r="G506" s="1" t="s">
        <v>858</v>
      </c>
      <c r="H506" s="1">
        <f>HYPERLINK("https://tidesandcurrents.noaa.gov/stationhome.html?id=TWC0771", "TWC0771")</f>
        <v>0</v>
      </c>
      <c r="I506" s="1">
        <v>-123.7333</v>
      </c>
      <c r="J506" s="1">
        <v>38.9541</v>
      </c>
      <c r="K506" s="1" t="s">
        <v>860</v>
      </c>
      <c r="L506" s="1" t="s">
        <v>866</v>
      </c>
      <c r="M506" s="1" t="s">
        <v>877</v>
      </c>
      <c r="N506" s="2">
        <f>HYPERLINK("https://tidesandcurrents.noaa.gov/datums.html?datum=MLLW&amp;units=0&amp;epoch=0&amp;id=TWC0771", "Datum Info")</f>
        <v>0</v>
      </c>
    </row>
    <row r="507" spans="1:38">
      <c r="A507" s="1" t="s">
        <v>531</v>
      </c>
      <c r="B507" s="1" t="s">
        <v>638</v>
      </c>
      <c r="D507" s="1" t="s">
        <v>655</v>
      </c>
      <c r="E507" s="1" t="s">
        <v>808</v>
      </c>
      <c r="F507" s="1" t="s">
        <v>851</v>
      </c>
      <c r="G507" s="1" t="s">
        <v>858</v>
      </c>
      <c r="H507" s="1">
        <f>HYPERLINK("https://tidesandcurrents.noaa.gov/stationhome.html?id=9410647", "9410647")</f>
        <v>0</v>
      </c>
      <c r="I507" s="1">
        <v>-118.2461111</v>
      </c>
      <c r="J507" s="1">
        <v>33.715833</v>
      </c>
      <c r="K507" s="1" t="s">
        <v>861</v>
      </c>
      <c r="L507" s="1" t="s">
        <v>866</v>
      </c>
      <c r="M507" s="1" t="s">
        <v>877</v>
      </c>
      <c r="N507" s="2">
        <f>HYPERLINK("https://tidesandcurrents.noaa.gov/datums.html?datum=MLLW&amp;units=0&amp;epoch=0&amp;id=9410647", "Datum Info")</f>
        <v>0</v>
      </c>
    </row>
    <row r="508" spans="1:38">
      <c r="A508" s="1" t="s">
        <v>532</v>
      </c>
      <c r="B508" s="1" t="s">
        <v>638</v>
      </c>
      <c r="D508" s="1" t="s">
        <v>655</v>
      </c>
      <c r="E508" s="1" t="s">
        <v>808</v>
      </c>
      <c r="F508" s="1" t="s">
        <v>851</v>
      </c>
      <c r="G508" s="1" t="s">
        <v>858</v>
      </c>
      <c r="H508" s="1">
        <f>HYPERLINK("https://tidesandcurrents.noaa.gov/stationhome.html?id=9410660", "9410660")</f>
        <v>0</v>
      </c>
      <c r="I508" s="1">
        <v>-118.273</v>
      </c>
      <c r="J508" s="1">
        <v>33.71994</v>
      </c>
      <c r="K508" s="1" t="s">
        <v>861</v>
      </c>
      <c r="L508" s="1" t="s">
        <v>866</v>
      </c>
      <c r="M508" s="1" t="s">
        <v>877</v>
      </c>
      <c r="N508" s="2">
        <f>HYPERLINK("https://tidesandcurrents.noaa.gov/datums.html?datum=MLLW&amp;units=0&amp;epoch=0&amp;id=9410660", "Datum Info")</f>
        <v>0</v>
      </c>
      <c r="O508" s="1" t="s">
        <v>886</v>
      </c>
      <c r="P508" s="1">
        <v>5.49</v>
      </c>
      <c r="Q508" s="1">
        <v>4.75</v>
      </c>
      <c r="R508" s="1">
        <v>2.84</v>
      </c>
      <c r="S508" s="1">
        <v>2.82</v>
      </c>
      <c r="T508" s="1">
        <v>2.74</v>
      </c>
      <c r="U508" s="1">
        <v>0.9399999999999999</v>
      </c>
      <c r="V508" s="1">
        <v>0</v>
      </c>
      <c r="W508" s="1">
        <v>0.2</v>
      </c>
      <c r="X508" s="1">
        <v>-3.83</v>
      </c>
      <c r="Y508" s="1" t="s">
        <v>1292</v>
      </c>
      <c r="Z508" s="1" t="s">
        <v>1545</v>
      </c>
    </row>
    <row r="509" spans="1:38">
      <c r="A509" s="1" t="s">
        <v>533</v>
      </c>
      <c r="B509" s="1" t="s">
        <v>638</v>
      </c>
      <c r="D509" s="1" t="s">
        <v>655</v>
      </c>
      <c r="H509" s="1">
        <f>HYPERLINK("https://tidesandcurrents.noaa.gov/stationhome.html?id=9410665", "9410665")</f>
        <v>0</v>
      </c>
      <c r="I509" s="1">
        <v>-118.18555</v>
      </c>
      <c r="J509" s="1">
        <v>33.73305</v>
      </c>
      <c r="K509" s="1" t="s">
        <v>861</v>
      </c>
      <c r="L509" s="1" t="s">
        <v>866</v>
      </c>
      <c r="M509" s="1" t="s">
        <v>877</v>
      </c>
      <c r="N509" s="2">
        <f>HYPERLINK("https://tidesandcurrents.noaa.gov/datums.html?datum=MLLW&amp;units=0&amp;epoch=0&amp;id=9410665", "Datum Info")</f>
        <v>0</v>
      </c>
    </row>
    <row r="510" spans="1:38">
      <c r="A510" s="1" t="s">
        <v>534</v>
      </c>
      <c r="B510" s="1" t="s">
        <v>638</v>
      </c>
      <c r="D510" s="1" t="s">
        <v>655</v>
      </c>
      <c r="E510" s="1" t="s">
        <v>808</v>
      </c>
      <c r="F510" s="1" t="s">
        <v>851</v>
      </c>
      <c r="G510" s="1" t="s">
        <v>858</v>
      </c>
      <c r="H510" s="1">
        <f>HYPERLINK("https://tidesandcurrents.noaa.gov/stationhome.html?id=9410666", "9410666")</f>
        <v>0</v>
      </c>
      <c r="I510" s="1">
        <v>-118.241666</v>
      </c>
      <c r="J510" s="1">
        <v>33.735</v>
      </c>
      <c r="K510" s="1" t="s">
        <v>861</v>
      </c>
      <c r="L510" s="1" t="s">
        <v>866</v>
      </c>
      <c r="M510" s="1" t="s">
        <v>877</v>
      </c>
      <c r="N510" s="2">
        <f>HYPERLINK("https://tidesandcurrents.noaa.gov/datums.html?datum=MLLW&amp;units=0&amp;epoch=0&amp;id=9410666", "Datum Info")</f>
        <v>0</v>
      </c>
    </row>
    <row r="511" spans="1:38">
      <c r="A511" s="1" t="s">
        <v>535</v>
      </c>
      <c r="B511" s="1" t="s">
        <v>638</v>
      </c>
      <c r="D511" s="1" t="s">
        <v>655</v>
      </c>
      <c r="H511" s="1">
        <f>HYPERLINK("https://tidesandcurrents.noaa.gov/stationhome.html?id=9410840", "9410840")</f>
        <v>0</v>
      </c>
      <c r="I511" s="1">
        <v>-118.5</v>
      </c>
      <c r="J511" s="1">
        <v>34.0083</v>
      </c>
      <c r="K511" s="1" t="s">
        <v>861</v>
      </c>
      <c r="L511" s="1" t="s">
        <v>866</v>
      </c>
      <c r="M511" s="1" t="s">
        <v>877</v>
      </c>
      <c r="N511" s="2">
        <f>HYPERLINK("https://tidesandcurrents.noaa.gov/datums.html?datum=MLLW&amp;units=0&amp;epoch=0&amp;id=9410840", "Datum Info")</f>
        <v>0</v>
      </c>
      <c r="O511" s="1" t="s">
        <v>886</v>
      </c>
      <c r="P511" s="1">
        <v>5.43</v>
      </c>
      <c r="Q511" s="1">
        <v>4.69</v>
      </c>
      <c r="R511" s="1">
        <v>2.81</v>
      </c>
      <c r="S511" s="1">
        <v>2.79</v>
      </c>
      <c r="T511" s="1">
        <v>2.72</v>
      </c>
      <c r="U511" s="1">
        <v>0.93</v>
      </c>
      <c r="V511" s="1">
        <v>0</v>
      </c>
      <c r="W511" s="1">
        <v>0.19</v>
      </c>
      <c r="X511" s="1">
        <v>-2.44</v>
      </c>
      <c r="Y511" s="1" t="s">
        <v>1293</v>
      </c>
      <c r="Z511" s="1" t="s">
        <v>1065</v>
      </c>
    </row>
    <row r="512" spans="1:38">
      <c r="A512" s="1" t="s">
        <v>536</v>
      </c>
      <c r="B512" s="1" t="s">
        <v>638</v>
      </c>
      <c r="D512" s="1" t="s">
        <v>655</v>
      </c>
      <c r="H512" s="1">
        <f>HYPERLINK("https://tidesandcurrents.noaa.gov/stationhome.html?id=9411166", "9411166")</f>
        <v>0</v>
      </c>
      <c r="I512" s="1">
        <v>-119.27</v>
      </c>
      <c r="J512" s="1">
        <v>34.25</v>
      </c>
      <c r="K512" s="1" t="s">
        <v>860</v>
      </c>
      <c r="L512" s="1" t="s">
        <v>866</v>
      </c>
      <c r="M512" s="1" t="s">
        <v>877</v>
      </c>
      <c r="N512" s="2">
        <f>HYPERLINK("https://tidesandcurrents.noaa.gov/datums.html?datum=MLLW&amp;units=0&amp;epoch=0&amp;id=9411166", "Datum Info")</f>
        <v>0</v>
      </c>
    </row>
    <row r="513" spans="1:38">
      <c r="A513" s="1" t="s">
        <v>537</v>
      </c>
      <c r="B513" s="1" t="s">
        <v>638</v>
      </c>
      <c r="C513" s="1" t="s">
        <v>650</v>
      </c>
      <c r="D513" s="1" t="s">
        <v>655</v>
      </c>
      <c r="E513" s="1" t="s">
        <v>809</v>
      </c>
      <c r="F513" s="1" t="s">
        <v>851</v>
      </c>
      <c r="G513" s="1" t="s">
        <v>858</v>
      </c>
      <c r="H513" s="1">
        <f>HYPERLINK("https://tidesandcurrents.noaa.gov/stationhome.html?id=9411340", "9411340")</f>
        <v>0</v>
      </c>
      <c r="I513" s="1">
        <v>-119.693</v>
      </c>
      <c r="J513" s="1">
        <v>34.40311</v>
      </c>
      <c r="K513" s="1" t="s">
        <v>860</v>
      </c>
      <c r="L513" s="1" t="s">
        <v>866</v>
      </c>
      <c r="M513" s="1" t="s">
        <v>877</v>
      </c>
      <c r="N513" s="2">
        <f>HYPERLINK("https://tidesandcurrents.noaa.gov/datums.html?datum=MLLW&amp;units=0&amp;epoch=0&amp;id=9411340", "Datum Info")</f>
        <v>0</v>
      </c>
      <c r="O513" s="1" t="s">
        <v>886</v>
      </c>
      <c r="P513" s="1">
        <v>5.39</v>
      </c>
      <c r="Q513" s="1">
        <v>4.64</v>
      </c>
      <c r="R513" s="1">
        <v>2.81</v>
      </c>
      <c r="S513" s="1">
        <v>2.78</v>
      </c>
      <c r="T513" s="1">
        <v>2.69</v>
      </c>
      <c r="U513" s="1">
        <v>0.97</v>
      </c>
      <c r="V513" s="1">
        <v>0</v>
      </c>
      <c r="W513" s="1">
        <v>0.13</v>
      </c>
      <c r="X513" s="1">
        <v>-3.14</v>
      </c>
      <c r="Y513" s="1" t="s">
        <v>1294</v>
      </c>
      <c r="Z513" s="1" t="s">
        <v>1546</v>
      </c>
    </row>
    <row r="514" spans="1:38">
      <c r="A514" s="1" t="s">
        <v>538</v>
      </c>
      <c r="B514" s="1" t="s">
        <v>638</v>
      </c>
      <c r="D514" s="1" t="s">
        <v>655</v>
      </c>
      <c r="H514" s="1">
        <f>HYPERLINK("https://tidesandcurrents.noaa.gov/stationhome.html?id=9411399", "9411399")</f>
        <v>0</v>
      </c>
      <c r="I514" s="1">
        <v>-120.228</v>
      </c>
      <c r="J514" s="1">
        <v>34.46939</v>
      </c>
      <c r="K514" s="1" t="s">
        <v>861</v>
      </c>
      <c r="L514" s="1" t="s">
        <v>866</v>
      </c>
      <c r="M514" s="1" t="s">
        <v>877</v>
      </c>
      <c r="N514" s="2">
        <f>HYPERLINK("https://tidesandcurrents.noaa.gov/datums.html?datum=MLLW&amp;units=0&amp;epoch=0&amp;id=9411399", "Datum Info")</f>
        <v>0</v>
      </c>
      <c r="O514" s="1" t="s">
        <v>886</v>
      </c>
      <c r="P514" s="1">
        <v>5.29</v>
      </c>
      <c r="Q514" s="1">
        <v>4.55</v>
      </c>
      <c r="R514" s="1">
        <v>2.76</v>
      </c>
      <c r="S514" s="1">
        <v>2.75</v>
      </c>
      <c r="T514" s="1">
        <v>2.65</v>
      </c>
      <c r="U514" s="1">
        <v>0.98</v>
      </c>
      <c r="V514" s="1">
        <v>0</v>
      </c>
      <c r="W514" s="1">
        <v>0.09</v>
      </c>
      <c r="X514" s="1">
        <v>-43.6</v>
      </c>
      <c r="Y514" s="1" t="s">
        <v>1295</v>
      </c>
      <c r="Z514" s="1" t="s">
        <v>1547</v>
      </c>
    </row>
    <row r="515" spans="1:38">
      <c r="A515" s="1" t="s">
        <v>539</v>
      </c>
      <c r="B515" s="1" t="s">
        <v>638</v>
      </c>
      <c r="C515" s="1" t="s">
        <v>650</v>
      </c>
      <c r="D515" s="1" t="s">
        <v>655</v>
      </c>
      <c r="H515" s="1">
        <f>HYPERLINK("https://tidesandcurrents.noaa.gov/stationhome.html?id=9412110", "9412110")</f>
        <v>0</v>
      </c>
      <c r="I515" s="1">
        <v>-120.754</v>
      </c>
      <c r="J515" s="1">
        <v>35.16881</v>
      </c>
      <c r="K515" s="1" t="s">
        <v>861</v>
      </c>
      <c r="L515" s="1" t="s">
        <v>866</v>
      </c>
      <c r="M515" s="1" t="s">
        <v>877</v>
      </c>
      <c r="N515" s="2">
        <f>HYPERLINK("https://tidesandcurrents.noaa.gov/datums.html?datum=MLLW&amp;units=0&amp;epoch=0&amp;id=9412110", "Datum Info")</f>
        <v>0</v>
      </c>
      <c r="O515" s="1" t="s">
        <v>886</v>
      </c>
      <c r="P515" s="1">
        <v>5.33</v>
      </c>
      <c r="Q515" s="1">
        <v>4.62</v>
      </c>
      <c r="R515" s="1">
        <v>2.83</v>
      </c>
      <c r="S515" s="1">
        <v>2.8</v>
      </c>
      <c r="T515" s="1">
        <v>2.67</v>
      </c>
      <c r="U515" s="1">
        <v>1.04</v>
      </c>
      <c r="V515" s="1">
        <v>0</v>
      </c>
      <c r="W515" s="1">
        <v>0.08</v>
      </c>
      <c r="X515" s="1">
        <v>-4.25</v>
      </c>
      <c r="Y515" s="1" t="s">
        <v>1296</v>
      </c>
      <c r="Z515" s="1" t="s">
        <v>1548</v>
      </c>
    </row>
    <row r="516" spans="1:38">
      <c r="A516" s="1" t="s">
        <v>540</v>
      </c>
      <c r="B516" s="1" t="s">
        <v>639</v>
      </c>
      <c r="C516" s="1" t="s">
        <v>651</v>
      </c>
      <c r="D516" s="1" t="s">
        <v>655</v>
      </c>
      <c r="H516" s="1">
        <f>HYPERLINK("https://tidesandcurrents.noaa.gov/stationhome.html?id=9431647", "9431647")</f>
        <v>0</v>
      </c>
      <c r="I516" s="1">
        <v>-124.498</v>
      </c>
      <c r="J516" s="1">
        <v>42.73897</v>
      </c>
      <c r="K516" s="1" t="s">
        <v>861</v>
      </c>
      <c r="L516" s="1" t="s">
        <v>866</v>
      </c>
      <c r="M516" s="1" t="s">
        <v>877</v>
      </c>
      <c r="N516" s="2">
        <f>HYPERLINK("https://tidesandcurrents.noaa.gov/datums.html?datum=MLLW&amp;units=0&amp;epoch=0&amp;id=9431647", "Datum Info")</f>
        <v>0</v>
      </c>
      <c r="O516" s="1" t="s">
        <v>886</v>
      </c>
      <c r="P516" s="1">
        <v>7.28</v>
      </c>
      <c r="Q516" s="1">
        <v>6.57</v>
      </c>
      <c r="R516" s="1">
        <v>3.97</v>
      </c>
      <c r="S516" s="1">
        <v>3.93</v>
      </c>
      <c r="T516" s="1">
        <v>3.64</v>
      </c>
      <c r="U516" s="1">
        <v>1.36</v>
      </c>
      <c r="V516" s="1">
        <v>0</v>
      </c>
      <c r="W516" s="1">
        <v>0.41</v>
      </c>
      <c r="X516" s="1">
        <v>-23.11</v>
      </c>
      <c r="Y516" s="1" t="s">
        <v>1297</v>
      </c>
      <c r="Z516" s="1" t="s">
        <v>1549</v>
      </c>
    </row>
    <row r="517" spans="1:38">
      <c r="A517" s="1" t="s">
        <v>541</v>
      </c>
      <c r="B517" s="1" t="s">
        <v>639</v>
      </c>
      <c r="D517" s="1" t="s">
        <v>655</v>
      </c>
      <c r="E517" s="1" t="s">
        <v>810</v>
      </c>
      <c r="F517" s="1" t="s">
        <v>852</v>
      </c>
      <c r="G517" s="1" t="s">
        <v>858</v>
      </c>
      <c r="H517" s="1">
        <f>HYPERLINK("https://tidesandcurrents.noaa.gov/stationhome.html?id=9432780", "9432780")</f>
        <v>0</v>
      </c>
      <c r="I517" s="1">
        <v>-124.322</v>
      </c>
      <c r="J517" s="1">
        <v>43.345</v>
      </c>
      <c r="K517" s="1" t="s">
        <v>860</v>
      </c>
      <c r="L517" s="1" t="s">
        <v>866</v>
      </c>
      <c r="M517" s="1" t="s">
        <v>877</v>
      </c>
      <c r="N517" s="2">
        <f>HYPERLINK("https://tidesandcurrents.noaa.gov/datums.html?datum=MLLW&amp;units=0&amp;epoch=0&amp;id=9432780", "Datum Info")</f>
        <v>0</v>
      </c>
      <c r="O517" s="1" t="s">
        <v>886</v>
      </c>
      <c r="P517" s="1">
        <v>7.62</v>
      </c>
      <c r="Q517" s="1">
        <v>6.96</v>
      </c>
      <c r="R517" s="1">
        <v>4.11</v>
      </c>
      <c r="S517" s="1">
        <v>4.08</v>
      </c>
      <c r="T517" s="1">
        <v>3.81</v>
      </c>
      <c r="U517" s="1">
        <v>1.27</v>
      </c>
      <c r="V517" s="1">
        <v>0</v>
      </c>
      <c r="W517" s="1">
        <v>0.5</v>
      </c>
      <c r="X517" s="1">
        <v>-3.76</v>
      </c>
      <c r="Y517" s="1" t="s">
        <v>1298</v>
      </c>
      <c r="Z517" s="1" t="s">
        <v>1550</v>
      </c>
    </row>
    <row r="518" spans="1:38">
      <c r="A518" s="1" t="s">
        <v>542</v>
      </c>
      <c r="B518" s="1" t="s">
        <v>640</v>
      </c>
      <c r="D518" s="1" t="s">
        <v>655</v>
      </c>
      <c r="E518" s="1" t="s">
        <v>811</v>
      </c>
      <c r="F518" s="1" t="s">
        <v>851</v>
      </c>
      <c r="G518" s="1" t="s">
        <v>858</v>
      </c>
      <c r="H518" s="1">
        <f>HYPERLINK("https://tidesandcurrents.noaa.gov/stationhome.html?id=9412802", "9412802")</f>
        <v>0</v>
      </c>
      <c r="I518" s="1">
        <v>-121.482</v>
      </c>
      <c r="J518" s="1">
        <v>35.94953</v>
      </c>
      <c r="K518" s="1" t="s">
        <v>861</v>
      </c>
      <c r="L518" s="1" t="s">
        <v>866</v>
      </c>
      <c r="M518" s="1" t="s">
        <v>877</v>
      </c>
      <c r="N518" s="2">
        <f>HYPERLINK("https://tidesandcurrents.noaa.gov/datums.html?datum=MLLW&amp;units=0&amp;epoch=0&amp;id=9412802", "Datum Info")</f>
        <v>0</v>
      </c>
      <c r="O518" s="1" t="s">
        <v>886</v>
      </c>
      <c r="P518" s="1">
        <v>5.24</v>
      </c>
      <c r="Q518" s="1">
        <v>4.53</v>
      </c>
      <c r="R518" s="1">
        <v>2.78</v>
      </c>
      <c r="S518" s="1">
        <v>2.74</v>
      </c>
      <c r="T518" s="1">
        <v>2.62</v>
      </c>
      <c r="U518" s="1">
        <v>1.03</v>
      </c>
      <c r="V518" s="1">
        <v>0</v>
      </c>
      <c r="W518" s="1">
        <v>0</v>
      </c>
      <c r="X518" s="1">
        <v>-25.35</v>
      </c>
      <c r="Y518" s="1" t="s">
        <v>1299</v>
      </c>
      <c r="Z518" s="1" t="s">
        <v>1551</v>
      </c>
    </row>
    <row r="519" spans="1:38">
      <c r="A519" s="1" t="s">
        <v>543</v>
      </c>
      <c r="B519" s="1" t="s">
        <v>640</v>
      </c>
      <c r="D519" s="1" t="s">
        <v>655</v>
      </c>
      <c r="H519" s="1">
        <f>HYPERLINK("https://tidesandcurrents.noaa.gov/stationhome.html?id=9413450", "9413450")</f>
        <v>0</v>
      </c>
      <c r="I519" s="1">
        <v>-121.888</v>
      </c>
      <c r="J519" s="1">
        <v>36.605</v>
      </c>
      <c r="K519" s="1" t="s">
        <v>861</v>
      </c>
      <c r="L519" s="1" t="s">
        <v>866</v>
      </c>
      <c r="M519" s="1" t="s">
        <v>877</v>
      </c>
      <c r="N519" s="2">
        <f>HYPERLINK("https://tidesandcurrents.noaa.gov/datums.html?datum=MLLW&amp;units=0&amp;epoch=0&amp;id=9413450", "Datum Info")</f>
        <v>0</v>
      </c>
      <c r="O519" s="1" t="s">
        <v>886</v>
      </c>
      <c r="P519" s="1">
        <v>5.34</v>
      </c>
      <c r="Q519" s="1">
        <v>4.64</v>
      </c>
      <c r="R519" s="1">
        <v>2.87</v>
      </c>
      <c r="S519" s="1">
        <v>2.83</v>
      </c>
      <c r="T519" s="1">
        <v>2.67</v>
      </c>
      <c r="U519" s="1">
        <v>1.09</v>
      </c>
      <c r="V519" s="1">
        <v>0</v>
      </c>
      <c r="W519" s="1">
        <v>-0.14</v>
      </c>
      <c r="X519" s="1">
        <v>-3.38</v>
      </c>
      <c r="Y519" s="1" t="s">
        <v>1300</v>
      </c>
      <c r="Z519" s="1" t="s">
        <v>1552</v>
      </c>
    </row>
    <row r="520" spans="1:38">
      <c r="A520" s="1" t="s">
        <v>544</v>
      </c>
      <c r="B520" s="1" t="s">
        <v>640</v>
      </c>
      <c r="C520" s="1" t="s">
        <v>650</v>
      </c>
      <c r="D520" s="1" t="s">
        <v>655</v>
      </c>
      <c r="H520" s="1">
        <f>HYPERLINK("https://tidesandcurrents.noaa.gov/stationhome.html?id=9413745", "9413745")</f>
        <v>0</v>
      </c>
      <c r="I520" s="1">
        <v>-122.01666</v>
      </c>
      <c r="J520" s="1">
        <v>36.958333</v>
      </c>
      <c r="K520" s="1" t="s">
        <v>861</v>
      </c>
      <c r="L520" s="1" t="s">
        <v>866</v>
      </c>
      <c r="M520" s="1" t="s">
        <v>877</v>
      </c>
      <c r="N520" s="2">
        <f>HYPERLINK("https://tidesandcurrents.noaa.gov/datums.html?datum=MLLW&amp;units=0&amp;epoch=0&amp;id=9413745", "Datum Info")</f>
        <v>0</v>
      </c>
    </row>
    <row r="521" spans="1:38">
      <c r="A521" s="1" t="s">
        <v>545</v>
      </c>
      <c r="B521" s="1" t="s">
        <v>640</v>
      </c>
      <c r="D521" s="1" t="s">
        <v>655</v>
      </c>
      <c r="H521" s="1">
        <f>HYPERLINK("https://tidesandcurrents.noaa.gov/stationhome.html?id=9414131", "9414131")</f>
        <v>0</v>
      </c>
      <c r="I521" s="1">
        <v>-122.482</v>
      </c>
      <c r="J521" s="1">
        <v>37.5025</v>
      </c>
      <c r="K521" s="1" t="s">
        <v>861</v>
      </c>
      <c r="L521" s="1" t="s">
        <v>866</v>
      </c>
      <c r="M521" s="1" t="s">
        <v>877</v>
      </c>
      <c r="N521" s="2">
        <f>HYPERLINK("https://tidesandcurrents.noaa.gov/datums.html?datum=MLLW&amp;units=0&amp;epoch=0&amp;id=9414131", "Datum Info")</f>
        <v>0</v>
      </c>
      <c r="O521" s="1" t="s">
        <v>886</v>
      </c>
      <c r="P521" s="1">
        <v>5.6</v>
      </c>
      <c r="Q521" s="1">
        <v>4.95</v>
      </c>
      <c r="R521" s="1">
        <v>3.03</v>
      </c>
      <c r="S521" s="1">
        <v>2.99</v>
      </c>
      <c r="T521" s="1">
        <v>2.8</v>
      </c>
      <c r="U521" s="1">
        <v>1.11</v>
      </c>
      <c r="V521" s="1">
        <v>0</v>
      </c>
      <c r="W521" s="1">
        <v>-0.04</v>
      </c>
      <c r="X521" s="1">
        <v>-0.04</v>
      </c>
      <c r="Y521" s="1" t="s">
        <v>1301</v>
      </c>
      <c r="Z521" s="1" t="s">
        <v>1553</v>
      </c>
    </row>
    <row r="522" spans="1:38">
      <c r="A522" s="1" t="s">
        <v>546</v>
      </c>
      <c r="B522" s="1" t="s">
        <v>640</v>
      </c>
      <c r="D522" s="1" t="s">
        <v>655</v>
      </c>
      <c r="H522" s="1">
        <f>HYPERLINK("https://tidesandcurrents.noaa.gov/stationhome.html?id=9414290", "9414290")</f>
        <v>0</v>
      </c>
      <c r="I522" s="1">
        <v>-122.466</v>
      </c>
      <c r="J522" s="1">
        <v>37.80631</v>
      </c>
      <c r="K522" s="1" t="s">
        <v>860</v>
      </c>
      <c r="L522" s="1" t="s">
        <v>866</v>
      </c>
      <c r="M522" s="1" t="s">
        <v>877</v>
      </c>
      <c r="N522" s="2">
        <f>HYPERLINK("https://tidesandcurrents.noaa.gov/datums.html?datum=MLLW&amp;units=0&amp;epoch=0&amp;id=9414290", "Datum Info")</f>
        <v>0</v>
      </c>
      <c r="O522" s="1" t="s">
        <v>886</v>
      </c>
      <c r="P522" s="1">
        <v>5.84</v>
      </c>
      <c r="Q522" s="1">
        <v>5.23</v>
      </c>
      <c r="R522" s="1">
        <v>3.18</v>
      </c>
      <c r="S522" s="1">
        <v>3.12</v>
      </c>
      <c r="T522" s="1">
        <v>2.92</v>
      </c>
      <c r="U522" s="1">
        <v>1.13</v>
      </c>
      <c r="V522" s="1">
        <v>0</v>
      </c>
      <c r="W522" s="1">
        <v>-0.06</v>
      </c>
      <c r="X522" s="1">
        <v>-5.98</v>
      </c>
      <c r="Y522" s="1" t="s">
        <v>1302</v>
      </c>
      <c r="Z522" s="1" t="s">
        <v>1554</v>
      </c>
    </row>
    <row r="523" spans="1:38">
      <c r="A523" s="1" t="s">
        <v>547</v>
      </c>
      <c r="B523" s="1" t="s">
        <v>640</v>
      </c>
      <c r="D523" s="1" t="s">
        <v>655</v>
      </c>
      <c r="H523" s="1">
        <f>HYPERLINK("https://tidesandcurrents.noaa.gov/stationhome.html?id=9414311", "9414311")</f>
        <v>0</v>
      </c>
      <c r="I523" s="1">
        <v>-122.39277</v>
      </c>
      <c r="J523" s="1">
        <v>37.79777</v>
      </c>
      <c r="K523" s="1" t="s">
        <v>861</v>
      </c>
      <c r="L523" s="1" t="s">
        <v>866</v>
      </c>
      <c r="M523" s="1" t="s">
        <v>877</v>
      </c>
      <c r="N523" s="2">
        <f>HYPERLINK("https://tidesandcurrents.noaa.gov/datums.html?datum=MLLW&amp;units=0&amp;epoch=0&amp;id=9414311", "Datum Info")</f>
        <v>0</v>
      </c>
    </row>
    <row r="524" spans="1:38">
      <c r="A524" s="1" t="s">
        <v>548</v>
      </c>
      <c r="B524" s="1" t="s">
        <v>640</v>
      </c>
      <c r="D524" s="1" t="s">
        <v>655</v>
      </c>
      <c r="H524" s="1">
        <f>HYPERLINK("https://tidesandcurrents.noaa.gov/stationhome.html?id=9414509", "9414509")</f>
        <v>0</v>
      </c>
      <c r="I524" s="1">
        <v>-122.115</v>
      </c>
      <c r="J524" s="1">
        <v>37.5067</v>
      </c>
      <c r="K524" s="1" t="s">
        <v>861</v>
      </c>
      <c r="L524" s="1" t="s">
        <v>866</v>
      </c>
      <c r="M524" s="1" t="s">
        <v>877</v>
      </c>
      <c r="N524" s="2">
        <f>HYPERLINK("https://tidesandcurrents.noaa.gov/datums.html?datum=MLLW&amp;units=0&amp;epoch=0&amp;id=9414509", "Datum Info")</f>
        <v>0</v>
      </c>
      <c r="O524" s="1" t="s">
        <v>886</v>
      </c>
      <c r="P524" s="1">
        <v>8.609999999999999</v>
      </c>
      <c r="Q524" s="1">
        <v>8</v>
      </c>
      <c r="R524" s="1">
        <v>4.63</v>
      </c>
      <c r="S524" s="1">
        <v>4.68</v>
      </c>
      <c r="T524" s="1">
        <v>4.31</v>
      </c>
      <c r="U524" s="1">
        <v>1.26</v>
      </c>
      <c r="V524" s="1">
        <v>0</v>
      </c>
      <c r="W524" s="1" t="s">
        <v>1053</v>
      </c>
      <c r="X524" s="1">
        <v>-12</v>
      </c>
      <c r="Y524" s="1" t="s">
        <v>1303</v>
      </c>
      <c r="Z524" s="1" t="s">
        <v>1555</v>
      </c>
    </row>
    <row r="525" spans="1:38">
      <c r="A525" s="1" t="s">
        <v>549</v>
      </c>
      <c r="B525" s="1" t="s">
        <v>640</v>
      </c>
      <c r="C525" s="1" t="s">
        <v>650</v>
      </c>
      <c r="D525" s="1" t="s">
        <v>655</v>
      </c>
      <c r="E525" s="1" t="s">
        <v>812</v>
      </c>
      <c r="F525" s="1" t="s">
        <v>851</v>
      </c>
      <c r="G525" s="1" t="s">
        <v>858</v>
      </c>
      <c r="H525" s="1">
        <f>HYPERLINK("https://tidesandcurrents.noaa.gov/stationhome.html?id=9414523", "9414523")</f>
        <v>0</v>
      </c>
      <c r="I525" s="1">
        <v>-122.21</v>
      </c>
      <c r="J525" s="1">
        <v>37.5067</v>
      </c>
      <c r="K525" s="1" t="s">
        <v>860</v>
      </c>
      <c r="L525" s="1" t="s">
        <v>866</v>
      </c>
      <c r="M525" s="1" t="s">
        <v>877</v>
      </c>
      <c r="N525" s="2">
        <f>HYPERLINK("https://tidesandcurrents.noaa.gov/datums.html?datum=MLLW&amp;units=0&amp;epoch=0&amp;id=9414523", "Datum Info")</f>
        <v>0</v>
      </c>
      <c r="O525" s="1" t="s">
        <v>886</v>
      </c>
      <c r="P525" s="1">
        <v>8.199999999999999</v>
      </c>
      <c r="Q525" s="1">
        <v>7.57</v>
      </c>
      <c r="R525" s="1">
        <v>4.38</v>
      </c>
      <c r="S525" s="1">
        <v>4.4</v>
      </c>
      <c r="T525" s="1">
        <v>4.1</v>
      </c>
      <c r="U525" s="1">
        <v>1.2</v>
      </c>
      <c r="V525" s="1">
        <v>0</v>
      </c>
      <c r="W525" s="1">
        <v>1.18</v>
      </c>
      <c r="X525" s="1">
        <v>-6.74</v>
      </c>
      <c r="Y525" s="1" t="s">
        <v>1304</v>
      </c>
      <c r="Z525" s="1" t="s">
        <v>1556</v>
      </c>
    </row>
    <row r="526" spans="1:38">
      <c r="A526" s="1" t="s">
        <v>550</v>
      </c>
      <c r="B526" s="1" t="s">
        <v>640</v>
      </c>
      <c r="C526" s="1" t="s">
        <v>650</v>
      </c>
      <c r="D526" s="1" t="s">
        <v>655</v>
      </c>
      <c r="E526" s="1" t="s">
        <v>813</v>
      </c>
      <c r="F526" s="1" t="s">
        <v>851</v>
      </c>
      <c r="G526" s="1" t="s">
        <v>858</v>
      </c>
      <c r="H526" s="1">
        <f>HYPERLINK("https://tidesandcurrents.noaa.gov/stationhome.html?id=9414575", "9414575")</f>
        <v>0</v>
      </c>
      <c r="I526" s="1">
        <v>-122.023</v>
      </c>
      <c r="J526" s="1">
        <v>37.465</v>
      </c>
      <c r="K526" s="1" t="s">
        <v>861</v>
      </c>
      <c r="L526" s="1" t="s">
        <v>866</v>
      </c>
      <c r="M526" s="1" t="s">
        <v>877</v>
      </c>
      <c r="N526" s="2">
        <f>HYPERLINK("https://tidesandcurrents.noaa.gov/datums.html?datum=MLLW&amp;units=0&amp;epoch=0&amp;id=9414575", "Datum Info")</f>
        <v>0</v>
      </c>
      <c r="O526" s="1" t="s">
        <v>886</v>
      </c>
      <c r="P526" s="1">
        <v>8.85</v>
      </c>
      <c r="Q526" s="1">
        <v>8.26</v>
      </c>
      <c r="R526" s="1">
        <v>4.72</v>
      </c>
      <c r="S526" s="1">
        <v>4.87</v>
      </c>
      <c r="T526" s="1">
        <v>4.43</v>
      </c>
      <c r="U526" s="1">
        <v>1.18</v>
      </c>
      <c r="V526" s="1">
        <v>0</v>
      </c>
      <c r="W526" s="1" t="s">
        <v>1054</v>
      </c>
      <c r="X526" s="1">
        <v>0.27</v>
      </c>
      <c r="Y526" s="1" t="s">
        <v>1305</v>
      </c>
      <c r="Z526" s="1" t="s">
        <v>1557</v>
      </c>
      <c r="AH526" s="1">
        <v>0</v>
      </c>
      <c r="AI526" s="1">
        <v>0</v>
      </c>
      <c r="AJ526" s="1">
        <v>0</v>
      </c>
      <c r="AK526" s="1">
        <v>0</v>
      </c>
      <c r="AL526" s="1" t="s">
        <v>1744</v>
      </c>
    </row>
    <row r="527" spans="1:38">
      <c r="A527" s="1" t="s">
        <v>551</v>
      </c>
      <c r="B527" s="1" t="s">
        <v>640</v>
      </c>
      <c r="D527" s="1" t="s">
        <v>655</v>
      </c>
      <c r="E527" s="1" t="s">
        <v>814</v>
      </c>
      <c r="F527" s="1" t="s">
        <v>851</v>
      </c>
      <c r="G527" s="1" t="s">
        <v>858</v>
      </c>
      <c r="H527" s="1">
        <f>HYPERLINK("https://tidesandcurrents.noaa.gov/stationhome.html?id=9414750", "9414750")</f>
        <v>0</v>
      </c>
      <c r="I527" s="1">
        <v>-122.3</v>
      </c>
      <c r="J527" s="1">
        <v>37.7717</v>
      </c>
      <c r="K527" s="1" t="s">
        <v>860</v>
      </c>
      <c r="L527" s="1" t="s">
        <v>866</v>
      </c>
      <c r="M527" s="1" t="s">
        <v>877</v>
      </c>
      <c r="N527" s="2">
        <f>HYPERLINK("https://tidesandcurrents.noaa.gov/datums.html?datum=MLLW&amp;units=0&amp;epoch=0&amp;id=9414750", "Datum Info")</f>
        <v>0</v>
      </c>
      <c r="O527" s="1" t="s">
        <v>886</v>
      </c>
      <c r="P527" s="1">
        <v>6.6</v>
      </c>
      <c r="Q527" s="1">
        <v>5.98</v>
      </c>
      <c r="R527" s="1">
        <v>3.56</v>
      </c>
      <c r="S527" s="1">
        <v>3.45</v>
      </c>
      <c r="T527" s="1">
        <v>3.3</v>
      </c>
      <c r="U527" s="1">
        <v>1.14</v>
      </c>
      <c r="V527" s="1">
        <v>0</v>
      </c>
      <c r="W527" s="1">
        <v>0.23</v>
      </c>
      <c r="X527" s="1">
        <v>-3.33</v>
      </c>
      <c r="Y527" s="1" t="s">
        <v>946</v>
      </c>
      <c r="Z527" s="1" t="s">
        <v>1558</v>
      </c>
    </row>
    <row r="528" spans="1:38">
      <c r="A528" s="1" t="s">
        <v>552</v>
      </c>
      <c r="B528" s="1" t="s">
        <v>640</v>
      </c>
      <c r="D528" s="1" t="s">
        <v>655</v>
      </c>
      <c r="H528" s="1">
        <f>HYPERLINK("https://tidesandcurrents.noaa.gov/stationhome.html?id=9414764", "9414764")</f>
        <v>0</v>
      </c>
      <c r="I528" s="1">
        <v>-122.282</v>
      </c>
      <c r="J528" s="1">
        <v>37.795</v>
      </c>
      <c r="K528" s="1" t="s">
        <v>861</v>
      </c>
      <c r="L528" s="1" t="s">
        <v>866</v>
      </c>
      <c r="M528" s="1" t="s">
        <v>877</v>
      </c>
      <c r="N528" s="2">
        <f>HYPERLINK("https://tidesandcurrents.noaa.gov/datums.html?datum=MLLW&amp;units=0&amp;epoch=0&amp;id=9414764", "Datum Info")</f>
        <v>0</v>
      </c>
      <c r="O528" s="1" t="s">
        <v>886</v>
      </c>
      <c r="P528" s="1">
        <v>6.37</v>
      </c>
      <c r="Q528" s="1">
        <v>5.75</v>
      </c>
      <c r="R528" s="1">
        <v>3.42</v>
      </c>
      <c r="S528" s="1">
        <v>3.32</v>
      </c>
      <c r="T528" s="1">
        <v>3.18</v>
      </c>
      <c r="U528" s="1">
        <v>1.1</v>
      </c>
      <c r="V528" s="1">
        <v>0</v>
      </c>
      <c r="W528" s="1">
        <v>0.12</v>
      </c>
      <c r="X528" s="1">
        <v>-4.42</v>
      </c>
      <c r="Y528" s="1" t="s">
        <v>1306</v>
      </c>
      <c r="Z528" s="1" t="s">
        <v>1314</v>
      </c>
    </row>
    <row r="529" spans="1:26">
      <c r="A529" s="1" t="s">
        <v>553</v>
      </c>
      <c r="B529" s="1" t="s">
        <v>640</v>
      </c>
      <c r="C529" s="1" t="s">
        <v>650</v>
      </c>
      <c r="D529" s="1" t="s">
        <v>655</v>
      </c>
      <c r="E529" s="1" t="s">
        <v>814</v>
      </c>
      <c r="F529" s="1" t="s">
        <v>851</v>
      </c>
      <c r="G529" s="1" t="s">
        <v>858</v>
      </c>
      <c r="H529" s="1">
        <f>HYPERLINK("https://tidesandcurrents.noaa.gov/stationhome.html?id=9414769", "9414769")</f>
        <v>0</v>
      </c>
      <c r="I529" s="1">
        <v>-122.329722</v>
      </c>
      <c r="J529" s="1">
        <v>37.80055</v>
      </c>
      <c r="K529" s="1" t="s">
        <v>861</v>
      </c>
      <c r="L529" s="1" t="s">
        <v>866</v>
      </c>
      <c r="M529" s="1" t="s">
        <v>877</v>
      </c>
      <c r="N529" s="2">
        <f>HYPERLINK("https://tidesandcurrents.noaa.gov/datums.html?datum=MLLW&amp;units=0&amp;epoch=0&amp;id=9414769", "Datum Info")</f>
        <v>0</v>
      </c>
    </row>
    <row r="530" spans="1:26">
      <c r="A530" s="1" t="s">
        <v>554</v>
      </c>
      <c r="B530" s="1" t="s">
        <v>640</v>
      </c>
      <c r="C530" s="1" t="s">
        <v>650</v>
      </c>
      <c r="D530" s="1" t="s">
        <v>655</v>
      </c>
      <c r="E530" s="1" t="s">
        <v>814</v>
      </c>
      <c r="F530" s="1" t="s">
        <v>851</v>
      </c>
      <c r="G530" s="1" t="s">
        <v>858</v>
      </c>
      <c r="H530" s="1">
        <f>HYPERLINK("https://tidesandcurrents.noaa.gov/stationhome.html?id=9414776", "9414776")</f>
        <v>0</v>
      </c>
      <c r="I530" s="1">
        <v>-122.3333</v>
      </c>
      <c r="J530" s="1">
        <v>37.81</v>
      </c>
      <c r="K530" s="1" t="s">
        <v>861</v>
      </c>
      <c r="L530" s="1" t="s">
        <v>866</v>
      </c>
      <c r="M530" s="1" t="s">
        <v>877</v>
      </c>
      <c r="N530" s="2">
        <f>HYPERLINK("https://tidesandcurrents.noaa.gov/datums.html?datum=MLLW&amp;units=0&amp;epoch=0&amp;id=9414776", "Datum Info")</f>
        <v>0</v>
      </c>
    </row>
    <row r="531" spans="1:26">
      <c r="A531" s="1" t="s">
        <v>555</v>
      </c>
      <c r="B531" s="1" t="s">
        <v>640</v>
      </c>
      <c r="C531" s="1" t="s">
        <v>650</v>
      </c>
      <c r="D531" s="1" t="s">
        <v>655</v>
      </c>
      <c r="H531" s="1">
        <f>HYPERLINK("https://tidesandcurrents.noaa.gov/stationhome.html?id=9414847", "9414847")</f>
        <v>0</v>
      </c>
      <c r="I531" s="1">
        <v>-122.365</v>
      </c>
      <c r="J531" s="1">
        <v>37.905</v>
      </c>
      <c r="K531" s="1" t="s">
        <v>861</v>
      </c>
      <c r="L531" s="1" t="s">
        <v>866</v>
      </c>
      <c r="M531" s="1" t="s">
        <v>877</v>
      </c>
      <c r="N531" s="2">
        <f>HYPERLINK("https://tidesandcurrents.noaa.gov/datums.html?datum=MLLW&amp;units=0&amp;epoch=0&amp;id=9414847", "Datum Info")</f>
        <v>0</v>
      </c>
    </row>
    <row r="532" spans="1:26">
      <c r="A532" s="1" t="s">
        <v>556</v>
      </c>
      <c r="B532" s="1" t="s">
        <v>640</v>
      </c>
      <c r="C532" s="1" t="s">
        <v>650</v>
      </c>
      <c r="D532" s="1" t="s">
        <v>655</v>
      </c>
      <c r="E532" s="1" t="s">
        <v>815</v>
      </c>
      <c r="F532" s="1" t="s">
        <v>851</v>
      </c>
      <c r="G532" s="1" t="s">
        <v>858</v>
      </c>
      <c r="H532" s="1">
        <f>HYPERLINK("https://tidesandcurrents.noaa.gov/stationhome.html?id=9414863", "9414863")</f>
        <v>0</v>
      </c>
      <c r="I532" s="1">
        <v>-122.4</v>
      </c>
      <c r="J532" s="1">
        <v>37.93</v>
      </c>
      <c r="K532" s="1" t="s">
        <v>860</v>
      </c>
      <c r="L532" s="1" t="s">
        <v>866</v>
      </c>
      <c r="M532" s="1" t="s">
        <v>877</v>
      </c>
      <c r="N532" s="2">
        <f>HYPERLINK("https://tidesandcurrents.noaa.gov/datums.html?datum=MLLW&amp;units=0&amp;epoch=0&amp;id=9414863", "Datum Info")</f>
        <v>0</v>
      </c>
      <c r="O532" s="1" t="s">
        <v>886</v>
      </c>
      <c r="P532" s="1">
        <v>6.04</v>
      </c>
      <c r="Q532" s="1">
        <v>5.43</v>
      </c>
      <c r="R532" s="1">
        <v>3.28</v>
      </c>
      <c r="S532" s="1">
        <v>3.25</v>
      </c>
      <c r="T532" s="1">
        <v>3.02</v>
      </c>
      <c r="U532" s="1">
        <v>1.12</v>
      </c>
      <c r="V532" s="1">
        <v>0</v>
      </c>
      <c r="W532" s="1">
        <v>-0.02</v>
      </c>
      <c r="X532" s="1">
        <v>-11.59</v>
      </c>
      <c r="Y532" s="1" t="s">
        <v>1302</v>
      </c>
      <c r="Z532" s="1" t="s">
        <v>1559</v>
      </c>
    </row>
    <row r="533" spans="1:26">
      <c r="A533" s="1" t="s">
        <v>557</v>
      </c>
      <c r="B533" s="1" t="s">
        <v>640</v>
      </c>
      <c r="D533" s="1" t="s">
        <v>655</v>
      </c>
      <c r="H533" s="1">
        <f>HYPERLINK("https://tidesandcurrents.noaa.gov/stationhome.html?id=9414958", "9414958")</f>
        <v>0</v>
      </c>
      <c r="I533" s="1">
        <v>-122.41</v>
      </c>
      <c r="J533" s="1">
        <v>37.923</v>
      </c>
      <c r="K533" s="1" t="s">
        <v>861</v>
      </c>
      <c r="L533" s="1" t="s">
        <v>866</v>
      </c>
      <c r="M533" s="1" t="s">
        <v>877</v>
      </c>
      <c r="N533" s="2">
        <f>HYPERLINK("https://tidesandcurrents.noaa.gov/datums.html?datum=MLLW&amp;units=0&amp;epoch=0&amp;id=9414958", "Datum Info")</f>
        <v>0</v>
      </c>
      <c r="O533" s="1" t="s">
        <v>886</v>
      </c>
      <c r="P533" s="1">
        <v>4.27</v>
      </c>
      <c r="Q533" s="1">
        <v>3.66</v>
      </c>
      <c r="R533" s="1">
        <v>2.2</v>
      </c>
      <c r="S533" s="1">
        <v>2.23</v>
      </c>
      <c r="T533" s="1">
        <v>2.14</v>
      </c>
      <c r="U533" s="1">
        <v>0.74</v>
      </c>
      <c r="V533" s="1">
        <v>0</v>
      </c>
      <c r="W533" s="1">
        <v>-1.12</v>
      </c>
      <c r="X533" s="1">
        <v>-2.33</v>
      </c>
      <c r="Y533" s="1" t="s">
        <v>1307</v>
      </c>
      <c r="Z533" s="1" t="s">
        <v>1560</v>
      </c>
    </row>
    <row r="534" spans="1:26">
      <c r="A534" s="1" t="s">
        <v>558</v>
      </c>
      <c r="B534" s="1" t="s">
        <v>640</v>
      </c>
      <c r="C534" s="1" t="s">
        <v>650</v>
      </c>
      <c r="D534" s="1" t="s">
        <v>655</v>
      </c>
      <c r="E534" s="1" t="s">
        <v>816</v>
      </c>
      <c r="F534" s="1" t="s">
        <v>851</v>
      </c>
      <c r="G534" s="1" t="s">
        <v>858</v>
      </c>
      <c r="H534" s="1">
        <f>HYPERLINK("https://tidesandcurrents.noaa.gov/stationhome.html?id=9415020", "9415020")</f>
        <v>0</v>
      </c>
      <c r="I534" s="1">
        <v>-122.974</v>
      </c>
      <c r="J534" s="1">
        <v>37.99417</v>
      </c>
      <c r="K534" s="1" t="s">
        <v>860</v>
      </c>
      <c r="L534" s="1" t="s">
        <v>866</v>
      </c>
      <c r="M534" s="1" t="s">
        <v>877</v>
      </c>
      <c r="N534" s="2">
        <f>HYPERLINK("https://tidesandcurrents.noaa.gov/datums.html?datum=MLLW&amp;units=0&amp;epoch=0&amp;id=9415020", "Datum Info")</f>
        <v>0</v>
      </c>
      <c r="O534" s="1" t="s">
        <v>886</v>
      </c>
      <c r="P534" s="1">
        <v>5.76</v>
      </c>
      <c r="Q534" s="1">
        <v>5.1</v>
      </c>
      <c r="R534" s="1">
        <v>3.14</v>
      </c>
      <c r="S534" s="1">
        <v>3.1</v>
      </c>
      <c r="T534" s="1">
        <v>2.88</v>
      </c>
      <c r="U534" s="1">
        <v>1.18</v>
      </c>
      <c r="V534" s="1">
        <v>0</v>
      </c>
      <c r="W534" s="1">
        <v>0.02</v>
      </c>
      <c r="X534" s="1">
        <v>-3.96</v>
      </c>
      <c r="Y534" s="1" t="s">
        <v>1308</v>
      </c>
      <c r="Z534" s="1" t="s">
        <v>1561</v>
      </c>
    </row>
    <row r="535" spans="1:26">
      <c r="A535" s="1" t="s">
        <v>559</v>
      </c>
      <c r="B535" s="1" t="s">
        <v>640</v>
      </c>
      <c r="D535" s="1" t="s">
        <v>655</v>
      </c>
      <c r="H535" s="1">
        <f>HYPERLINK("https://tidesandcurrents.noaa.gov/stationhome.html?id=9415056", "9415056")</f>
        <v>0</v>
      </c>
      <c r="I535" s="1">
        <v>-122.363</v>
      </c>
      <c r="J535" s="1">
        <v>38.015</v>
      </c>
      <c r="K535" s="1" t="s">
        <v>861</v>
      </c>
      <c r="L535" s="1" t="s">
        <v>866</v>
      </c>
      <c r="M535" s="1" t="s">
        <v>877</v>
      </c>
      <c r="N535" s="2">
        <f>HYPERLINK("https://tidesandcurrents.noaa.gov/datums.html?datum=MLLW&amp;units=0&amp;epoch=0&amp;id=9415056", "Datum Info")</f>
        <v>0</v>
      </c>
      <c r="O535" s="1" t="s">
        <v>886</v>
      </c>
      <c r="P535" s="1">
        <v>6.24</v>
      </c>
      <c r="Q535" s="1">
        <v>5.64</v>
      </c>
      <c r="R535" s="1">
        <v>3.37</v>
      </c>
      <c r="S535" s="1">
        <v>3.32</v>
      </c>
      <c r="T535" s="1">
        <v>3.12</v>
      </c>
      <c r="U535" s="1">
        <v>1.08</v>
      </c>
      <c r="V535" s="1">
        <v>0</v>
      </c>
      <c r="W535" s="1">
        <v>0.06</v>
      </c>
      <c r="X535" s="1">
        <v>-7.98</v>
      </c>
      <c r="Y535" s="1" t="s">
        <v>1307</v>
      </c>
      <c r="Z535" s="1" t="s">
        <v>1562</v>
      </c>
    </row>
    <row r="536" spans="1:26">
      <c r="A536" s="1" t="s">
        <v>560</v>
      </c>
      <c r="B536" s="1" t="s">
        <v>640</v>
      </c>
      <c r="C536" s="1" t="s">
        <v>650</v>
      </c>
      <c r="D536" s="1" t="s">
        <v>655</v>
      </c>
      <c r="H536" s="1">
        <f>HYPERLINK("https://tidesandcurrents.noaa.gov/stationhome.html?id=9415102", "9415102")</f>
        <v>0</v>
      </c>
      <c r="I536" s="1">
        <v>-122.125</v>
      </c>
      <c r="J536" s="1">
        <v>38.03464</v>
      </c>
      <c r="K536" s="1" t="s">
        <v>860</v>
      </c>
      <c r="L536" s="1" t="s">
        <v>866</v>
      </c>
      <c r="M536" s="1" t="s">
        <v>877</v>
      </c>
      <c r="N536" s="2">
        <f>HYPERLINK("https://tidesandcurrents.noaa.gov/datums.html?datum=MLLW&amp;units=0&amp;epoch=0&amp;id=9415102", "Datum Info")</f>
        <v>0</v>
      </c>
      <c r="O536" s="1" t="s">
        <v>886</v>
      </c>
      <c r="P536" s="1">
        <v>5.36</v>
      </c>
      <c r="Q536" s="1">
        <v>4.84</v>
      </c>
      <c r="R536" s="1">
        <v>2.86</v>
      </c>
      <c r="S536" s="1">
        <v>2.86</v>
      </c>
      <c r="T536" s="1">
        <v>2.68</v>
      </c>
      <c r="U536" s="1">
        <v>0.88</v>
      </c>
      <c r="V536" s="1">
        <v>0</v>
      </c>
      <c r="W536" s="1">
        <v>-0.57</v>
      </c>
      <c r="X536" s="1">
        <v>-35.07</v>
      </c>
      <c r="Y536" s="1" t="s">
        <v>1309</v>
      </c>
      <c r="Z536" s="1" t="s">
        <v>1563</v>
      </c>
    </row>
    <row r="537" spans="1:26">
      <c r="A537" s="1" t="s">
        <v>561</v>
      </c>
      <c r="B537" s="1" t="s">
        <v>640</v>
      </c>
      <c r="D537" s="1" t="s">
        <v>655</v>
      </c>
      <c r="H537" s="1">
        <f>HYPERLINK("https://tidesandcurrents.noaa.gov/stationhome.html?id=9415141", "9415141")</f>
        <v>0</v>
      </c>
      <c r="I537" s="1">
        <v>-122.26</v>
      </c>
      <c r="J537" s="1">
        <v>38.05666</v>
      </c>
      <c r="K537" s="1" t="s">
        <v>861</v>
      </c>
      <c r="L537" s="1" t="s">
        <v>866</v>
      </c>
      <c r="M537" s="1" t="s">
        <v>877</v>
      </c>
      <c r="N537" s="2">
        <f>HYPERLINK("https://tidesandcurrents.noaa.gov/datums.html?datum=MLLW&amp;units=0&amp;epoch=0&amp;id=9415141", "Datum Info")</f>
        <v>0</v>
      </c>
    </row>
    <row r="538" spans="1:26">
      <c r="A538" s="1" t="s">
        <v>562</v>
      </c>
      <c r="B538" s="1" t="s">
        <v>640</v>
      </c>
      <c r="C538" s="1" t="s">
        <v>650</v>
      </c>
      <c r="D538" s="1" t="s">
        <v>655</v>
      </c>
      <c r="E538" s="1" t="s">
        <v>815</v>
      </c>
      <c r="F538" s="1" t="s">
        <v>851</v>
      </c>
      <c r="G538" s="1" t="s">
        <v>858</v>
      </c>
      <c r="H538" s="1">
        <f>HYPERLINK("https://tidesandcurrents.noaa.gov/stationhome.html?id=9415144", "9415144")</f>
        <v>0</v>
      </c>
      <c r="I538" s="1">
        <v>-122.04</v>
      </c>
      <c r="J538" s="1">
        <v>38.056</v>
      </c>
      <c r="K538" s="1" t="s">
        <v>860</v>
      </c>
      <c r="L538" s="1" t="s">
        <v>866</v>
      </c>
      <c r="M538" s="1" t="s">
        <v>877</v>
      </c>
      <c r="N538" s="2">
        <f>HYPERLINK("https://tidesandcurrents.noaa.gov/datums.html?datum=MLLW&amp;units=0&amp;epoch=0&amp;id=9415144", "Datum Info")</f>
        <v>0</v>
      </c>
      <c r="O538" s="1" t="s">
        <v>886</v>
      </c>
      <c r="P538" s="1">
        <v>4.91</v>
      </c>
      <c r="Q538" s="1">
        <v>4.4</v>
      </c>
      <c r="R538" s="1">
        <v>2.57</v>
      </c>
      <c r="S538" s="1">
        <v>2.56</v>
      </c>
      <c r="T538" s="1">
        <v>2.45</v>
      </c>
      <c r="U538" s="1">
        <v>0.74</v>
      </c>
      <c r="V538" s="1">
        <v>0</v>
      </c>
      <c r="W538" s="1">
        <v>-1.1</v>
      </c>
      <c r="X538" s="1">
        <v>-3.99</v>
      </c>
      <c r="Y538" s="1" t="s">
        <v>1310</v>
      </c>
      <c r="Z538" s="1" t="s">
        <v>1564</v>
      </c>
    </row>
    <row r="539" spans="1:26">
      <c r="A539" s="1" t="s">
        <v>563</v>
      </c>
      <c r="B539" s="1" t="s">
        <v>640</v>
      </c>
      <c r="D539" s="1" t="s">
        <v>655</v>
      </c>
      <c r="H539" s="1">
        <f>HYPERLINK("https://tidesandcurrents.noaa.gov/stationhome.html?id=9415218", "9415218")</f>
        <v>0</v>
      </c>
      <c r="I539" s="1">
        <v>-122.25</v>
      </c>
      <c r="J539" s="1">
        <v>38.07</v>
      </c>
      <c r="K539" s="1" t="s">
        <v>861</v>
      </c>
      <c r="L539" s="1" t="s">
        <v>866</v>
      </c>
      <c r="M539" s="1" t="s">
        <v>877</v>
      </c>
      <c r="N539" s="2">
        <f>HYPERLINK("https://tidesandcurrents.noaa.gov/datums.html?datum=MLLW&amp;units=0&amp;epoch=0&amp;id=9415218", "Datum Info")</f>
        <v>0</v>
      </c>
      <c r="O539" s="1" t="s">
        <v>886</v>
      </c>
      <c r="P539" s="1">
        <v>5.75</v>
      </c>
      <c r="Q539" s="1">
        <v>5.19</v>
      </c>
      <c r="R539" s="1">
        <v>3.07</v>
      </c>
      <c r="S539" s="1">
        <v>3.07</v>
      </c>
      <c r="T539" s="1">
        <v>2.88</v>
      </c>
      <c r="U539" s="1">
        <v>0.95</v>
      </c>
      <c r="V539" s="1">
        <v>0</v>
      </c>
      <c r="W539" s="1">
        <v>-0.36</v>
      </c>
      <c r="X539" s="1">
        <v>-2.93</v>
      </c>
      <c r="Y539" s="1" t="s">
        <v>1311</v>
      </c>
      <c r="Z539" s="1" t="s">
        <v>1565</v>
      </c>
    </row>
    <row r="540" spans="1:26">
      <c r="A540" s="1" t="s">
        <v>564</v>
      </c>
      <c r="B540" s="1" t="s">
        <v>640</v>
      </c>
      <c r="C540" s="1" t="s">
        <v>650</v>
      </c>
      <c r="D540" s="1" t="s">
        <v>655</v>
      </c>
      <c r="H540" s="1">
        <f>HYPERLINK("https://tidesandcurrents.noaa.gov/stationhome.html?id=9415338", "9415338")</f>
        <v>0</v>
      </c>
      <c r="I540" s="1">
        <v>-122.407</v>
      </c>
      <c r="J540" s="1">
        <v>38.1567</v>
      </c>
      <c r="K540" s="1" t="s">
        <v>861</v>
      </c>
      <c r="L540" s="1" t="s">
        <v>866</v>
      </c>
      <c r="M540" s="1" t="s">
        <v>877</v>
      </c>
      <c r="N540" s="2">
        <f>HYPERLINK("https://tidesandcurrents.noaa.gov/datums.html?datum=MLLW&amp;units=0&amp;epoch=0&amp;id=9415338", "Datum Info")</f>
        <v>0</v>
      </c>
      <c r="O540" s="1" t="s">
        <v>886</v>
      </c>
      <c r="P540" s="1">
        <v>5.43</v>
      </c>
      <c r="Q540" s="1">
        <v>4.84</v>
      </c>
      <c r="R540" s="1">
        <v>2.75</v>
      </c>
      <c r="S540" s="1">
        <v>2.71</v>
      </c>
      <c r="T540" s="1">
        <v>2.71</v>
      </c>
      <c r="U540" s="1">
        <v>0.66</v>
      </c>
      <c r="V540" s="1">
        <v>0</v>
      </c>
      <c r="W540" s="1">
        <v>-1</v>
      </c>
      <c r="X540" s="1">
        <v>-1.07</v>
      </c>
      <c r="Y540" s="1" t="s">
        <v>1100</v>
      </c>
      <c r="Z540" s="1" t="s">
        <v>1566</v>
      </c>
    </row>
    <row r="541" spans="1:26">
      <c r="A541" s="1" t="s">
        <v>565</v>
      </c>
      <c r="B541" s="1" t="s">
        <v>640</v>
      </c>
      <c r="D541" s="1" t="s">
        <v>655</v>
      </c>
      <c r="H541" s="1">
        <f>HYPERLINK("https://tidesandcurrents.noaa.gov/stationhome.html?id=9415625", "9415625")</f>
        <v>0</v>
      </c>
      <c r="I541" s="1">
        <v>-123.055</v>
      </c>
      <c r="J541" s="1">
        <v>38.30833</v>
      </c>
      <c r="K541" s="1" t="s">
        <v>861</v>
      </c>
      <c r="L541" s="1" t="s">
        <v>866</v>
      </c>
      <c r="M541" s="1" t="s">
        <v>877</v>
      </c>
      <c r="N541" s="2">
        <f>HYPERLINK("https://tidesandcurrents.noaa.gov/datums.html?datum=MLLW&amp;units=0&amp;epoch=0&amp;id=9415625", "Datum Info")</f>
        <v>0</v>
      </c>
    </row>
    <row r="542" spans="1:26">
      <c r="A542" s="1" t="s">
        <v>566</v>
      </c>
      <c r="B542" s="1" t="s">
        <v>640</v>
      </c>
      <c r="D542" s="1" t="s">
        <v>655</v>
      </c>
      <c r="E542" s="1" t="s">
        <v>817</v>
      </c>
      <c r="F542" s="1" t="s">
        <v>851</v>
      </c>
      <c r="G542" s="1" t="s">
        <v>858</v>
      </c>
      <c r="H542" s="1">
        <f>HYPERLINK("https://tidesandcurrents.noaa.gov/stationhome.html?id=9416409", "9416409")</f>
        <v>0</v>
      </c>
      <c r="I542" s="1">
        <v>-123.449</v>
      </c>
      <c r="J542" s="1">
        <v>38.7043</v>
      </c>
      <c r="K542" s="1" t="s">
        <v>861</v>
      </c>
      <c r="L542" s="1" t="s">
        <v>866</v>
      </c>
      <c r="M542" s="1" t="s">
        <v>877</v>
      </c>
      <c r="N542" s="2">
        <f>HYPERLINK("https://tidesandcurrents.noaa.gov/datums.html?datum=MLLW&amp;units=0&amp;epoch=0&amp;id=9416409", "Datum Info")</f>
        <v>0</v>
      </c>
      <c r="O542" s="1" t="s">
        <v>886</v>
      </c>
      <c r="P542" s="1">
        <v>5.23</v>
      </c>
      <c r="Q542" s="1">
        <v>4.56</v>
      </c>
      <c r="R542" s="1">
        <v>2.75</v>
      </c>
      <c r="S542" s="1">
        <v>2.67</v>
      </c>
      <c r="T542" s="1">
        <v>2.62</v>
      </c>
      <c r="U542" s="1">
        <v>0.93</v>
      </c>
      <c r="V542" s="1">
        <v>0</v>
      </c>
      <c r="W542" s="1" t="s">
        <v>1055</v>
      </c>
      <c r="X542" s="1">
        <v>-13.1</v>
      </c>
      <c r="Y542" s="1" t="s">
        <v>1312</v>
      </c>
      <c r="Z542" s="1" t="s">
        <v>1567</v>
      </c>
    </row>
    <row r="543" spans="1:26">
      <c r="A543" s="1" t="s">
        <v>567</v>
      </c>
      <c r="B543" s="1" t="s">
        <v>640</v>
      </c>
      <c r="D543" s="1" t="s">
        <v>655</v>
      </c>
      <c r="H543" s="1">
        <f>HYPERLINK("https://tidesandcurrents.noaa.gov/stationhome.html?id=9416841", "9416841")</f>
        <v>0</v>
      </c>
      <c r="I543" s="1">
        <v>-123.711</v>
      </c>
      <c r="J543" s="1">
        <v>38.91456</v>
      </c>
      <c r="K543" s="1" t="s">
        <v>860</v>
      </c>
      <c r="L543" s="1" t="s">
        <v>866</v>
      </c>
      <c r="M543" s="1" t="s">
        <v>877</v>
      </c>
      <c r="N543" s="2">
        <f>HYPERLINK("https://tidesandcurrents.noaa.gov/datums.html?datum=MLLW&amp;units=0&amp;epoch=0&amp;id=9416841", "Datum Info")</f>
        <v>0</v>
      </c>
      <c r="O543" s="1" t="s">
        <v>886</v>
      </c>
      <c r="P543" s="1">
        <v>5.87</v>
      </c>
      <c r="Q543" s="1">
        <v>5.2</v>
      </c>
      <c r="R543" s="1">
        <v>3.18</v>
      </c>
      <c r="S543" s="1">
        <v>3.14</v>
      </c>
      <c r="T543" s="1">
        <v>2.93</v>
      </c>
      <c r="U543" s="1">
        <v>1.15</v>
      </c>
      <c r="V543" s="1">
        <v>0</v>
      </c>
      <c r="W543" s="1">
        <v>0.14</v>
      </c>
      <c r="X543" s="1">
        <v>-28.93</v>
      </c>
      <c r="Y543" s="1" t="s">
        <v>1313</v>
      </c>
      <c r="Z543" s="1" t="s">
        <v>1568</v>
      </c>
    </row>
    <row r="544" spans="1:26">
      <c r="A544" s="1" t="s">
        <v>568</v>
      </c>
      <c r="B544" s="1" t="s">
        <v>641</v>
      </c>
      <c r="D544" s="1" t="s">
        <v>655</v>
      </c>
      <c r="E544" s="1" t="s">
        <v>694</v>
      </c>
      <c r="F544" s="1" t="s">
        <v>852</v>
      </c>
      <c r="G544" s="1" t="s">
        <v>858</v>
      </c>
      <c r="H544" s="1">
        <f>HYPERLINK("https://tidesandcurrents.noaa.gov/stationhome.html?id=9434939", "9434939")</f>
        <v>0</v>
      </c>
      <c r="I544" s="1">
        <v>-124.058</v>
      </c>
      <c r="J544" s="1">
        <v>44.43436</v>
      </c>
      <c r="K544" s="1" t="s">
        <v>861</v>
      </c>
      <c r="L544" s="1" t="s">
        <v>866</v>
      </c>
      <c r="M544" s="1" t="s">
        <v>877</v>
      </c>
      <c r="N544" s="2">
        <f>HYPERLINK("https://tidesandcurrents.noaa.gov/datums.html?datum=MLLW&amp;units=0&amp;epoch=0&amp;id=9434939", "Datum Info")</f>
        <v>0</v>
      </c>
      <c r="O544" s="1" t="s">
        <v>886</v>
      </c>
      <c r="P544" s="1">
        <v>7.59</v>
      </c>
      <c r="Q544" s="1">
        <v>6.88</v>
      </c>
      <c r="R544" s="1">
        <v>4.07</v>
      </c>
      <c r="S544" s="1">
        <v>4.09</v>
      </c>
      <c r="T544" s="1">
        <v>3.8</v>
      </c>
      <c r="U544" s="1">
        <v>1.25</v>
      </c>
      <c r="V544" s="1">
        <v>0</v>
      </c>
      <c r="W544" s="1">
        <v>0.04</v>
      </c>
      <c r="X544" s="1">
        <v>-16.71</v>
      </c>
      <c r="Y544" s="1" t="s">
        <v>1314</v>
      </c>
      <c r="Z544" s="1" t="s">
        <v>1569</v>
      </c>
    </row>
    <row r="545" spans="1:26">
      <c r="A545" s="1" t="s">
        <v>569</v>
      </c>
      <c r="B545" s="1" t="s">
        <v>641</v>
      </c>
      <c r="D545" s="1" t="s">
        <v>655</v>
      </c>
      <c r="H545" s="1">
        <f>HYPERLINK("https://tidesandcurrents.noaa.gov/stationhome.html?id=9435380", "9435380")</f>
        <v>0</v>
      </c>
      <c r="I545" s="1">
        <v>-124.045</v>
      </c>
      <c r="J545" s="1">
        <v>44.6254</v>
      </c>
      <c r="K545" s="1" t="s">
        <v>861</v>
      </c>
      <c r="L545" s="1" t="s">
        <v>866</v>
      </c>
      <c r="M545" s="1" t="s">
        <v>877</v>
      </c>
      <c r="N545" s="2">
        <f>HYPERLINK("https://tidesandcurrents.noaa.gov/datums.html?datum=MLLW&amp;units=0&amp;epoch=0&amp;id=9435380", "Datum Info")</f>
        <v>0</v>
      </c>
      <c r="O545" s="1" t="s">
        <v>886</v>
      </c>
      <c r="P545" s="1">
        <v>8.34</v>
      </c>
      <c r="Q545" s="1">
        <v>7.64</v>
      </c>
      <c r="R545" s="1">
        <v>4.51</v>
      </c>
      <c r="S545" s="1">
        <v>4.45</v>
      </c>
      <c r="T545" s="1">
        <v>4.17</v>
      </c>
      <c r="U545" s="1">
        <v>1.38</v>
      </c>
      <c r="V545" s="1">
        <v>0</v>
      </c>
      <c r="W545" s="1">
        <v>0.77</v>
      </c>
      <c r="X545" s="1">
        <v>-4.57</v>
      </c>
      <c r="Y545" s="1" t="s">
        <v>1315</v>
      </c>
      <c r="Z545" s="1" t="s">
        <v>1344</v>
      </c>
    </row>
    <row r="546" spans="1:26">
      <c r="A546" s="1" t="s">
        <v>570</v>
      </c>
      <c r="B546" s="1" t="s">
        <v>641</v>
      </c>
      <c r="C546" s="1" t="s">
        <v>651</v>
      </c>
      <c r="D546" s="1" t="s">
        <v>655</v>
      </c>
      <c r="E546" s="1" t="s">
        <v>694</v>
      </c>
      <c r="F546" s="1" t="s">
        <v>852</v>
      </c>
      <c r="G546" s="1" t="s">
        <v>858</v>
      </c>
      <c r="H546" s="1">
        <f>HYPERLINK("https://tidesandcurrents.noaa.gov/stationhome.html?id=9435827", "9435827")</f>
        <v>0</v>
      </c>
      <c r="I546" s="1">
        <v>-124.058</v>
      </c>
      <c r="J546" s="1">
        <v>44.81</v>
      </c>
      <c r="K546" s="1" t="s">
        <v>861</v>
      </c>
      <c r="L546" s="1" t="s">
        <v>866</v>
      </c>
      <c r="M546" s="1" t="s">
        <v>877</v>
      </c>
      <c r="N546" s="2">
        <f>HYPERLINK("https://tidesandcurrents.noaa.gov/datums.html?datum=MLLW&amp;units=0&amp;epoch=0&amp;id=9435827", "Datum Info")</f>
        <v>0</v>
      </c>
      <c r="O546" s="1" t="s">
        <v>886</v>
      </c>
      <c r="P546" s="1">
        <v>8.24</v>
      </c>
      <c r="Q546" s="1">
        <v>7.53</v>
      </c>
      <c r="R546" s="1">
        <v>4.45</v>
      </c>
      <c r="S546" s="1">
        <v>4.42</v>
      </c>
      <c r="T546" s="1">
        <v>4.12</v>
      </c>
      <c r="U546" s="1">
        <v>1.37</v>
      </c>
      <c r="V546" s="1">
        <v>0</v>
      </c>
      <c r="W546" s="1">
        <v>0.63</v>
      </c>
      <c r="X546" s="1">
        <v>-3.4</v>
      </c>
      <c r="Y546" s="1" t="s">
        <v>1316</v>
      </c>
      <c r="Z546" s="1" t="s">
        <v>1570</v>
      </c>
    </row>
    <row r="547" spans="1:26">
      <c r="A547" s="1" t="s">
        <v>571</v>
      </c>
      <c r="B547" s="1" t="s">
        <v>641</v>
      </c>
      <c r="D547" s="1" t="s">
        <v>655</v>
      </c>
      <c r="H547" s="1">
        <f>HYPERLINK("https://tidesandcurrents.noaa.gov/stationhome.html?id=9436381", "9436381")</f>
        <v>0</v>
      </c>
      <c r="I547" s="1">
        <v>-123.902</v>
      </c>
      <c r="J547" s="1">
        <v>45.4817</v>
      </c>
      <c r="K547" s="1" t="s">
        <v>861</v>
      </c>
      <c r="L547" s="1" t="s">
        <v>866</v>
      </c>
      <c r="M547" s="1" t="s">
        <v>877</v>
      </c>
      <c r="N547" s="2">
        <f>HYPERLINK("https://tidesandcurrents.noaa.gov/datums.html?datum=MLLW&amp;units=0&amp;epoch=0&amp;id=9436381", "Datum Info")</f>
        <v>0</v>
      </c>
      <c r="O547" s="1" t="s">
        <v>886</v>
      </c>
      <c r="P547" s="1">
        <v>7.13</v>
      </c>
      <c r="Q547" s="1">
        <v>6.44</v>
      </c>
      <c r="R547" s="1">
        <v>3.71</v>
      </c>
      <c r="S547" s="1">
        <v>3.6</v>
      </c>
      <c r="T547" s="1">
        <v>3.57</v>
      </c>
      <c r="U547" s="1">
        <v>0.97</v>
      </c>
      <c r="V547" s="1">
        <v>0</v>
      </c>
      <c r="W547" s="1" t="s">
        <v>1056</v>
      </c>
      <c r="X547" s="1">
        <v>-17.18</v>
      </c>
      <c r="Y547" s="1" t="s">
        <v>1317</v>
      </c>
      <c r="Z547" s="1" t="s">
        <v>1571</v>
      </c>
    </row>
    <row r="548" spans="1:26">
      <c r="A548" s="1" t="s">
        <v>572</v>
      </c>
      <c r="B548" s="1" t="s">
        <v>641</v>
      </c>
      <c r="D548" s="1" t="s">
        <v>655</v>
      </c>
      <c r="H548" s="1">
        <f>HYPERLINK("https://tidesandcurrents.noaa.gov/stationhome.html?id=9437540", "9437540")</f>
        <v>0</v>
      </c>
      <c r="I548" s="1">
        <v>-123.919</v>
      </c>
      <c r="J548" s="1">
        <v>45.55453</v>
      </c>
      <c r="K548" s="1" t="s">
        <v>861</v>
      </c>
      <c r="L548" s="1" t="s">
        <v>866</v>
      </c>
      <c r="M548" s="1" t="s">
        <v>877</v>
      </c>
      <c r="N548" s="2">
        <f>HYPERLINK("https://tidesandcurrents.noaa.gov/datums.html?datum=MLLW&amp;units=0&amp;epoch=0&amp;id=9437540", "Datum Info")</f>
        <v>0</v>
      </c>
      <c r="O548" s="1" t="s">
        <v>886</v>
      </c>
      <c r="P548" s="1">
        <v>8.32</v>
      </c>
      <c r="Q548" s="1">
        <v>7.61</v>
      </c>
      <c r="R548" s="1">
        <v>4.49</v>
      </c>
      <c r="S548" s="1">
        <v>4.5</v>
      </c>
      <c r="T548" s="1">
        <v>4.16</v>
      </c>
      <c r="U548" s="1">
        <v>1.37</v>
      </c>
      <c r="V548" s="1">
        <v>0</v>
      </c>
      <c r="W548" s="1" t="s">
        <v>1057</v>
      </c>
      <c r="X548" s="1">
        <v>-3.99</v>
      </c>
      <c r="Y548" s="1" t="s">
        <v>1318</v>
      </c>
      <c r="Z548" s="1" t="s">
        <v>1572</v>
      </c>
    </row>
    <row r="549" spans="1:26">
      <c r="A549" s="1" t="s">
        <v>573</v>
      </c>
      <c r="B549" s="1" t="s">
        <v>641</v>
      </c>
      <c r="D549" s="1" t="s">
        <v>655</v>
      </c>
      <c r="H549" s="1">
        <f>HYPERLINK("https://tidesandcurrents.noaa.gov/stationhome.html?id=9439011", "9439011")</f>
        <v>0</v>
      </c>
      <c r="I549" s="1">
        <v>-123.945</v>
      </c>
      <c r="J549" s="1">
        <v>46.2017</v>
      </c>
      <c r="K549" s="1" t="s">
        <v>861</v>
      </c>
      <c r="L549" s="1" t="s">
        <v>866</v>
      </c>
      <c r="M549" s="1" t="s">
        <v>877</v>
      </c>
      <c r="N549" s="2">
        <f>HYPERLINK("https://tidesandcurrents.noaa.gov/datums.html?datum=MLLW&amp;units=0&amp;epoch=0&amp;id=9439011", "Datum Info")</f>
        <v>0</v>
      </c>
      <c r="O549" s="1" t="s">
        <v>886</v>
      </c>
      <c r="P549" s="1">
        <v>8.359999999999999</v>
      </c>
      <c r="Q549" s="1">
        <v>7.65</v>
      </c>
      <c r="R549" s="1">
        <v>4.45</v>
      </c>
      <c r="S549" s="1">
        <v>4.38</v>
      </c>
      <c r="T549" s="1">
        <v>4.18</v>
      </c>
      <c r="U549" s="1">
        <v>1.26</v>
      </c>
      <c r="V549" s="1">
        <v>0</v>
      </c>
      <c r="W549" s="1">
        <v>0.06</v>
      </c>
      <c r="X549" s="1">
        <v>-2.5</v>
      </c>
      <c r="Y549" s="1" t="s">
        <v>1126</v>
      </c>
      <c r="Z549" s="1" t="s">
        <v>1573</v>
      </c>
    </row>
    <row r="550" spans="1:26">
      <c r="A550" s="1" t="s">
        <v>574</v>
      </c>
      <c r="B550" s="1" t="s">
        <v>641</v>
      </c>
      <c r="C550" s="1" t="s">
        <v>651</v>
      </c>
      <c r="D550" s="1" t="s">
        <v>655</v>
      </c>
      <c r="E550" s="1" t="s">
        <v>818</v>
      </c>
      <c r="F550" s="1" t="s">
        <v>852</v>
      </c>
      <c r="G550" s="1" t="s">
        <v>858</v>
      </c>
      <c r="H550" s="1">
        <f>HYPERLINK("https://tidesandcurrents.noaa.gov/stationhome.html?id=9439040", "9439040")</f>
        <v>0</v>
      </c>
      <c r="I550" s="1">
        <v>-123.768</v>
      </c>
      <c r="J550" s="1">
        <v>46.20731</v>
      </c>
      <c r="K550" s="1" t="s">
        <v>860</v>
      </c>
      <c r="L550" s="1" t="s">
        <v>866</v>
      </c>
      <c r="M550" s="1" t="s">
        <v>877</v>
      </c>
      <c r="N550" s="2">
        <f>HYPERLINK("https://tidesandcurrents.noaa.gov/datums.html?datum=MLLW&amp;units=0&amp;epoch=0&amp;id=9439040", "Datum Info")</f>
        <v>0</v>
      </c>
      <c r="O550" s="1" t="s">
        <v>886</v>
      </c>
      <c r="P550" s="1">
        <v>8.609999999999999</v>
      </c>
      <c r="Q550" s="1">
        <v>7.94</v>
      </c>
      <c r="R550" s="1">
        <v>4.55</v>
      </c>
      <c r="S550" s="1">
        <v>4.51</v>
      </c>
      <c r="T550" s="1">
        <v>4.31</v>
      </c>
      <c r="U550" s="1">
        <v>1.17</v>
      </c>
      <c r="V550" s="1">
        <v>0</v>
      </c>
      <c r="W550" s="1">
        <v>-0.21</v>
      </c>
      <c r="X550" s="1">
        <v>-2.23</v>
      </c>
      <c r="Y550" s="1" t="s">
        <v>1319</v>
      </c>
      <c r="Z550" s="1" t="s">
        <v>1574</v>
      </c>
    </row>
    <row r="551" spans="1:26">
      <c r="A551" s="1" t="s">
        <v>575</v>
      </c>
      <c r="B551" s="1" t="s">
        <v>641</v>
      </c>
      <c r="D551" s="1" t="s">
        <v>655</v>
      </c>
      <c r="H551" s="1">
        <f>HYPERLINK("https://tidesandcurrents.noaa.gov/stationhome.html?id=9439099", "9439099")</f>
        <v>0</v>
      </c>
      <c r="I551" s="1">
        <v>-123.409</v>
      </c>
      <c r="J551" s="1">
        <v>46.16167</v>
      </c>
      <c r="K551" s="1" t="s">
        <v>861</v>
      </c>
      <c r="L551" s="1" t="s">
        <v>866</v>
      </c>
      <c r="M551" s="1" t="s">
        <v>877</v>
      </c>
      <c r="N551" s="2">
        <f>HYPERLINK("https://tidesandcurrents.noaa.gov/datums.html?datum=MLLW&amp;units=0&amp;epoch=0&amp;id=9439099", "Datum Info")</f>
        <v>0</v>
      </c>
      <c r="O551" s="1" t="s">
        <v>886</v>
      </c>
      <c r="P551" s="1">
        <v>6.99</v>
      </c>
      <c r="Q551" s="1">
        <v>6.39</v>
      </c>
      <c r="R551" s="1">
        <v>3.53</v>
      </c>
      <c r="S551" s="1">
        <v>3.4</v>
      </c>
      <c r="T551" s="1">
        <v>3.49</v>
      </c>
      <c r="U551" s="1">
        <v>0.67</v>
      </c>
      <c r="V551" s="1">
        <v>0</v>
      </c>
      <c r="W551" s="1" t="s">
        <v>1058</v>
      </c>
      <c r="X551" s="1">
        <v>-1</v>
      </c>
      <c r="Y551" s="1" t="s">
        <v>1320</v>
      </c>
      <c r="Z551" s="1" t="s">
        <v>1575</v>
      </c>
    </row>
    <row r="552" spans="1:26">
      <c r="A552" s="1" t="s">
        <v>576</v>
      </c>
      <c r="B552" s="1" t="s">
        <v>641</v>
      </c>
      <c r="C552" s="1" t="s">
        <v>651</v>
      </c>
      <c r="D552" s="1" t="s">
        <v>655</v>
      </c>
      <c r="E552" s="1" t="s">
        <v>819</v>
      </c>
      <c r="F552" s="1" t="s">
        <v>852</v>
      </c>
      <c r="G552" s="1" t="s">
        <v>858</v>
      </c>
      <c r="H552" s="1">
        <f>HYPERLINK("https://tidesandcurrents.noaa.gov/stationhome.html?id=9439201", "9439201")</f>
        <v>0</v>
      </c>
      <c r="I552" s="1">
        <v>-122.796</v>
      </c>
      <c r="J552" s="1">
        <v>45.86331</v>
      </c>
      <c r="K552" s="1" t="s">
        <v>861</v>
      </c>
      <c r="L552" s="1" t="s">
        <v>866</v>
      </c>
      <c r="M552" s="1" t="s">
        <v>877</v>
      </c>
      <c r="N552" s="2">
        <f>HYPERLINK("https://tidesandcurrents.noaa.gov/datums.html?datum=MLLW&amp;units=0&amp;epoch=0&amp;id=9439201", "Datum Info")</f>
        <v>0</v>
      </c>
      <c r="O552" s="1" t="s">
        <v>886</v>
      </c>
      <c r="P552" s="1">
        <v>3.23</v>
      </c>
      <c r="Q552" s="1">
        <v>2.75</v>
      </c>
      <c r="R552" s="1">
        <v>1.49</v>
      </c>
      <c r="S552" s="1">
        <v>1.49</v>
      </c>
      <c r="T552" s="1">
        <v>1.62</v>
      </c>
      <c r="U552" s="1">
        <v>0.23</v>
      </c>
      <c r="V552" s="1">
        <v>0</v>
      </c>
      <c r="W552" s="1" t="s">
        <v>1059</v>
      </c>
      <c r="X552" s="1">
        <v>-2.05</v>
      </c>
      <c r="Y552" s="1" t="s">
        <v>1321</v>
      </c>
      <c r="Z552" s="1" t="s">
        <v>1576</v>
      </c>
    </row>
    <row r="553" spans="1:26">
      <c r="A553" s="1" t="s">
        <v>577</v>
      </c>
      <c r="B553" s="1" t="s">
        <v>641</v>
      </c>
      <c r="C553" s="1" t="s">
        <v>651</v>
      </c>
      <c r="D553" s="1" t="s">
        <v>655</v>
      </c>
      <c r="E553" s="1" t="s">
        <v>820</v>
      </c>
      <c r="F553" s="1" t="s">
        <v>853</v>
      </c>
      <c r="G553" s="1" t="s">
        <v>858</v>
      </c>
      <c r="H553" s="1">
        <f>HYPERLINK("https://tidesandcurrents.noaa.gov/stationhome.html?id=9440083", "9440083")</f>
        <v>0</v>
      </c>
      <c r="I553" s="1">
        <v>-122.697</v>
      </c>
      <c r="J553" s="1">
        <v>45.63169</v>
      </c>
      <c r="K553" s="1" t="s">
        <v>861</v>
      </c>
      <c r="L553" s="1" t="s">
        <v>866</v>
      </c>
      <c r="M553" s="1" t="s">
        <v>877</v>
      </c>
      <c r="N553" s="2">
        <f>HYPERLINK("https://tidesandcurrents.noaa.gov/datums.html?datum=MLLW&amp;units=0&amp;epoch=0&amp;id=9440083", "Datum Info")</f>
        <v>0</v>
      </c>
      <c r="O553" s="1" t="s">
        <v>886</v>
      </c>
      <c r="P553" s="1">
        <v>3.19</v>
      </c>
      <c r="Q553" s="1">
        <v>2.66</v>
      </c>
      <c r="R553" s="1">
        <v>1.44</v>
      </c>
      <c r="S553" s="1">
        <v>1.35</v>
      </c>
      <c r="T553" s="1">
        <v>1.6</v>
      </c>
      <c r="U553" s="1">
        <v>0.22</v>
      </c>
      <c r="V553" s="1">
        <v>0</v>
      </c>
      <c r="W553" s="1" t="s">
        <v>1060</v>
      </c>
      <c r="X553" s="1">
        <v>-1.78</v>
      </c>
      <c r="Y553" s="1" t="s">
        <v>1322</v>
      </c>
      <c r="Z553" s="1" t="s">
        <v>1577</v>
      </c>
    </row>
    <row r="554" spans="1:26">
      <c r="A554" s="1" t="s">
        <v>578</v>
      </c>
      <c r="B554" s="1" t="s">
        <v>641</v>
      </c>
      <c r="C554" s="1" t="s">
        <v>651</v>
      </c>
      <c r="D554" s="1" t="s">
        <v>655</v>
      </c>
      <c r="E554" s="1" t="s">
        <v>821</v>
      </c>
      <c r="F554" s="1" t="s">
        <v>853</v>
      </c>
      <c r="G554" s="1" t="s">
        <v>858</v>
      </c>
      <c r="H554" s="1">
        <f>HYPERLINK("https://tidesandcurrents.noaa.gov/stationhome.html?id=9440422", "9440422")</f>
        <v>0</v>
      </c>
      <c r="I554" s="1">
        <v>-122.954</v>
      </c>
      <c r="J554" s="1">
        <v>46.10614</v>
      </c>
      <c r="K554" s="1" t="s">
        <v>861</v>
      </c>
      <c r="L554" s="1" t="s">
        <v>866</v>
      </c>
      <c r="M554" s="1" t="s">
        <v>877</v>
      </c>
      <c r="N554" s="2">
        <f>HYPERLINK("https://tidesandcurrents.noaa.gov/datums.html?datum=MLLW&amp;units=0&amp;epoch=0&amp;id=9440422", "Datum Info")</f>
        <v>0</v>
      </c>
      <c r="O554" s="1" t="s">
        <v>886</v>
      </c>
      <c r="P554" s="1">
        <v>4.55</v>
      </c>
      <c r="Q554" s="1">
        <v>4.08</v>
      </c>
      <c r="R554" s="1">
        <v>2.2</v>
      </c>
      <c r="S554" s="1">
        <v>2.05</v>
      </c>
      <c r="T554" s="1">
        <v>2.28</v>
      </c>
      <c r="U554" s="1">
        <v>0.33</v>
      </c>
      <c r="V554" s="1">
        <v>0</v>
      </c>
      <c r="W554" s="1" t="s">
        <v>1061</v>
      </c>
      <c r="X554" s="1">
        <v>-2.53</v>
      </c>
      <c r="Y554" s="1" t="s">
        <v>1323</v>
      </c>
      <c r="Z554" s="1" t="s">
        <v>1578</v>
      </c>
    </row>
    <row r="555" spans="1:26">
      <c r="A555" s="1" t="s">
        <v>579</v>
      </c>
      <c r="B555" s="1" t="s">
        <v>641</v>
      </c>
      <c r="C555" s="1" t="s">
        <v>651</v>
      </c>
      <c r="D555" s="1" t="s">
        <v>655</v>
      </c>
      <c r="E555" s="1" t="s">
        <v>822</v>
      </c>
      <c r="F555" s="1" t="s">
        <v>853</v>
      </c>
      <c r="G555" s="1" t="s">
        <v>858</v>
      </c>
      <c r="H555" s="1">
        <f>HYPERLINK("https://tidesandcurrents.noaa.gov/stationhome.html?id=9440569", "9440569")</f>
        <v>0</v>
      </c>
      <c r="I555" s="1">
        <v>-123.457</v>
      </c>
      <c r="J555" s="1">
        <v>46.27031</v>
      </c>
      <c r="K555" s="1" t="s">
        <v>861</v>
      </c>
      <c r="L555" s="1" t="s">
        <v>866</v>
      </c>
      <c r="M555" s="1" t="s">
        <v>877</v>
      </c>
      <c r="N555" s="2">
        <f>HYPERLINK("https://tidesandcurrents.noaa.gov/datums.html?datum=MLLW&amp;units=0&amp;epoch=0&amp;id=9440569", "Datum Info")</f>
        <v>0</v>
      </c>
      <c r="O555" s="1" t="s">
        <v>886</v>
      </c>
      <c r="P555" s="1">
        <v>7.49</v>
      </c>
      <c r="Q555" s="1">
        <v>6.86</v>
      </c>
      <c r="R555" s="1">
        <v>3.82</v>
      </c>
      <c r="S555" s="1">
        <v>3.73</v>
      </c>
      <c r="T555" s="1">
        <v>3.75</v>
      </c>
      <c r="U555" s="1">
        <v>0.77</v>
      </c>
      <c r="V555" s="1">
        <v>0</v>
      </c>
      <c r="W555" s="1" t="s">
        <v>1062</v>
      </c>
      <c r="X555" s="1">
        <v>-0.48</v>
      </c>
      <c r="Y555" s="1" t="s">
        <v>1324</v>
      </c>
      <c r="Z555" s="1" t="s">
        <v>1579</v>
      </c>
    </row>
    <row r="556" spans="1:26">
      <c r="A556" s="1" t="s">
        <v>580</v>
      </c>
      <c r="B556" s="1" t="s">
        <v>641</v>
      </c>
      <c r="D556" s="1" t="s">
        <v>655</v>
      </c>
      <c r="H556" s="1">
        <f>HYPERLINK("https://tidesandcurrents.noaa.gov/stationhome.html?id=9440572", "9440572")</f>
        <v>0</v>
      </c>
      <c r="I556" s="1">
        <v>-124.037</v>
      </c>
      <c r="J556" s="1">
        <v>46.2683</v>
      </c>
      <c r="K556" s="1" t="s">
        <v>861</v>
      </c>
      <c r="L556" s="1" t="s">
        <v>866</v>
      </c>
      <c r="M556" s="1" t="s">
        <v>877</v>
      </c>
      <c r="N556" s="2">
        <f>HYPERLINK("https://tidesandcurrents.noaa.gov/datums.html?datum=MLLW&amp;units=0&amp;epoch=0&amp;id=9440572", "Datum Info")</f>
        <v>0</v>
      </c>
      <c r="O556" s="1" t="s">
        <v>886</v>
      </c>
      <c r="P556" s="1">
        <v>8.49</v>
      </c>
      <c r="Q556" s="1">
        <v>7.74</v>
      </c>
      <c r="R556" s="1">
        <v>4.58</v>
      </c>
      <c r="S556" s="1">
        <v>4.58</v>
      </c>
      <c r="T556" s="1">
        <v>4.24</v>
      </c>
      <c r="U556" s="1">
        <v>1.43</v>
      </c>
      <c r="V556" s="1">
        <v>0</v>
      </c>
      <c r="W556" s="1" t="s">
        <v>1063</v>
      </c>
      <c r="X556" s="1">
        <v>-4.11</v>
      </c>
      <c r="Y556" s="1" t="s">
        <v>1325</v>
      </c>
      <c r="Z556" s="1" t="s">
        <v>1580</v>
      </c>
    </row>
    <row r="557" spans="1:26">
      <c r="A557" s="1" t="s">
        <v>581</v>
      </c>
      <c r="B557" s="1" t="s">
        <v>641</v>
      </c>
      <c r="D557" s="1" t="s">
        <v>655</v>
      </c>
      <c r="H557" s="1">
        <f>HYPERLINK("https://tidesandcurrents.noaa.gov/stationhome.html?id=9440581", "9440581")</f>
        <v>0</v>
      </c>
      <c r="I557" s="1">
        <v>-124.046</v>
      </c>
      <c r="J557" s="1">
        <v>46.28103</v>
      </c>
      <c r="K557" s="1" t="s">
        <v>860</v>
      </c>
      <c r="L557" s="1" t="s">
        <v>866</v>
      </c>
      <c r="M557" s="1" t="s">
        <v>877</v>
      </c>
      <c r="N557" s="2">
        <f>HYPERLINK("https://tidesandcurrents.noaa.gov/datums.html?datum=MLLW&amp;units=0&amp;epoch=0&amp;id=9440581", "Datum Info")</f>
        <v>0</v>
      </c>
      <c r="O557" s="1" t="s">
        <v>886</v>
      </c>
      <c r="P557" s="1">
        <v>8.07</v>
      </c>
      <c r="Q557" s="1">
        <v>7.37</v>
      </c>
      <c r="R557" s="1">
        <v>4.36</v>
      </c>
      <c r="S557" s="1">
        <v>4.3</v>
      </c>
      <c r="T557" s="1">
        <v>4.03</v>
      </c>
      <c r="U557" s="1">
        <v>1.35</v>
      </c>
      <c r="V557" s="1">
        <v>0</v>
      </c>
      <c r="W557" s="1">
        <v>0.46</v>
      </c>
      <c r="X557" s="1">
        <v>-52.27</v>
      </c>
      <c r="Y557" s="1" t="s">
        <v>1326</v>
      </c>
      <c r="Z557" s="1" t="s">
        <v>1581</v>
      </c>
    </row>
    <row r="558" spans="1:26">
      <c r="A558" s="1" t="s">
        <v>582</v>
      </c>
      <c r="B558" s="1" t="s">
        <v>641</v>
      </c>
      <c r="D558" s="1" t="s">
        <v>655</v>
      </c>
      <c r="H558" s="1">
        <f>HYPERLINK("https://tidesandcurrents.noaa.gov/stationhome.html?id=9440910", "9440910")</f>
        <v>0</v>
      </c>
      <c r="I558" s="1">
        <v>-123.967</v>
      </c>
      <c r="J558" s="1">
        <v>46.7075</v>
      </c>
      <c r="K558" s="1" t="s">
        <v>861</v>
      </c>
      <c r="L558" s="1" t="s">
        <v>866</v>
      </c>
      <c r="M558" s="1" t="s">
        <v>877</v>
      </c>
      <c r="N558" s="2">
        <f>HYPERLINK("https://tidesandcurrents.noaa.gov/datums.html?datum=MLLW&amp;units=0&amp;epoch=0&amp;id=9440910", "Datum Info")</f>
        <v>0</v>
      </c>
      <c r="O558" s="1" t="s">
        <v>886</v>
      </c>
      <c r="P558" s="1">
        <v>8.92</v>
      </c>
      <c r="Q558" s="1">
        <v>8.18</v>
      </c>
      <c r="R558" s="1">
        <v>4.78</v>
      </c>
      <c r="S558" s="1">
        <v>4.78</v>
      </c>
      <c r="T558" s="1">
        <v>4.46</v>
      </c>
      <c r="U558" s="1">
        <v>1.37</v>
      </c>
      <c r="V558" s="1">
        <v>0</v>
      </c>
      <c r="W558" s="1">
        <v>0.82</v>
      </c>
      <c r="X558" s="1">
        <v>-4.52</v>
      </c>
      <c r="Y558" s="1" t="s">
        <v>1327</v>
      </c>
      <c r="Z558" s="1" t="s">
        <v>1582</v>
      </c>
    </row>
    <row r="559" spans="1:26">
      <c r="A559" s="1" t="s">
        <v>583</v>
      </c>
      <c r="B559" s="1" t="s">
        <v>642</v>
      </c>
      <c r="C559" s="1" t="s">
        <v>651</v>
      </c>
      <c r="D559" s="1" t="s">
        <v>655</v>
      </c>
      <c r="H559" s="1">
        <f>HYPERLINK("https://tidesandcurrents.noaa.gov/stationhome.html?id=9441102", "9441102")</f>
        <v>0</v>
      </c>
      <c r="I559" s="1">
        <v>-124.105</v>
      </c>
      <c r="J559" s="1">
        <v>46.90431</v>
      </c>
      <c r="K559" s="1" t="s">
        <v>861</v>
      </c>
      <c r="L559" s="1" t="s">
        <v>866</v>
      </c>
      <c r="M559" s="1" t="s">
        <v>877</v>
      </c>
      <c r="N559" s="2">
        <f>HYPERLINK("https://tidesandcurrents.noaa.gov/datums.html?datum=MLLW&amp;units=0&amp;epoch=0&amp;id=9441102", "Datum Info")</f>
        <v>0</v>
      </c>
      <c r="O559" s="1" t="s">
        <v>886</v>
      </c>
      <c r="P559" s="1">
        <v>9.140000000000001</v>
      </c>
      <c r="Q559" s="1">
        <v>8.4</v>
      </c>
      <c r="R559" s="1">
        <v>4.9</v>
      </c>
      <c r="S559" s="1">
        <v>4.87</v>
      </c>
      <c r="T559" s="1">
        <v>4.57</v>
      </c>
      <c r="U559" s="1">
        <v>1.4</v>
      </c>
      <c r="V559" s="1">
        <v>0</v>
      </c>
      <c r="W559" s="1">
        <v>1.12</v>
      </c>
      <c r="X559" s="1">
        <v>-3</v>
      </c>
      <c r="Y559" s="1" t="s">
        <v>1328</v>
      </c>
      <c r="Z559" s="1" t="s">
        <v>1583</v>
      </c>
    </row>
    <row r="560" spans="1:26">
      <c r="A560" s="1" t="s">
        <v>584</v>
      </c>
      <c r="B560" s="1" t="s">
        <v>642</v>
      </c>
      <c r="D560" s="1" t="s">
        <v>655</v>
      </c>
      <c r="E560" s="1" t="s">
        <v>823</v>
      </c>
      <c r="F560" s="1" t="s">
        <v>853</v>
      </c>
      <c r="G560" s="1" t="s">
        <v>858</v>
      </c>
      <c r="H560" s="1">
        <f>HYPERLINK("https://tidesandcurrents.noaa.gov/stationhome.html?id=9441187", "9441187")</f>
        <v>0</v>
      </c>
      <c r="I560" s="1">
        <v>-123.853</v>
      </c>
      <c r="J560" s="1">
        <v>46.9683</v>
      </c>
      <c r="K560" s="1" t="s">
        <v>860</v>
      </c>
      <c r="L560" s="1" t="s">
        <v>866</v>
      </c>
      <c r="M560" s="1" t="s">
        <v>877</v>
      </c>
      <c r="N560" s="2">
        <f>HYPERLINK("https://tidesandcurrents.noaa.gov/datums.html?datum=MLLW&amp;units=0&amp;epoch=0&amp;id=9441187", "Datum Info")</f>
        <v>0</v>
      </c>
      <c r="O560" s="1" t="s">
        <v>886</v>
      </c>
      <c r="P560" s="1">
        <v>10.11</v>
      </c>
      <c r="Q560" s="1">
        <v>9.41</v>
      </c>
      <c r="R560" s="1">
        <v>5.44</v>
      </c>
      <c r="S560" s="1">
        <v>5.6</v>
      </c>
      <c r="T560" s="1">
        <v>5.05</v>
      </c>
      <c r="U560" s="1">
        <v>1.47</v>
      </c>
      <c r="V560" s="1">
        <v>0</v>
      </c>
      <c r="W560" s="1">
        <v>1.64</v>
      </c>
      <c r="X560" s="1">
        <v>-7.04</v>
      </c>
      <c r="Y560" s="1" t="s">
        <v>1329</v>
      </c>
      <c r="Z560" s="1" t="s">
        <v>1584</v>
      </c>
    </row>
    <row r="561" spans="1:26">
      <c r="A561" s="1" t="s">
        <v>585</v>
      </c>
      <c r="B561" s="1" t="s">
        <v>642</v>
      </c>
      <c r="C561" s="1" t="s">
        <v>651</v>
      </c>
      <c r="D561" s="1" t="s">
        <v>655</v>
      </c>
      <c r="E561" s="1" t="s">
        <v>823</v>
      </c>
      <c r="F561" s="1" t="s">
        <v>853</v>
      </c>
      <c r="G561" s="1" t="s">
        <v>858</v>
      </c>
      <c r="H561" s="1">
        <f>HYPERLINK("https://tidesandcurrents.noaa.gov/stationhome.html?id=9441644", "9441644")</f>
        <v>0</v>
      </c>
      <c r="I561" s="1">
        <v>-124.285</v>
      </c>
      <c r="J561" s="1">
        <v>47.34833</v>
      </c>
      <c r="K561" s="1" t="s">
        <v>861</v>
      </c>
      <c r="L561" s="1" t="s">
        <v>866</v>
      </c>
      <c r="M561" s="1" t="s">
        <v>877</v>
      </c>
      <c r="N561" s="2">
        <f>HYPERLINK("https://tidesandcurrents.noaa.gov/datums.html?datum=MHHW&amp;units=0&amp;epoch=0&amp;id=9441644", "Datum Info")</f>
        <v>0</v>
      </c>
      <c r="O561" s="1" t="s">
        <v>880</v>
      </c>
      <c r="P561" s="1">
        <v>0</v>
      </c>
      <c r="Q561" s="1">
        <v>-0.7</v>
      </c>
      <c r="X561" s="1">
        <v>-33.15</v>
      </c>
    </row>
    <row r="562" spans="1:26">
      <c r="A562" s="1" t="s">
        <v>586</v>
      </c>
      <c r="B562" s="1" t="s">
        <v>642</v>
      </c>
      <c r="D562" s="1" t="s">
        <v>655</v>
      </c>
      <c r="E562" s="1" t="s">
        <v>824</v>
      </c>
      <c r="F562" s="1" t="s">
        <v>853</v>
      </c>
      <c r="G562" s="1" t="s">
        <v>858</v>
      </c>
      <c r="H562" s="1">
        <f>HYPERLINK("https://tidesandcurrents.noaa.gov/stationhome.html?id=9442396", "9442396")</f>
        <v>0</v>
      </c>
      <c r="I562" s="1">
        <v>-124.637</v>
      </c>
      <c r="J562" s="1">
        <v>47.913</v>
      </c>
      <c r="K562" s="1" t="s">
        <v>861</v>
      </c>
      <c r="L562" s="1" t="s">
        <v>866</v>
      </c>
      <c r="M562" s="1" t="s">
        <v>877</v>
      </c>
      <c r="N562" s="2">
        <f>HYPERLINK("https://tidesandcurrents.noaa.gov/datums.html?datum=MLLW&amp;units=0&amp;epoch=0&amp;id=9442396", "Datum Info")</f>
        <v>0</v>
      </c>
      <c r="O562" s="1" t="s">
        <v>886</v>
      </c>
      <c r="P562" s="1">
        <v>8.52</v>
      </c>
      <c r="Q562" s="1">
        <v>7.81</v>
      </c>
      <c r="R562" s="1">
        <v>4.6</v>
      </c>
      <c r="S562" s="1">
        <v>4.58</v>
      </c>
      <c r="T562" s="1">
        <v>4.26</v>
      </c>
      <c r="U562" s="1">
        <v>1.38</v>
      </c>
      <c r="V562" s="1">
        <v>0</v>
      </c>
      <c r="W562" s="1">
        <v>1.45</v>
      </c>
      <c r="X562" s="1">
        <v>-5.17</v>
      </c>
      <c r="Y562" s="1" t="s">
        <v>1330</v>
      </c>
      <c r="Z562" s="1" t="s">
        <v>1585</v>
      </c>
    </row>
    <row r="563" spans="1:26">
      <c r="A563" s="1" t="s">
        <v>587</v>
      </c>
      <c r="B563" s="1" t="s">
        <v>642</v>
      </c>
      <c r="D563" s="1" t="s">
        <v>655</v>
      </c>
      <c r="H563" s="1">
        <f>HYPERLINK("https://tidesandcurrents.noaa.gov/stationhome.html?id=9443090", "9443090")</f>
        <v>0</v>
      </c>
      <c r="I563" s="1">
        <v>-124.602</v>
      </c>
      <c r="J563" s="1">
        <v>48.37028</v>
      </c>
      <c r="K563" s="1" t="s">
        <v>861</v>
      </c>
      <c r="L563" s="1" t="s">
        <v>866</v>
      </c>
      <c r="M563" s="1" t="s">
        <v>877</v>
      </c>
      <c r="N563" s="2">
        <f>HYPERLINK("https://tidesandcurrents.noaa.gov/datums.html?datum=MLLW&amp;units=0&amp;epoch=0&amp;id=9443090", "Datum Info")</f>
        <v>0</v>
      </c>
      <c r="O563" s="1" t="s">
        <v>886</v>
      </c>
      <c r="P563" s="1">
        <v>7.96</v>
      </c>
      <c r="Q563" s="1">
        <v>7.11</v>
      </c>
      <c r="R563" s="1">
        <v>4.36</v>
      </c>
      <c r="S563" s="1">
        <v>4.32</v>
      </c>
      <c r="T563" s="1">
        <v>3.98</v>
      </c>
      <c r="U563" s="1">
        <v>1.6</v>
      </c>
      <c r="V563" s="1">
        <v>0</v>
      </c>
      <c r="W563" s="1">
        <v>0.84</v>
      </c>
      <c r="X563" s="1">
        <v>-2</v>
      </c>
      <c r="Y563" s="1" t="s">
        <v>1331</v>
      </c>
      <c r="Z563" s="1" t="s">
        <v>1586</v>
      </c>
    </row>
    <row r="564" spans="1:26">
      <c r="A564" s="1" t="s">
        <v>588</v>
      </c>
      <c r="B564" s="1" t="s">
        <v>642</v>
      </c>
      <c r="C564" s="1" t="s">
        <v>651</v>
      </c>
      <c r="D564" s="1" t="s">
        <v>655</v>
      </c>
      <c r="H564" s="1">
        <f>HYPERLINK("https://tidesandcurrents.noaa.gov/stationhome.html?id=9444090", "9444090")</f>
        <v>0</v>
      </c>
      <c r="I564" s="1">
        <v>-123.44</v>
      </c>
      <c r="J564" s="1">
        <v>48.125</v>
      </c>
      <c r="K564" s="1" t="s">
        <v>861</v>
      </c>
      <c r="L564" s="1" t="s">
        <v>866</v>
      </c>
      <c r="M564" s="1" t="s">
        <v>877</v>
      </c>
      <c r="N564" s="2">
        <f>HYPERLINK("https://tidesandcurrents.noaa.gov/datums.html?datum=MLLW&amp;units=0&amp;epoch=0&amp;id=9444090", "Datum Info")</f>
        <v>0</v>
      </c>
      <c r="O564" s="1" t="s">
        <v>886</v>
      </c>
      <c r="P564" s="1">
        <v>7.06</v>
      </c>
      <c r="Q564" s="1">
        <v>6.51</v>
      </c>
      <c r="R564" s="1">
        <v>4.21</v>
      </c>
      <c r="S564" s="1">
        <v>4.24</v>
      </c>
      <c r="T564" s="1">
        <v>3.53</v>
      </c>
      <c r="U564" s="1">
        <v>1.92</v>
      </c>
      <c r="V564" s="1">
        <v>0</v>
      </c>
      <c r="W564" s="1">
        <v>0.42</v>
      </c>
      <c r="X564" s="1">
        <v>-30.32</v>
      </c>
      <c r="Y564" s="1" t="s">
        <v>1332</v>
      </c>
      <c r="Z564" s="1" t="s">
        <v>1587</v>
      </c>
    </row>
    <row r="565" spans="1:26">
      <c r="A565" s="1" t="s">
        <v>589</v>
      </c>
      <c r="B565" s="1" t="s">
        <v>642</v>
      </c>
      <c r="C565" s="1" t="s">
        <v>651</v>
      </c>
      <c r="D565" s="1" t="s">
        <v>655</v>
      </c>
      <c r="E565" s="1" t="s">
        <v>758</v>
      </c>
      <c r="F565" s="1" t="s">
        <v>853</v>
      </c>
      <c r="G565" s="1" t="s">
        <v>858</v>
      </c>
      <c r="H565" s="1">
        <f>HYPERLINK("https://tidesandcurrents.noaa.gov/stationhome.html?id=9444900", "9444900")</f>
        <v>0</v>
      </c>
      <c r="I565" s="1">
        <v>-122.76</v>
      </c>
      <c r="J565" s="1">
        <v>48.1129</v>
      </c>
      <c r="K565" s="1" t="s">
        <v>861</v>
      </c>
      <c r="L565" s="1" t="s">
        <v>866</v>
      </c>
      <c r="M565" s="1" t="s">
        <v>877</v>
      </c>
      <c r="N565" s="2">
        <f>HYPERLINK("https://tidesandcurrents.noaa.gov/datums.html?datum=MLLW&amp;units=0&amp;epoch=0&amp;id=9444900", "Datum Info")</f>
        <v>0</v>
      </c>
      <c r="O565" s="1" t="s">
        <v>886</v>
      </c>
      <c r="P565" s="1">
        <v>8.52</v>
      </c>
      <c r="Q565" s="1">
        <v>7.84</v>
      </c>
      <c r="R565" s="1">
        <v>5.17</v>
      </c>
      <c r="S565" s="1">
        <v>5</v>
      </c>
      <c r="T565" s="1">
        <v>4.26</v>
      </c>
      <c r="U565" s="1">
        <v>2.5</v>
      </c>
      <c r="V565" s="1">
        <v>0</v>
      </c>
      <c r="W565" s="1" t="s">
        <v>1064</v>
      </c>
      <c r="X565" s="1">
        <v>-3.36</v>
      </c>
      <c r="Y565" s="1" t="s">
        <v>1333</v>
      </c>
      <c r="Z565" s="1" t="s">
        <v>1588</v>
      </c>
    </row>
    <row r="566" spans="1:26">
      <c r="A566" s="1" t="s">
        <v>590</v>
      </c>
      <c r="B566" s="1" t="s">
        <v>642</v>
      </c>
      <c r="D566" s="1" t="s">
        <v>655</v>
      </c>
      <c r="H566" s="1">
        <f>HYPERLINK("https://tidesandcurrents.noaa.gov/stationhome.html?id=9445958", "9445958")</f>
        <v>0</v>
      </c>
      <c r="I566" s="1">
        <v>-122.623</v>
      </c>
      <c r="J566" s="1">
        <v>47.5617</v>
      </c>
      <c r="K566" s="1" t="s">
        <v>860</v>
      </c>
      <c r="L566" s="1" t="s">
        <v>866</v>
      </c>
      <c r="M566" s="1" t="s">
        <v>877</v>
      </c>
      <c r="N566" s="2">
        <f>HYPERLINK("https://tidesandcurrents.noaa.gov/datums.html?datum=MLLW&amp;units=0&amp;epoch=0&amp;id=9445958", "Datum Info")</f>
        <v>0</v>
      </c>
      <c r="O566" s="1" t="s">
        <v>886</v>
      </c>
      <c r="P566" s="1">
        <v>11.71</v>
      </c>
      <c r="Q566" s="1">
        <v>10.81</v>
      </c>
      <c r="R566" s="1">
        <v>6.82</v>
      </c>
      <c r="S566" s="1">
        <v>6.79</v>
      </c>
      <c r="T566" s="1">
        <v>5.85</v>
      </c>
      <c r="U566" s="1">
        <v>2.83</v>
      </c>
      <c r="V566" s="1">
        <v>0</v>
      </c>
      <c r="W566" s="1" t="s">
        <v>1065</v>
      </c>
      <c r="X566" s="1">
        <v>-11.44</v>
      </c>
      <c r="Y566" s="1" t="s">
        <v>1334</v>
      </c>
      <c r="Z566" s="1" t="s">
        <v>1589</v>
      </c>
    </row>
    <row r="567" spans="1:26">
      <c r="A567" s="1" t="s">
        <v>591</v>
      </c>
      <c r="B567" s="1" t="s">
        <v>642</v>
      </c>
      <c r="D567" s="1" t="s">
        <v>655</v>
      </c>
      <c r="H567" s="1">
        <f>HYPERLINK("https://tidesandcurrents.noaa.gov/stationhome.html?id=9446291", "9446291")</f>
        <v>0</v>
      </c>
      <c r="I567" s="1">
        <v>-122.634</v>
      </c>
      <c r="J567" s="1">
        <v>47.3783</v>
      </c>
      <c r="K567" s="1" t="s">
        <v>861</v>
      </c>
      <c r="L567" s="1" t="s">
        <v>866</v>
      </c>
      <c r="M567" s="1" t="s">
        <v>877</v>
      </c>
      <c r="N567" s="2">
        <f>HYPERLINK("https://tidesandcurrents.noaa.gov/datums.html?datum=MLLW&amp;units=0&amp;epoch=0&amp;id=9446291", "Datum Info")</f>
        <v>0</v>
      </c>
      <c r="O567" s="1" t="s">
        <v>886</v>
      </c>
      <c r="P567" s="1">
        <v>13.51</v>
      </c>
      <c r="Q567" s="1">
        <v>12.58</v>
      </c>
      <c r="R567" s="1">
        <v>7.76</v>
      </c>
      <c r="S567" s="1">
        <v>7.64</v>
      </c>
      <c r="T567" s="1">
        <v>6.76</v>
      </c>
      <c r="U567" s="1">
        <v>2.94</v>
      </c>
      <c r="V567" s="1">
        <v>0</v>
      </c>
      <c r="W567" s="1" t="s">
        <v>1066</v>
      </c>
      <c r="X567" s="1">
        <v>-8.19</v>
      </c>
      <c r="Y567" s="1" t="s">
        <v>1335</v>
      </c>
      <c r="Z567" s="1" t="s">
        <v>1590</v>
      </c>
    </row>
    <row r="568" spans="1:26">
      <c r="A568" s="1" t="s">
        <v>592</v>
      </c>
      <c r="B568" s="1" t="s">
        <v>642</v>
      </c>
      <c r="C568" s="1" t="s">
        <v>651</v>
      </c>
      <c r="D568" s="1" t="s">
        <v>655</v>
      </c>
      <c r="H568" s="1">
        <f>HYPERLINK("https://tidesandcurrents.noaa.gov/stationhome.html?id=9446484", "9446484")</f>
        <v>0</v>
      </c>
      <c r="I568" s="1">
        <v>-122.413</v>
      </c>
      <c r="J568" s="1">
        <v>47.27</v>
      </c>
      <c r="K568" s="1" t="s">
        <v>861</v>
      </c>
      <c r="L568" s="1" t="s">
        <v>866</v>
      </c>
      <c r="M568" s="1" t="s">
        <v>877</v>
      </c>
      <c r="N568" s="2">
        <f>HYPERLINK("https://tidesandcurrents.noaa.gov/datums.html?datum=MLLW&amp;units=0&amp;epoch=0&amp;id=9446484", "Datum Info")</f>
        <v>0</v>
      </c>
      <c r="O568" s="1" t="s">
        <v>886</v>
      </c>
      <c r="P568" s="1">
        <v>11.78</v>
      </c>
      <c r="Q568" s="1">
        <v>10.9</v>
      </c>
      <c r="R568" s="1">
        <v>6.87</v>
      </c>
      <c r="S568" s="1">
        <v>6.84</v>
      </c>
      <c r="T568" s="1">
        <v>5.89</v>
      </c>
      <c r="U568" s="1">
        <v>2.84</v>
      </c>
      <c r="V568" s="1">
        <v>0</v>
      </c>
      <c r="W568" s="1">
        <v>2.39</v>
      </c>
      <c r="X568" s="1">
        <v>-0.62</v>
      </c>
      <c r="Y568" s="1" t="s">
        <v>1336</v>
      </c>
      <c r="Z568" s="1" t="s">
        <v>1591</v>
      </c>
    </row>
    <row r="569" spans="1:26">
      <c r="A569" s="1" t="s">
        <v>593</v>
      </c>
      <c r="B569" s="1" t="s">
        <v>642</v>
      </c>
      <c r="D569" s="1" t="s">
        <v>655</v>
      </c>
      <c r="H569" s="1">
        <f>HYPERLINK("https://tidesandcurrents.noaa.gov/stationhome.html?id=9446705", "9446705")</f>
        <v>0</v>
      </c>
      <c r="I569" s="1">
        <v>-122.675</v>
      </c>
      <c r="J569" s="1">
        <v>47.18</v>
      </c>
      <c r="K569" s="1" t="s">
        <v>861</v>
      </c>
      <c r="L569" s="1" t="s">
        <v>866</v>
      </c>
      <c r="M569" s="1" t="s">
        <v>877</v>
      </c>
      <c r="N569" s="2">
        <f>HYPERLINK("https://tidesandcurrents.noaa.gov/datums.html?datum=MLLW&amp;units=0&amp;epoch=0&amp;id=9446705", "Datum Info")</f>
        <v>0</v>
      </c>
      <c r="O569" s="1" t="s">
        <v>886</v>
      </c>
      <c r="P569" s="1">
        <v>13.48</v>
      </c>
      <c r="Q569" s="1">
        <v>12.55</v>
      </c>
      <c r="R569" s="1">
        <v>7.75</v>
      </c>
      <c r="S569" s="1">
        <v>7.71</v>
      </c>
      <c r="T569" s="1">
        <v>6.74</v>
      </c>
      <c r="U569" s="1">
        <v>2.94</v>
      </c>
      <c r="V569" s="1">
        <v>0</v>
      </c>
      <c r="W569" s="1" t="s">
        <v>1067</v>
      </c>
      <c r="X569" s="1">
        <v>-1.14</v>
      </c>
      <c r="Y569" s="1" t="s">
        <v>1337</v>
      </c>
      <c r="Z569" s="1" t="s">
        <v>1592</v>
      </c>
    </row>
    <row r="570" spans="1:26">
      <c r="A570" s="1" t="s">
        <v>594</v>
      </c>
      <c r="B570" s="1" t="s">
        <v>642</v>
      </c>
      <c r="C570" s="1" t="s">
        <v>651</v>
      </c>
      <c r="D570" s="1" t="s">
        <v>655</v>
      </c>
      <c r="E570" s="1" t="s">
        <v>825</v>
      </c>
      <c r="F570" s="1" t="s">
        <v>853</v>
      </c>
      <c r="G570" s="1" t="s">
        <v>858</v>
      </c>
      <c r="H570" s="1">
        <f>HYPERLINK("https://tidesandcurrents.noaa.gov/stationhome.html?id=9447029", "9447029")</f>
        <v>0</v>
      </c>
      <c r="I570" s="1">
        <v>-122.316</v>
      </c>
      <c r="J570" s="1">
        <v>47.5304</v>
      </c>
      <c r="K570" s="1" t="s">
        <v>861</v>
      </c>
      <c r="L570" s="1" t="s">
        <v>866</v>
      </c>
      <c r="M570" s="1" t="s">
        <v>877</v>
      </c>
      <c r="N570" s="2">
        <f>HYPERLINK("https://tidesandcurrents.noaa.gov/datums.html?datum=MLLW&amp;units=0&amp;epoch=0&amp;id=9447029", "Datum Info")</f>
        <v>0</v>
      </c>
    </row>
    <row r="571" spans="1:26">
      <c r="A571" s="1" t="s">
        <v>595</v>
      </c>
      <c r="B571" s="1" t="s">
        <v>642</v>
      </c>
      <c r="C571" s="1" t="s">
        <v>651</v>
      </c>
      <c r="D571" s="1" t="s">
        <v>655</v>
      </c>
      <c r="E571" s="1" t="s">
        <v>825</v>
      </c>
      <c r="F571" s="1" t="s">
        <v>853</v>
      </c>
      <c r="G571" s="1" t="s">
        <v>858</v>
      </c>
      <c r="H571" s="1">
        <f>HYPERLINK("https://tidesandcurrents.noaa.gov/stationhome.html?id=9447130", "9447130")</f>
        <v>0</v>
      </c>
      <c r="I571" s="1">
        <v>-122.339</v>
      </c>
      <c r="J571" s="1">
        <v>47.60194</v>
      </c>
      <c r="K571" s="1" t="s">
        <v>861</v>
      </c>
      <c r="L571" s="1" t="s">
        <v>866</v>
      </c>
      <c r="M571" s="1" t="s">
        <v>877</v>
      </c>
      <c r="N571" s="2">
        <f>HYPERLINK("https://tidesandcurrents.noaa.gov/datums.html?datum=MLLW&amp;units=0&amp;epoch=0&amp;id=9447130", "Datum Info")</f>
        <v>0</v>
      </c>
      <c r="O571" s="1" t="s">
        <v>886</v>
      </c>
      <c r="P571" s="1">
        <v>11.36</v>
      </c>
      <c r="Q571" s="1">
        <v>10.49</v>
      </c>
      <c r="R571" s="1">
        <v>6.66</v>
      </c>
      <c r="S571" s="1">
        <v>6.64</v>
      </c>
      <c r="T571" s="1">
        <v>5.68</v>
      </c>
      <c r="U571" s="1">
        <v>2.83</v>
      </c>
      <c r="V571" s="1">
        <v>0</v>
      </c>
      <c r="W571" s="1">
        <v>2.34</v>
      </c>
      <c r="X571" s="1">
        <v>-7.94</v>
      </c>
      <c r="Y571" s="1" t="s">
        <v>1338</v>
      </c>
      <c r="Z571" s="1" t="s">
        <v>1593</v>
      </c>
    </row>
    <row r="572" spans="1:26">
      <c r="A572" s="1" t="s">
        <v>596</v>
      </c>
      <c r="B572" s="1" t="s">
        <v>642</v>
      </c>
      <c r="D572" s="1" t="s">
        <v>655</v>
      </c>
      <c r="H572" s="1">
        <f>HYPERLINK("https://tidesandcurrents.noaa.gov/stationhome.html?id=9447214", "9447214")</f>
        <v>0</v>
      </c>
      <c r="I572" s="1">
        <v>-122.42</v>
      </c>
      <c r="J572" s="1">
        <v>47.67</v>
      </c>
      <c r="K572" s="1" t="s">
        <v>861</v>
      </c>
      <c r="L572" s="1" t="s">
        <v>866</v>
      </c>
      <c r="M572" s="1" t="s">
        <v>877</v>
      </c>
      <c r="N572" s="2">
        <f>HYPERLINK("https://tidesandcurrents.noaa.gov/datums.html?datum=MLLW&amp;units=0&amp;epoch=0&amp;id=9447214", "Datum Info")</f>
        <v>0</v>
      </c>
    </row>
    <row r="573" spans="1:26">
      <c r="A573" s="1" t="s">
        <v>597</v>
      </c>
      <c r="B573" s="1" t="s">
        <v>642</v>
      </c>
      <c r="D573" s="1" t="s">
        <v>655</v>
      </c>
      <c r="H573" s="1">
        <f>HYPERLINK("https://tidesandcurrents.noaa.gov/stationhome.html?id=9447883", "9447883")</f>
        <v>0</v>
      </c>
      <c r="I573" s="1">
        <v>-122.57</v>
      </c>
      <c r="J573" s="1">
        <v>48.105</v>
      </c>
      <c r="K573" s="1" t="s">
        <v>861</v>
      </c>
      <c r="L573" s="1" t="s">
        <v>866</v>
      </c>
      <c r="M573" s="1" t="s">
        <v>877</v>
      </c>
      <c r="N573" s="2">
        <f>HYPERLINK("https://tidesandcurrents.noaa.gov/datums.html?datum=MLLW&amp;units=0&amp;epoch=0&amp;id=9447883", "Datum Info")</f>
        <v>0</v>
      </c>
      <c r="O573" s="1" t="s">
        <v>886</v>
      </c>
      <c r="P573" s="1">
        <v>11.35</v>
      </c>
      <c r="Q573" s="1">
        <v>10.49</v>
      </c>
      <c r="R573" s="1">
        <v>6.63</v>
      </c>
      <c r="S573" s="1">
        <v>6.61</v>
      </c>
      <c r="T573" s="1">
        <v>5.68</v>
      </c>
      <c r="U573" s="1">
        <v>2.78</v>
      </c>
      <c r="V573" s="1">
        <v>0</v>
      </c>
      <c r="W573" s="1" t="s">
        <v>1068</v>
      </c>
      <c r="X573" s="1">
        <v>-12.34</v>
      </c>
      <c r="Y573" s="1" t="s">
        <v>1339</v>
      </c>
      <c r="Z573" s="1" t="s">
        <v>1594</v>
      </c>
    </row>
    <row r="574" spans="1:26">
      <c r="A574" s="1" t="s">
        <v>598</v>
      </c>
      <c r="B574" s="1" t="s">
        <v>642</v>
      </c>
      <c r="D574" s="1" t="s">
        <v>655</v>
      </c>
      <c r="E574" s="1" t="s">
        <v>826</v>
      </c>
      <c r="F574" s="1" t="s">
        <v>853</v>
      </c>
      <c r="G574" s="1" t="s">
        <v>858</v>
      </c>
      <c r="H574" s="1">
        <f>HYPERLINK("https://tidesandcurrents.noaa.gov/stationhome.html?id=9448682", "9448682")</f>
        <v>0</v>
      </c>
      <c r="I574" s="1">
        <v>-122.513</v>
      </c>
      <c r="J574" s="1">
        <v>48.4583</v>
      </c>
      <c r="K574" s="1" t="s">
        <v>861</v>
      </c>
      <c r="L574" s="1" t="s">
        <v>866</v>
      </c>
      <c r="M574" s="1" t="s">
        <v>877</v>
      </c>
      <c r="N574" s="2">
        <f>HYPERLINK("https://tidesandcurrents.noaa.gov/datums.html?datum=MLLW&amp;units=0&amp;epoch=0&amp;id=9448682", "Datum Info")</f>
        <v>0</v>
      </c>
      <c r="O574" s="1" t="s">
        <v>886</v>
      </c>
      <c r="P574" s="1">
        <v>8.73</v>
      </c>
      <c r="Q574" s="1">
        <v>7.94</v>
      </c>
      <c r="R574" s="1">
        <v>5.22</v>
      </c>
      <c r="S574" s="1">
        <v>5.04</v>
      </c>
      <c r="T574" s="1">
        <v>4.37</v>
      </c>
      <c r="U574" s="1">
        <v>2.5</v>
      </c>
      <c r="V574" s="1">
        <v>0</v>
      </c>
      <c r="W574" s="1" t="s">
        <v>1069</v>
      </c>
      <c r="X574" s="1">
        <v>-24.88</v>
      </c>
      <c r="Y574" s="1" t="s">
        <v>1340</v>
      </c>
      <c r="Z574" s="1" t="s">
        <v>1595</v>
      </c>
    </row>
    <row r="575" spans="1:26">
      <c r="A575" s="1" t="s">
        <v>599</v>
      </c>
      <c r="B575" s="1" t="s">
        <v>642</v>
      </c>
      <c r="D575" s="1" t="s">
        <v>655</v>
      </c>
      <c r="H575" s="1">
        <f>HYPERLINK("https://tidesandcurrents.noaa.gov/stationhome.html?id=9449424", "9449424")</f>
        <v>0</v>
      </c>
      <c r="I575" s="1">
        <v>-122.758</v>
      </c>
      <c r="J575" s="1">
        <v>48.8633</v>
      </c>
      <c r="K575" s="1" t="s">
        <v>861</v>
      </c>
      <c r="L575" s="1" t="s">
        <v>866</v>
      </c>
      <c r="M575" s="1" t="s">
        <v>877</v>
      </c>
      <c r="N575" s="2">
        <f>HYPERLINK("https://tidesandcurrents.noaa.gov/datums.html?datum=MLLW&amp;units=0&amp;epoch=0&amp;id=9449424", "Datum Info")</f>
        <v>0</v>
      </c>
      <c r="O575" s="1" t="s">
        <v>886</v>
      </c>
      <c r="P575" s="1">
        <v>9.15</v>
      </c>
      <c r="Q575" s="1">
        <v>8.32</v>
      </c>
      <c r="R575" s="1">
        <v>5.47</v>
      </c>
      <c r="S575" s="1">
        <v>5.28</v>
      </c>
      <c r="T575" s="1">
        <v>4.57</v>
      </c>
      <c r="U575" s="1">
        <v>2.61</v>
      </c>
      <c r="V575" s="1">
        <v>0</v>
      </c>
      <c r="W575" s="1" t="s">
        <v>1070</v>
      </c>
      <c r="X575" s="1">
        <v>-6.34</v>
      </c>
      <c r="Y575" s="1" t="s">
        <v>1341</v>
      </c>
      <c r="Z575" s="1" t="s">
        <v>1596</v>
      </c>
    </row>
    <row r="576" spans="1:26">
      <c r="A576" s="1" t="s">
        <v>600</v>
      </c>
      <c r="B576" s="1" t="s">
        <v>642</v>
      </c>
      <c r="C576" s="1" t="s">
        <v>651</v>
      </c>
      <c r="D576" s="1" t="s">
        <v>655</v>
      </c>
      <c r="E576" s="1" t="s">
        <v>827</v>
      </c>
      <c r="F576" s="1" t="s">
        <v>853</v>
      </c>
      <c r="G576" s="1" t="s">
        <v>858</v>
      </c>
      <c r="H576" s="1">
        <f>HYPERLINK("https://tidesandcurrents.noaa.gov/stationhome.html?id=9449639", "9449639")</f>
        <v>0</v>
      </c>
      <c r="I576" s="1">
        <v>-123.083</v>
      </c>
      <c r="J576" s="1">
        <v>48.975</v>
      </c>
      <c r="K576" s="1" t="s">
        <v>861</v>
      </c>
      <c r="L576" s="1" t="s">
        <v>866</v>
      </c>
      <c r="M576" s="1" t="s">
        <v>877</v>
      </c>
      <c r="N576" s="2">
        <f>HYPERLINK("https://tidesandcurrents.noaa.gov/datums.html?datum=MLLW&amp;units=0&amp;epoch=0&amp;id=9449639", "Datum Info")</f>
        <v>0</v>
      </c>
      <c r="O576" s="1" t="s">
        <v>886</v>
      </c>
      <c r="P576" s="1">
        <v>9.789999999999999</v>
      </c>
      <c r="Q576" s="1">
        <v>8.92</v>
      </c>
      <c r="R576" s="1">
        <v>5.82</v>
      </c>
      <c r="S576" s="1">
        <v>5.64</v>
      </c>
      <c r="T576" s="1">
        <v>4.89</v>
      </c>
      <c r="U576" s="1">
        <v>2.71</v>
      </c>
      <c r="V576" s="1">
        <v>0</v>
      </c>
      <c r="W576" s="1" t="s">
        <v>1071</v>
      </c>
      <c r="X576" s="1">
        <v>-16.48</v>
      </c>
      <c r="Y576" s="1" t="s">
        <v>1342</v>
      </c>
      <c r="Z576" s="1" t="s">
        <v>1597</v>
      </c>
    </row>
    <row r="577" spans="1:26">
      <c r="A577" s="1" t="s">
        <v>601</v>
      </c>
      <c r="B577" s="1" t="s">
        <v>642</v>
      </c>
      <c r="C577" s="1" t="s">
        <v>651</v>
      </c>
      <c r="D577" s="1" t="s">
        <v>655</v>
      </c>
      <c r="E577" s="1" t="s">
        <v>828</v>
      </c>
      <c r="F577" s="1" t="s">
        <v>853</v>
      </c>
      <c r="G577" s="1" t="s">
        <v>858</v>
      </c>
      <c r="H577" s="1">
        <f>HYPERLINK("https://tidesandcurrents.noaa.gov/stationhome.html?id=9449711", "9449711")</f>
        <v>0</v>
      </c>
      <c r="I577" s="1">
        <v>-122.87</v>
      </c>
      <c r="J577" s="1">
        <v>48.65</v>
      </c>
      <c r="K577" s="1" t="s">
        <v>861</v>
      </c>
      <c r="L577" s="1" t="s">
        <v>866</v>
      </c>
      <c r="M577" s="1" t="s">
        <v>877</v>
      </c>
      <c r="N577" s="2">
        <f>HYPERLINK("https://tidesandcurrents.noaa.gov/datums.html?datum=MLLW&amp;units=0&amp;epoch=0&amp;id=9449711", "Datum Info")</f>
        <v>0</v>
      </c>
    </row>
    <row r="578" spans="1:26">
      <c r="A578" s="1" t="s">
        <v>602</v>
      </c>
      <c r="B578" s="1" t="s">
        <v>642</v>
      </c>
      <c r="C578" s="1" t="s">
        <v>651</v>
      </c>
      <c r="D578" s="1" t="s">
        <v>655</v>
      </c>
      <c r="E578" s="1" t="s">
        <v>828</v>
      </c>
      <c r="F578" s="1" t="s">
        <v>853</v>
      </c>
      <c r="G578" s="1" t="s">
        <v>858</v>
      </c>
      <c r="H578" s="1">
        <f>HYPERLINK("https://tidesandcurrents.noaa.gov/stationhome.html?id=9449856", "9449856")</f>
        <v>0</v>
      </c>
      <c r="I578" s="1">
        <v>-123.083</v>
      </c>
      <c r="J578" s="1">
        <v>48.485</v>
      </c>
      <c r="K578" s="1" t="s">
        <v>861</v>
      </c>
      <c r="L578" s="1" t="s">
        <v>866</v>
      </c>
      <c r="M578" s="1" t="s">
        <v>877</v>
      </c>
      <c r="N578" s="2">
        <f>HYPERLINK("https://tidesandcurrents.noaa.gov/datums.html?datum=MLLW&amp;units=0&amp;epoch=0&amp;id=9449856", "Datum Info")</f>
        <v>0</v>
      </c>
      <c r="O578" s="1" t="s">
        <v>886</v>
      </c>
      <c r="P578" s="1">
        <v>7.33</v>
      </c>
      <c r="Q578" s="1">
        <v>6.75</v>
      </c>
      <c r="R578" s="1">
        <v>4.48</v>
      </c>
      <c r="S578" s="1">
        <v>4.39</v>
      </c>
      <c r="T578" s="1">
        <v>3.66</v>
      </c>
      <c r="U578" s="1">
        <v>2.22</v>
      </c>
      <c r="V578" s="1">
        <v>0</v>
      </c>
      <c r="W578" s="1" t="s">
        <v>1072</v>
      </c>
      <c r="X578" s="1">
        <v>-19.23</v>
      </c>
      <c r="Y578" s="1" t="s">
        <v>1343</v>
      </c>
      <c r="Z578" s="1" t="s">
        <v>1598</v>
      </c>
    </row>
    <row r="579" spans="1:26">
      <c r="A579" s="1" t="s">
        <v>603</v>
      </c>
      <c r="B579" s="1" t="s">
        <v>642</v>
      </c>
      <c r="C579" s="1" t="s">
        <v>651</v>
      </c>
      <c r="D579" s="1" t="s">
        <v>655</v>
      </c>
      <c r="E579" s="1" t="s">
        <v>828</v>
      </c>
      <c r="F579" s="1" t="s">
        <v>853</v>
      </c>
      <c r="G579" s="1" t="s">
        <v>858</v>
      </c>
      <c r="H579" s="1">
        <f>HYPERLINK("https://tidesandcurrents.noaa.gov/stationhome.html?id=9449880", "9449880")</f>
        <v>0</v>
      </c>
      <c r="I579" s="1">
        <v>-123.01</v>
      </c>
      <c r="J579" s="1">
        <v>48.5467</v>
      </c>
      <c r="K579" s="1" t="s">
        <v>860</v>
      </c>
      <c r="L579" s="1" t="s">
        <v>866</v>
      </c>
      <c r="M579" s="1" t="s">
        <v>877</v>
      </c>
      <c r="N579" s="2">
        <f>HYPERLINK("https://tidesandcurrents.noaa.gov/datums.html?datum=MLLW&amp;units=0&amp;epoch=0&amp;id=9449880", "Datum Info")</f>
        <v>0</v>
      </c>
      <c r="O579" s="1" t="s">
        <v>886</v>
      </c>
      <c r="P579" s="1">
        <v>7.76</v>
      </c>
      <c r="Q579" s="1">
        <v>7.11</v>
      </c>
      <c r="R579" s="1">
        <v>4.7</v>
      </c>
      <c r="S579" s="1">
        <v>4.55</v>
      </c>
      <c r="T579" s="1">
        <v>3.88</v>
      </c>
      <c r="U579" s="1">
        <v>2.29</v>
      </c>
      <c r="V579" s="1">
        <v>0</v>
      </c>
      <c r="W579" s="1" t="s">
        <v>1073</v>
      </c>
      <c r="X579" s="1">
        <v>-3.85</v>
      </c>
      <c r="Y579" s="1" t="s">
        <v>1344</v>
      </c>
      <c r="Z579" s="1" t="s">
        <v>1599</v>
      </c>
    </row>
    <row r="580" spans="1:26">
      <c r="A580" s="1" t="s">
        <v>604</v>
      </c>
      <c r="B580" s="1" t="s">
        <v>642</v>
      </c>
      <c r="C580" s="1" t="s">
        <v>651</v>
      </c>
      <c r="D580" s="1" t="s">
        <v>655</v>
      </c>
      <c r="E580" s="1" t="s">
        <v>828</v>
      </c>
      <c r="F580" s="1" t="s">
        <v>853</v>
      </c>
      <c r="G580" s="1" t="s">
        <v>858</v>
      </c>
      <c r="H580" s="1">
        <f>HYPERLINK("https://tidesandcurrents.noaa.gov/stationhome.html?id=9449911", "9449911")</f>
        <v>0</v>
      </c>
      <c r="I580" s="1">
        <v>-122.885</v>
      </c>
      <c r="J580" s="1">
        <v>48.5717</v>
      </c>
      <c r="K580" s="1" t="s">
        <v>861</v>
      </c>
      <c r="L580" s="1" t="s">
        <v>866</v>
      </c>
      <c r="M580" s="1" t="s">
        <v>877</v>
      </c>
      <c r="N580" s="2">
        <f>HYPERLINK("https://tidesandcurrents.noaa.gov/datums.html?datum=MLLW&amp;units=0&amp;epoch=0&amp;id=9449911", "Datum Info")</f>
        <v>0</v>
      </c>
      <c r="O580" s="1" t="s">
        <v>886</v>
      </c>
      <c r="P580" s="1">
        <v>7.84</v>
      </c>
      <c r="Q580" s="1">
        <v>7.2</v>
      </c>
      <c r="R580" s="1">
        <v>4.75</v>
      </c>
      <c r="S580" s="1">
        <v>4.62</v>
      </c>
      <c r="T580" s="1">
        <v>3.92</v>
      </c>
      <c r="U580" s="1">
        <v>2.3</v>
      </c>
      <c r="V580" s="1">
        <v>0</v>
      </c>
      <c r="W580" s="1" t="s">
        <v>1073</v>
      </c>
      <c r="X580" s="1">
        <v>-20.18</v>
      </c>
      <c r="Y580" s="1" t="s">
        <v>1343</v>
      </c>
      <c r="Z580" s="1" t="s">
        <v>1600</v>
      </c>
    </row>
    <row r="581" spans="1:26">
      <c r="A581" s="1" t="s">
        <v>605</v>
      </c>
      <c r="B581" s="1" t="s">
        <v>642</v>
      </c>
      <c r="D581" s="1" t="s">
        <v>655</v>
      </c>
      <c r="E581" s="1" t="s">
        <v>828</v>
      </c>
      <c r="F581" s="1" t="s">
        <v>853</v>
      </c>
      <c r="G581" s="1" t="s">
        <v>858</v>
      </c>
      <c r="H581" s="1">
        <f>HYPERLINK("https://tidesandcurrents.noaa.gov/stationhome.html?id=9449932", "9449932")</f>
        <v>0</v>
      </c>
      <c r="I581" s="1">
        <v>-122.797</v>
      </c>
      <c r="J581" s="1">
        <v>48.535</v>
      </c>
      <c r="K581" s="1" t="s">
        <v>861</v>
      </c>
      <c r="L581" s="1" t="s">
        <v>866</v>
      </c>
      <c r="M581" s="1" t="s">
        <v>877</v>
      </c>
      <c r="N581" s="2">
        <f>HYPERLINK("https://tidesandcurrents.noaa.gov/datums.html?datum=MLLW&amp;units=0&amp;epoch=0&amp;id=9449932", "Datum Info")</f>
        <v>0</v>
      </c>
      <c r="O581" s="1" t="s">
        <v>886</v>
      </c>
      <c r="P581" s="1">
        <v>7.84</v>
      </c>
      <c r="Q581" s="1">
        <v>7.23</v>
      </c>
      <c r="R581" s="1">
        <v>4.77</v>
      </c>
      <c r="S581" s="1">
        <v>4.66</v>
      </c>
      <c r="T581" s="1">
        <v>3.92</v>
      </c>
      <c r="U581" s="1">
        <v>2.32</v>
      </c>
      <c r="V581" s="1">
        <v>0</v>
      </c>
      <c r="W581" s="1" t="s">
        <v>1074</v>
      </c>
      <c r="X581" s="1">
        <v>-4.05</v>
      </c>
      <c r="Y581" s="1" t="s">
        <v>1345</v>
      </c>
      <c r="Z581" s="1" t="s">
        <v>1601</v>
      </c>
    </row>
    <row r="582" spans="1:26">
      <c r="A582" s="1" t="s">
        <v>606</v>
      </c>
      <c r="B582" s="1" t="s">
        <v>642</v>
      </c>
      <c r="D582" s="1" t="s">
        <v>655</v>
      </c>
      <c r="H582" s="1">
        <f>HYPERLINK("https://tidesandcurrents.noaa.gov/stationhome.html?id=9449988", "9449988")</f>
        <v>0</v>
      </c>
      <c r="I582" s="1">
        <v>-122.805</v>
      </c>
      <c r="J582" s="1">
        <v>48.4433</v>
      </c>
      <c r="K582" s="1" t="s">
        <v>861</v>
      </c>
      <c r="L582" s="1" t="s">
        <v>866</v>
      </c>
      <c r="M582" s="1" t="s">
        <v>877</v>
      </c>
      <c r="N582" s="2">
        <f>HYPERLINK("https://tidesandcurrents.noaa.gov/datums.html?datum=MLLW&amp;units=0&amp;epoch=0&amp;id=9449988", "Datum Info")</f>
        <v>0</v>
      </c>
      <c r="O582" s="1" t="s">
        <v>886</v>
      </c>
      <c r="P582" s="1">
        <v>6.21</v>
      </c>
      <c r="Q582" s="1">
        <v>5.73</v>
      </c>
      <c r="R582" s="1">
        <v>3.8</v>
      </c>
      <c r="S582" s="1">
        <v>3.71</v>
      </c>
      <c r="T582" s="1">
        <v>3.1</v>
      </c>
      <c r="U582" s="1">
        <v>1.86</v>
      </c>
      <c r="V582" s="1">
        <v>0</v>
      </c>
      <c r="W582" s="1" t="s">
        <v>1075</v>
      </c>
      <c r="X582" s="1">
        <v>0.03</v>
      </c>
      <c r="Y582" s="1" t="s">
        <v>1346</v>
      </c>
      <c r="Z582" s="1" t="s">
        <v>1602</v>
      </c>
    </row>
    <row r="583" spans="1:26">
      <c r="A583" s="1" t="s">
        <v>607</v>
      </c>
      <c r="B583" s="1" t="s">
        <v>643</v>
      </c>
      <c r="C583" s="1" t="s">
        <v>650</v>
      </c>
      <c r="D583" s="1" t="s">
        <v>655</v>
      </c>
      <c r="H583" s="1">
        <f>HYPERLINK("https://tidesandcurrents.noaa.gov/stationhome.html?id=9410170", "9410170")</f>
        <v>0</v>
      </c>
      <c r="I583" s="1">
        <v>-117.174</v>
      </c>
      <c r="J583" s="1">
        <v>32.71419</v>
      </c>
      <c r="K583" s="1" t="s">
        <v>861</v>
      </c>
      <c r="L583" s="1" t="s">
        <v>866</v>
      </c>
      <c r="M583" s="1" t="s">
        <v>877</v>
      </c>
      <c r="N583" s="2">
        <f>HYPERLINK("https://tidesandcurrents.noaa.gov/datums.html?datum=MLLW&amp;units=0&amp;epoch=0&amp;id=9410170", "Datum Info")</f>
        <v>0</v>
      </c>
      <c r="O583" s="1" t="s">
        <v>886</v>
      </c>
      <c r="P583" s="1">
        <v>5.72</v>
      </c>
      <c r="Q583" s="1">
        <v>4.99</v>
      </c>
      <c r="R583" s="1">
        <v>2.96</v>
      </c>
      <c r="S583" s="1">
        <v>2.94</v>
      </c>
      <c r="T583" s="1">
        <v>2.86</v>
      </c>
      <c r="U583" s="1">
        <v>0.9399999999999999</v>
      </c>
      <c r="V583" s="1">
        <v>0</v>
      </c>
      <c r="W583" s="1">
        <v>0.43</v>
      </c>
      <c r="X583" s="1">
        <v>-3.79</v>
      </c>
      <c r="Y583" s="1" t="s">
        <v>1347</v>
      </c>
      <c r="Z583" s="1" t="s">
        <v>1603</v>
      </c>
    </row>
    <row r="584" spans="1:26">
      <c r="A584" s="1" t="s">
        <v>608</v>
      </c>
      <c r="B584" s="1" t="s">
        <v>643</v>
      </c>
      <c r="D584" s="1" t="s">
        <v>655</v>
      </c>
      <c r="H584" s="1">
        <f>HYPERLINK("https://tidesandcurrents.noaa.gov/stationhome.html?id=9410230", "9410230")</f>
        <v>0</v>
      </c>
      <c r="I584" s="1">
        <v>-117.257</v>
      </c>
      <c r="J584" s="1">
        <v>32.86689</v>
      </c>
      <c r="K584" s="1" t="s">
        <v>861</v>
      </c>
      <c r="L584" s="1" t="s">
        <v>866</v>
      </c>
      <c r="M584" s="1" t="s">
        <v>877</v>
      </c>
      <c r="N584" s="2">
        <f>HYPERLINK("https://tidesandcurrents.noaa.gov/datums.html?datum=MLLW&amp;units=0&amp;epoch=0&amp;id=9410230", "Datum Info")</f>
        <v>0</v>
      </c>
      <c r="O584" s="1" t="s">
        <v>886</v>
      </c>
      <c r="P584" s="1">
        <v>5.32</v>
      </c>
      <c r="Q584" s="1">
        <v>4.6</v>
      </c>
      <c r="R584" s="1">
        <v>2.75</v>
      </c>
      <c r="S584" s="1">
        <v>2.73</v>
      </c>
      <c r="T584" s="1">
        <v>2.66</v>
      </c>
      <c r="U584" s="1">
        <v>0.9</v>
      </c>
      <c r="V584" s="1">
        <v>0</v>
      </c>
      <c r="W584" s="1">
        <v>0.19</v>
      </c>
      <c r="X584" s="1">
        <v>-4.37</v>
      </c>
      <c r="Y584" s="1" t="s">
        <v>1348</v>
      </c>
      <c r="Z584" s="1" t="s">
        <v>1604</v>
      </c>
    </row>
    <row r="585" spans="1:26">
      <c r="A585" s="1" t="s">
        <v>609</v>
      </c>
      <c r="C585" s="1" t="s">
        <v>646</v>
      </c>
      <c r="E585" s="1" t="s">
        <v>829</v>
      </c>
      <c r="F585" s="1" t="s">
        <v>834</v>
      </c>
      <c r="G585" s="1" t="s">
        <v>854</v>
      </c>
      <c r="H585" s="1">
        <f>HYPERLINK("https://tidesandcurrents.noaa.gov/stationhome.html?id=8449130", "8449130")</f>
        <v>0</v>
      </c>
      <c r="I585" s="1">
        <v>-70.0964</v>
      </c>
      <c r="J585" s="1">
        <v>41.28528</v>
      </c>
      <c r="K585" s="1" t="s">
        <v>860</v>
      </c>
      <c r="L585" s="1" t="s">
        <v>866</v>
      </c>
      <c r="M585" s="1" t="s">
        <v>874</v>
      </c>
      <c r="N585" s="2">
        <f>HYPERLINK("https://tidesandcurrents.noaa.gov/datums.html?datum=MLLW&amp;units=0&amp;epoch=0&amp;id=8449130", "Datum Info")</f>
        <v>0</v>
      </c>
      <c r="O585" s="1" t="s">
        <v>886</v>
      </c>
      <c r="P585" s="1">
        <v>3.57</v>
      </c>
      <c r="Q585" s="1">
        <v>3.23</v>
      </c>
      <c r="R585" s="1">
        <v>1.72</v>
      </c>
      <c r="S585" s="1">
        <v>1.77</v>
      </c>
      <c r="T585" s="1">
        <v>1.79</v>
      </c>
      <c r="U585" s="1">
        <v>0.2</v>
      </c>
      <c r="V585" s="1">
        <v>0</v>
      </c>
      <c r="W585" s="1" t="s">
        <v>1076</v>
      </c>
      <c r="X585" s="1">
        <v>-3</v>
      </c>
      <c r="Y585" s="1" t="s">
        <v>1349</v>
      </c>
      <c r="Z585" s="1" t="s">
        <v>1605</v>
      </c>
    </row>
    <row r="586" spans="1:26">
      <c r="A586" s="1" t="s">
        <v>610</v>
      </c>
      <c r="E586" s="1" t="s">
        <v>732</v>
      </c>
      <c r="F586" s="1" t="s">
        <v>842</v>
      </c>
      <c r="G586" s="1" t="s">
        <v>854</v>
      </c>
      <c r="H586" s="1">
        <f>HYPERLINK("https://tidesandcurrents.noaa.gov/stationhome.html?id=8536110", "8536110")</f>
        <v>0</v>
      </c>
      <c r="I586" s="1">
        <v>-74.95999999999999</v>
      </c>
      <c r="J586" s="1">
        <v>38.9683</v>
      </c>
      <c r="K586" s="1" t="s">
        <v>860</v>
      </c>
      <c r="L586" s="1" t="s">
        <v>866</v>
      </c>
      <c r="M586" s="1" t="s">
        <v>873</v>
      </c>
      <c r="N586" s="2">
        <f>HYPERLINK("https://tidesandcurrents.noaa.gov/datums.html?datum=MLLW&amp;units=0&amp;epoch=0&amp;id=8536110", "Datum Info")</f>
        <v>0</v>
      </c>
      <c r="O586" s="1" t="s">
        <v>886</v>
      </c>
      <c r="P586" s="1">
        <v>5.45</v>
      </c>
      <c r="Q586" s="1">
        <v>5.01</v>
      </c>
      <c r="R586" s="1">
        <v>2.59</v>
      </c>
      <c r="S586" s="1">
        <v>2.57</v>
      </c>
      <c r="T586" s="1">
        <v>2.72</v>
      </c>
      <c r="U586" s="1">
        <v>0.16</v>
      </c>
      <c r="V586" s="1">
        <v>0</v>
      </c>
      <c r="W586" s="1">
        <v>3.02</v>
      </c>
      <c r="X586" s="1">
        <v>-2.42</v>
      </c>
      <c r="Y586" s="1" t="s">
        <v>1350</v>
      </c>
      <c r="Z586" s="1" t="s">
        <v>1606</v>
      </c>
    </row>
    <row r="587" spans="1:26">
      <c r="A587" s="1" t="s">
        <v>611</v>
      </c>
      <c r="E587" s="1" t="s">
        <v>723</v>
      </c>
      <c r="F587" s="1" t="s">
        <v>847</v>
      </c>
      <c r="G587" s="1" t="s">
        <v>854</v>
      </c>
      <c r="H587" s="1">
        <f>HYPERLINK("https://tidesandcurrents.noaa.gov/stationhome.html?id=8720030", "8720030")</f>
        <v>0</v>
      </c>
      <c r="I587" s="1">
        <v>-81.4658</v>
      </c>
      <c r="J587" s="1">
        <v>30.67139</v>
      </c>
      <c r="K587" s="1" t="s">
        <v>860</v>
      </c>
      <c r="L587" s="1" t="s">
        <v>866</v>
      </c>
      <c r="M587" s="1" t="s">
        <v>874</v>
      </c>
      <c r="N587" s="2">
        <f>HYPERLINK("https://tidesandcurrents.noaa.gov/datums.html?datum=MLLW&amp;units=0&amp;epoch=0&amp;id=8720030", "Datum Info")</f>
        <v>0</v>
      </c>
      <c r="O587" s="1" t="s">
        <v>886</v>
      </c>
      <c r="P587" s="1">
        <v>6.56</v>
      </c>
      <c r="Q587" s="1">
        <v>6.21</v>
      </c>
      <c r="R587" s="1">
        <v>3.2</v>
      </c>
      <c r="S587" s="1">
        <v>3.29</v>
      </c>
      <c r="T587" s="1">
        <v>3.28</v>
      </c>
      <c r="U587" s="1">
        <v>0.19</v>
      </c>
      <c r="V587" s="1">
        <v>0</v>
      </c>
      <c r="W587" s="1">
        <v>3.82</v>
      </c>
      <c r="X587" s="1">
        <v>-1.7</v>
      </c>
      <c r="Y587" s="1" t="s">
        <v>1351</v>
      </c>
      <c r="Z587" s="1" t="s">
        <v>1607</v>
      </c>
    </row>
  </sheetData>
  <conditionalFormatting sqref="H10">
    <cfRule type="notContainsErrors" dxfId="0" priority="9">
      <formula>NOT(ISERROR(H10))</formula>
    </cfRule>
  </conditionalFormatting>
  <conditionalFormatting sqref="H100">
    <cfRule type="notContainsErrors" dxfId="0" priority="93">
      <formula>NOT(ISERROR(H100))</formula>
    </cfRule>
  </conditionalFormatting>
  <conditionalFormatting sqref="H101">
    <cfRule type="notContainsErrors" dxfId="0" priority="94">
      <formula>NOT(ISERROR(H101))</formula>
    </cfRule>
  </conditionalFormatting>
  <conditionalFormatting sqref="H102">
    <cfRule type="notContainsErrors" dxfId="0" priority="95">
      <formula>NOT(ISERROR(H102))</formula>
    </cfRule>
  </conditionalFormatting>
  <conditionalFormatting sqref="H103">
    <cfRule type="notContainsErrors" dxfId="0" priority="96">
      <formula>NOT(ISERROR(H103))</formula>
    </cfRule>
  </conditionalFormatting>
  <conditionalFormatting sqref="H104">
    <cfRule type="notContainsErrors" dxfId="0" priority="97">
      <formula>NOT(ISERROR(H104))</formula>
    </cfRule>
  </conditionalFormatting>
  <conditionalFormatting sqref="H105">
    <cfRule type="notContainsErrors" dxfId="0" priority="98">
      <formula>NOT(ISERROR(H105))</formula>
    </cfRule>
  </conditionalFormatting>
  <conditionalFormatting sqref="H106">
    <cfRule type="notContainsErrors" dxfId="0" priority="99">
      <formula>NOT(ISERROR(H106))</formula>
    </cfRule>
  </conditionalFormatting>
  <conditionalFormatting sqref="H107">
    <cfRule type="notContainsErrors" dxfId="0" priority="100">
      <formula>NOT(ISERROR(H107))</formula>
    </cfRule>
  </conditionalFormatting>
  <conditionalFormatting sqref="H108">
    <cfRule type="notContainsErrors" dxfId="0" priority="101">
      <formula>NOT(ISERROR(H108))</formula>
    </cfRule>
  </conditionalFormatting>
  <conditionalFormatting sqref="H109">
    <cfRule type="notContainsErrors" dxfId="0" priority="102">
      <formula>NOT(ISERROR(H109))</formula>
    </cfRule>
  </conditionalFormatting>
  <conditionalFormatting sqref="H11">
    <cfRule type="notContainsErrors" dxfId="0" priority="10">
      <formula>NOT(ISERROR(H11))</formula>
    </cfRule>
  </conditionalFormatting>
  <conditionalFormatting sqref="H113">
    <cfRule type="notContainsErrors" dxfId="0" priority="103">
      <formula>NOT(ISERROR(H113))</formula>
    </cfRule>
  </conditionalFormatting>
  <conditionalFormatting sqref="H114">
    <cfRule type="notContainsErrors" dxfId="0" priority="104">
      <formula>NOT(ISERROR(H114))</formula>
    </cfRule>
  </conditionalFormatting>
  <conditionalFormatting sqref="H115">
    <cfRule type="notContainsErrors" dxfId="0" priority="105">
      <formula>NOT(ISERROR(H115))</formula>
    </cfRule>
  </conditionalFormatting>
  <conditionalFormatting sqref="H116">
    <cfRule type="notContainsErrors" dxfId="0" priority="106">
      <formula>NOT(ISERROR(H116))</formula>
    </cfRule>
  </conditionalFormatting>
  <conditionalFormatting sqref="H117">
    <cfRule type="notContainsErrors" dxfId="0" priority="107">
      <formula>NOT(ISERROR(H117))</formula>
    </cfRule>
  </conditionalFormatting>
  <conditionalFormatting sqref="H118">
    <cfRule type="notContainsErrors" dxfId="0" priority="108">
      <formula>NOT(ISERROR(H118))</formula>
    </cfRule>
  </conditionalFormatting>
  <conditionalFormatting sqref="H119">
    <cfRule type="notContainsErrors" dxfId="0" priority="109">
      <formula>NOT(ISERROR(H119))</formula>
    </cfRule>
  </conditionalFormatting>
  <conditionalFormatting sqref="H12">
    <cfRule type="notContainsErrors" dxfId="0" priority="11">
      <formula>NOT(ISERROR(H12))</formula>
    </cfRule>
  </conditionalFormatting>
  <conditionalFormatting sqref="H120">
    <cfRule type="notContainsErrors" dxfId="0" priority="110">
      <formula>NOT(ISERROR(H120))</formula>
    </cfRule>
  </conditionalFormatting>
  <conditionalFormatting sqref="H123">
    <cfRule type="notContainsErrors" dxfId="0" priority="111">
      <formula>NOT(ISERROR(H123))</formula>
    </cfRule>
  </conditionalFormatting>
  <conditionalFormatting sqref="H124">
    <cfRule type="notContainsErrors" dxfId="0" priority="112">
      <formula>NOT(ISERROR(H124))</formula>
    </cfRule>
  </conditionalFormatting>
  <conditionalFormatting sqref="H125">
    <cfRule type="notContainsErrors" dxfId="0" priority="113">
      <formula>NOT(ISERROR(H125))</formula>
    </cfRule>
  </conditionalFormatting>
  <conditionalFormatting sqref="H126">
    <cfRule type="notContainsErrors" dxfId="0" priority="114">
      <formula>NOT(ISERROR(H126))</formula>
    </cfRule>
  </conditionalFormatting>
  <conditionalFormatting sqref="H127">
    <cfRule type="notContainsErrors" dxfId="0" priority="115">
      <formula>NOT(ISERROR(H127))</formula>
    </cfRule>
  </conditionalFormatting>
  <conditionalFormatting sqref="H128">
    <cfRule type="notContainsErrors" dxfId="0" priority="116">
      <formula>NOT(ISERROR(H128))</formula>
    </cfRule>
  </conditionalFormatting>
  <conditionalFormatting sqref="H129">
    <cfRule type="notContainsErrors" dxfId="0" priority="117">
      <formula>NOT(ISERROR(H129))</formula>
    </cfRule>
  </conditionalFormatting>
  <conditionalFormatting sqref="H13">
    <cfRule type="notContainsErrors" dxfId="0" priority="12">
      <formula>NOT(ISERROR(H13))</formula>
    </cfRule>
  </conditionalFormatting>
  <conditionalFormatting sqref="H130">
    <cfRule type="notContainsErrors" dxfId="0" priority="118">
      <formula>NOT(ISERROR(H130))</formula>
    </cfRule>
  </conditionalFormatting>
  <conditionalFormatting sqref="H131">
    <cfRule type="notContainsErrors" dxfId="0" priority="119">
      <formula>NOT(ISERROR(H131))</formula>
    </cfRule>
  </conditionalFormatting>
  <conditionalFormatting sqref="H132">
    <cfRule type="notContainsErrors" dxfId="0" priority="120">
      <formula>NOT(ISERROR(H132))</formula>
    </cfRule>
  </conditionalFormatting>
  <conditionalFormatting sqref="H133">
    <cfRule type="notContainsErrors" dxfId="0" priority="121">
      <formula>NOT(ISERROR(H133))</formula>
    </cfRule>
  </conditionalFormatting>
  <conditionalFormatting sqref="H134">
    <cfRule type="notContainsErrors" dxfId="0" priority="122">
      <formula>NOT(ISERROR(H134))</formula>
    </cfRule>
  </conditionalFormatting>
  <conditionalFormatting sqref="H135">
    <cfRule type="notContainsErrors" dxfId="0" priority="123">
      <formula>NOT(ISERROR(H135))</formula>
    </cfRule>
  </conditionalFormatting>
  <conditionalFormatting sqref="H136">
    <cfRule type="notContainsErrors" dxfId="0" priority="124">
      <formula>NOT(ISERROR(H136))</formula>
    </cfRule>
  </conditionalFormatting>
  <conditionalFormatting sqref="H137">
    <cfRule type="notContainsErrors" dxfId="0" priority="125">
      <formula>NOT(ISERROR(H137))</formula>
    </cfRule>
  </conditionalFormatting>
  <conditionalFormatting sqref="H138">
    <cfRule type="notContainsErrors" dxfId="0" priority="126">
      <formula>NOT(ISERROR(H138))</formula>
    </cfRule>
  </conditionalFormatting>
  <conditionalFormatting sqref="H139">
    <cfRule type="notContainsErrors" dxfId="0" priority="127">
      <formula>NOT(ISERROR(H139))</formula>
    </cfRule>
  </conditionalFormatting>
  <conditionalFormatting sqref="H14">
    <cfRule type="notContainsErrors" dxfId="0" priority="13">
      <formula>NOT(ISERROR(H14))</formula>
    </cfRule>
  </conditionalFormatting>
  <conditionalFormatting sqref="H140">
    <cfRule type="notContainsErrors" dxfId="0" priority="128">
      <formula>NOT(ISERROR(H140))</formula>
    </cfRule>
  </conditionalFormatting>
  <conditionalFormatting sqref="H141">
    <cfRule type="notContainsErrors" dxfId="0" priority="129">
      <formula>NOT(ISERROR(H141))</formula>
    </cfRule>
  </conditionalFormatting>
  <conditionalFormatting sqref="H142">
    <cfRule type="notContainsErrors" dxfId="0" priority="130">
      <formula>NOT(ISERROR(H142))</formula>
    </cfRule>
  </conditionalFormatting>
  <conditionalFormatting sqref="H143">
    <cfRule type="notContainsErrors" dxfId="0" priority="131">
      <formula>NOT(ISERROR(H143))</formula>
    </cfRule>
  </conditionalFormatting>
  <conditionalFormatting sqref="H144">
    <cfRule type="notContainsErrors" dxfId="0" priority="132">
      <formula>NOT(ISERROR(H144))</formula>
    </cfRule>
  </conditionalFormatting>
  <conditionalFormatting sqref="H145">
    <cfRule type="notContainsErrors" dxfId="0" priority="133">
      <formula>NOT(ISERROR(H145))</formula>
    </cfRule>
  </conditionalFormatting>
  <conditionalFormatting sqref="H146">
    <cfRule type="notContainsErrors" dxfId="0" priority="134">
      <formula>NOT(ISERROR(H146))</formula>
    </cfRule>
  </conditionalFormatting>
  <conditionalFormatting sqref="H147">
    <cfRule type="notContainsErrors" dxfId="0" priority="135">
      <formula>NOT(ISERROR(H147))</formula>
    </cfRule>
  </conditionalFormatting>
  <conditionalFormatting sqref="H148">
    <cfRule type="notContainsErrors" dxfId="0" priority="136">
      <formula>NOT(ISERROR(H148))</formula>
    </cfRule>
  </conditionalFormatting>
  <conditionalFormatting sqref="H149">
    <cfRule type="notContainsErrors" dxfId="0" priority="137">
      <formula>NOT(ISERROR(H149))</formula>
    </cfRule>
  </conditionalFormatting>
  <conditionalFormatting sqref="H15">
    <cfRule type="notContainsErrors" dxfId="0" priority="14">
      <formula>NOT(ISERROR(H15))</formula>
    </cfRule>
  </conditionalFormatting>
  <conditionalFormatting sqref="H150">
    <cfRule type="notContainsErrors" dxfId="0" priority="138">
      <formula>NOT(ISERROR(H150))</formula>
    </cfRule>
  </conditionalFormatting>
  <conditionalFormatting sqref="H155">
    <cfRule type="notContainsErrors" dxfId="0" priority="139">
      <formula>NOT(ISERROR(H155))</formula>
    </cfRule>
  </conditionalFormatting>
  <conditionalFormatting sqref="H156">
    <cfRule type="notContainsErrors" dxfId="0" priority="140">
      <formula>NOT(ISERROR(H156))</formula>
    </cfRule>
  </conditionalFormatting>
  <conditionalFormatting sqref="H157">
    <cfRule type="notContainsErrors" dxfId="0" priority="141">
      <formula>NOT(ISERROR(H157))</formula>
    </cfRule>
  </conditionalFormatting>
  <conditionalFormatting sqref="H158">
    <cfRule type="notContainsErrors" dxfId="0" priority="142">
      <formula>NOT(ISERROR(H158))</formula>
    </cfRule>
  </conditionalFormatting>
  <conditionalFormatting sqref="H159">
    <cfRule type="notContainsErrors" dxfId="0" priority="143">
      <formula>NOT(ISERROR(H159))</formula>
    </cfRule>
  </conditionalFormatting>
  <conditionalFormatting sqref="H16">
    <cfRule type="notContainsErrors" dxfId="0" priority="15">
      <formula>NOT(ISERROR(H16))</formula>
    </cfRule>
  </conditionalFormatting>
  <conditionalFormatting sqref="H160">
    <cfRule type="notContainsErrors" dxfId="0" priority="144">
      <formula>NOT(ISERROR(H160))</formula>
    </cfRule>
  </conditionalFormatting>
  <conditionalFormatting sqref="H161">
    <cfRule type="notContainsErrors" dxfId="0" priority="145">
      <formula>NOT(ISERROR(H161))</formula>
    </cfRule>
  </conditionalFormatting>
  <conditionalFormatting sqref="H162">
    <cfRule type="notContainsErrors" dxfId="0" priority="146">
      <formula>NOT(ISERROR(H162))</formula>
    </cfRule>
  </conditionalFormatting>
  <conditionalFormatting sqref="H163">
    <cfRule type="notContainsErrors" dxfId="0" priority="147">
      <formula>NOT(ISERROR(H163))</formula>
    </cfRule>
  </conditionalFormatting>
  <conditionalFormatting sqref="H164">
    <cfRule type="notContainsErrors" dxfId="0" priority="148">
      <formula>NOT(ISERROR(H164))</formula>
    </cfRule>
  </conditionalFormatting>
  <conditionalFormatting sqref="H165">
    <cfRule type="notContainsErrors" dxfId="0" priority="149">
      <formula>NOT(ISERROR(H165))</formula>
    </cfRule>
  </conditionalFormatting>
  <conditionalFormatting sqref="H166">
    <cfRule type="notContainsErrors" dxfId="0" priority="150">
      <formula>NOT(ISERROR(H166))</formula>
    </cfRule>
  </conditionalFormatting>
  <conditionalFormatting sqref="H17">
    <cfRule type="notContainsErrors" dxfId="0" priority="16">
      <formula>NOT(ISERROR(H17))</formula>
    </cfRule>
  </conditionalFormatting>
  <conditionalFormatting sqref="H18">
    <cfRule type="notContainsErrors" dxfId="0" priority="17">
      <formula>NOT(ISERROR(H18))</formula>
    </cfRule>
  </conditionalFormatting>
  <conditionalFormatting sqref="H181">
    <cfRule type="notContainsErrors" dxfId="0" priority="151">
      <formula>NOT(ISERROR(H181))</formula>
    </cfRule>
  </conditionalFormatting>
  <conditionalFormatting sqref="H182">
    <cfRule type="notContainsErrors" dxfId="0" priority="152">
      <formula>NOT(ISERROR(H182))</formula>
    </cfRule>
  </conditionalFormatting>
  <conditionalFormatting sqref="H183">
    <cfRule type="notContainsErrors" dxfId="0" priority="153">
      <formula>NOT(ISERROR(H183))</formula>
    </cfRule>
  </conditionalFormatting>
  <conditionalFormatting sqref="H184">
    <cfRule type="notContainsErrors" dxfId="0" priority="154">
      <formula>NOT(ISERROR(H184))</formula>
    </cfRule>
  </conditionalFormatting>
  <conditionalFormatting sqref="H185">
    <cfRule type="notContainsErrors" dxfId="0" priority="155">
      <formula>NOT(ISERROR(H185))</formula>
    </cfRule>
  </conditionalFormatting>
  <conditionalFormatting sqref="H186">
    <cfRule type="notContainsErrors" dxfId="0" priority="156">
      <formula>NOT(ISERROR(H186))</formula>
    </cfRule>
  </conditionalFormatting>
  <conditionalFormatting sqref="H187">
    <cfRule type="notContainsErrors" dxfId="0" priority="157">
      <formula>NOT(ISERROR(H187))</formula>
    </cfRule>
  </conditionalFormatting>
  <conditionalFormatting sqref="H188">
    <cfRule type="notContainsErrors" dxfId="0" priority="158">
      <formula>NOT(ISERROR(H188))</formula>
    </cfRule>
  </conditionalFormatting>
  <conditionalFormatting sqref="H189">
    <cfRule type="notContainsErrors" dxfId="0" priority="159">
      <formula>NOT(ISERROR(H189))</formula>
    </cfRule>
  </conditionalFormatting>
  <conditionalFormatting sqref="H19">
    <cfRule type="notContainsErrors" dxfId="0" priority="18">
      <formula>NOT(ISERROR(H19))</formula>
    </cfRule>
  </conditionalFormatting>
  <conditionalFormatting sqref="H190">
    <cfRule type="notContainsErrors" dxfId="0" priority="160">
      <formula>NOT(ISERROR(H190))</formula>
    </cfRule>
  </conditionalFormatting>
  <conditionalFormatting sqref="H191">
    <cfRule type="notContainsErrors" dxfId="0" priority="161">
      <formula>NOT(ISERROR(H191))</formula>
    </cfRule>
  </conditionalFormatting>
  <conditionalFormatting sqref="H192">
    <cfRule type="notContainsErrors" dxfId="0" priority="162">
      <formula>NOT(ISERROR(H192))</formula>
    </cfRule>
  </conditionalFormatting>
  <conditionalFormatting sqref="H193">
    <cfRule type="notContainsErrors" dxfId="0" priority="163">
      <formula>NOT(ISERROR(H193))</formula>
    </cfRule>
  </conditionalFormatting>
  <conditionalFormatting sqref="H194">
    <cfRule type="notContainsErrors" dxfId="0" priority="164">
      <formula>NOT(ISERROR(H194))</formula>
    </cfRule>
  </conditionalFormatting>
  <conditionalFormatting sqref="H195">
    <cfRule type="notContainsErrors" dxfId="0" priority="165">
      <formula>NOT(ISERROR(H195))</formula>
    </cfRule>
  </conditionalFormatting>
  <conditionalFormatting sqref="H196">
    <cfRule type="notContainsErrors" dxfId="0" priority="166">
      <formula>NOT(ISERROR(H196))</formula>
    </cfRule>
  </conditionalFormatting>
  <conditionalFormatting sqref="H197">
    <cfRule type="notContainsErrors" dxfId="0" priority="167">
      <formula>NOT(ISERROR(H197))</formula>
    </cfRule>
  </conditionalFormatting>
  <conditionalFormatting sqref="H198">
    <cfRule type="notContainsErrors" dxfId="0" priority="168">
      <formula>NOT(ISERROR(H198))</formula>
    </cfRule>
  </conditionalFormatting>
  <conditionalFormatting sqref="H199">
    <cfRule type="notContainsErrors" dxfId="0" priority="169">
      <formula>NOT(ISERROR(H199))</formula>
    </cfRule>
  </conditionalFormatting>
  <conditionalFormatting sqref="H2">
    <cfRule type="notContainsErrors" dxfId="0" priority="1">
      <formula>NOT(ISERROR(H2))</formula>
    </cfRule>
  </conditionalFormatting>
  <conditionalFormatting sqref="H20">
    <cfRule type="notContainsErrors" dxfId="0" priority="19">
      <formula>NOT(ISERROR(H20))</formula>
    </cfRule>
  </conditionalFormatting>
  <conditionalFormatting sqref="H200">
    <cfRule type="notContainsErrors" dxfId="0" priority="170">
      <formula>NOT(ISERROR(H200))</formula>
    </cfRule>
  </conditionalFormatting>
  <conditionalFormatting sqref="H201">
    <cfRule type="notContainsErrors" dxfId="0" priority="171">
      <formula>NOT(ISERROR(H201))</formula>
    </cfRule>
  </conditionalFormatting>
  <conditionalFormatting sqref="H202">
    <cfRule type="notContainsErrors" dxfId="0" priority="172">
      <formula>NOT(ISERROR(H202))</formula>
    </cfRule>
  </conditionalFormatting>
  <conditionalFormatting sqref="H203">
    <cfRule type="notContainsErrors" dxfId="0" priority="173">
      <formula>NOT(ISERROR(H203))</formula>
    </cfRule>
  </conditionalFormatting>
  <conditionalFormatting sqref="H204">
    <cfRule type="notContainsErrors" dxfId="0" priority="174">
      <formula>NOT(ISERROR(H204))</formula>
    </cfRule>
  </conditionalFormatting>
  <conditionalFormatting sqref="H205">
    <cfRule type="notContainsErrors" dxfId="0" priority="175">
      <formula>NOT(ISERROR(H205))</formula>
    </cfRule>
  </conditionalFormatting>
  <conditionalFormatting sqref="H206">
    <cfRule type="notContainsErrors" dxfId="0" priority="176">
      <formula>NOT(ISERROR(H206))</formula>
    </cfRule>
  </conditionalFormatting>
  <conditionalFormatting sqref="H207">
    <cfRule type="notContainsErrors" dxfId="0" priority="177">
      <formula>NOT(ISERROR(H207))</formula>
    </cfRule>
  </conditionalFormatting>
  <conditionalFormatting sqref="H208">
    <cfRule type="notContainsErrors" dxfId="0" priority="178">
      <formula>NOT(ISERROR(H208))</formula>
    </cfRule>
  </conditionalFormatting>
  <conditionalFormatting sqref="H209">
    <cfRule type="notContainsErrors" dxfId="0" priority="179">
      <formula>NOT(ISERROR(H209))</formula>
    </cfRule>
  </conditionalFormatting>
  <conditionalFormatting sqref="H21">
    <cfRule type="notContainsErrors" dxfId="0" priority="20">
      <formula>NOT(ISERROR(H21))</formula>
    </cfRule>
  </conditionalFormatting>
  <conditionalFormatting sqref="H210">
    <cfRule type="notContainsErrors" dxfId="0" priority="180">
      <formula>NOT(ISERROR(H210))</formula>
    </cfRule>
  </conditionalFormatting>
  <conditionalFormatting sqref="H214">
    <cfRule type="notContainsErrors" dxfId="0" priority="181">
      <formula>NOT(ISERROR(H214))</formula>
    </cfRule>
  </conditionalFormatting>
  <conditionalFormatting sqref="H215">
    <cfRule type="notContainsErrors" dxfId="0" priority="182">
      <formula>NOT(ISERROR(H215))</formula>
    </cfRule>
  </conditionalFormatting>
  <conditionalFormatting sqref="H216">
    <cfRule type="notContainsErrors" dxfId="0" priority="183">
      <formula>NOT(ISERROR(H216))</formula>
    </cfRule>
  </conditionalFormatting>
  <conditionalFormatting sqref="H217">
    <cfRule type="notContainsErrors" dxfId="0" priority="184">
      <formula>NOT(ISERROR(H217))</formula>
    </cfRule>
  </conditionalFormatting>
  <conditionalFormatting sqref="H218">
    <cfRule type="notContainsErrors" dxfId="0" priority="185">
      <formula>NOT(ISERROR(H218))</formula>
    </cfRule>
  </conditionalFormatting>
  <conditionalFormatting sqref="H219">
    <cfRule type="notContainsErrors" dxfId="0" priority="186">
      <formula>NOT(ISERROR(H219))</formula>
    </cfRule>
  </conditionalFormatting>
  <conditionalFormatting sqref="H22">
    <cfRule type="notContainsErrors" dxfId="0" priority="21">
      <formula>NOT(ISERROR(H22))</formula>
    </cfRule>
  </conditionalFormatting>
  <conditionalFormatting sqref="H220">
    <cfRule type="notContainsErrors" dxfId="0" priority="187">
      <formula>NOT(ISERROR(H220))</formula>
    </cfRule>
  </conditionalFormatting>
  <conditionalFormatting sqref="H221">
    <cfRule type="notContainsErrors" dxfId="0" priority="188">
      <formula>NOT(ISERROR(H221))</formula>
    </cfRule>
  </conditionalFormatting>
  <conditionalFormatting sqref="H222">
    <cfRule type="notContainsErrors" dxfId="0" priority="189">
      <formula>NOT(ISERROR(H222))</formula>
    </cfRule>
  </conditionalFormatting>
  <conditionalFormatting sqref="H223">
    <cfRule type="notContainsErrors" dxfId="0" priority="190">
      <formula>NOT(ISERROR(H223))</formula>
    </cfRule>
  </conditionalFormatting>
  <conditionalFormatting sqref="H224">
    <cfRule type="notContainsErrors" dxfId="0" priority="191">
      <formula>NOT(ISERROR(H224))</formula>
    </cfRule>
  </conditionalFormatting>
  <conditionalFormatting sqref="H225">
    <cfRule type="notContainsErrors" dxfId="0" priority="192">
      <formula>NOT(ISERROR(H225))</formula>
    </cfRule>
  </conditionalFormatting>
  <conditionalFormatting sqref="H226">
    <cfRule type="notContainsErrors" dxfId="0" priority="193">
      <formula>NOT(ISERROR(H226))</formula>
    </cfRule>
  </conditionalFormatting>
  <conditionalFormatting sqref="H227">
    <cfRule type="notContainsErrors" dxfId="0" priority="194">
      <formula>NOT(ISERROR(H227))</formula>
    </cfRule>
  </conditionalFormatting>
  <conditionalFormatting sqref="H228">
    <cfRule type="notContainsErrors" dxfId="0" priority="195">
      <formula>NOT(ISERROR(H228))</formula>
    </cfRule>
  </conditionalFormatting>
  <conditionalFormatting sqref="H229">
    <cfRule type="notContainsErrors" dxfId="0" priority="196">
      <formula>NOT(ISERROR(H229))</formula>
    </cfRule>
  </conditionalFormatting>
  <conditionalFormatting sqref="H23">
    <cfRule type="notContainsErrors" dxfId="0" priority="22">
      <formula>NOT(ISERROR(H23))</formula>
    </cfRule>
  </conditionalFormatting>
  <conditionalFormatting sqref="H230">
    <cfRule type="notContainsErrors" dxfId="0" priority="197">
      <formula>NOT(ISERROR(H230))</formula>
    </cfRule>
  </conditionalFormatting>
  <conditionalFormatting sqref="H231">
    <cfRule type="notContainsErrors" dxfId="0" priority="198">
      <formula>NOT(ISERROR(H231))</formula>
    </cfRule>
  </conditionalFormatting>
  <conditionalFormatting sqref="H232">
    <cfRule type="notContainsErrors" dxfId="0" priority="199">
      <formula>NOT(ISERROR(H232))</formula>
    </cfRule>
  </conditionalFormatting>
  <conditionalFormatting sqref="H233">
    <cfRule type="notContainsErrors" dxfId="0" priority="200">
      <formula>NOT(ISERROR(H233))</formula>
    </cfRule>
  </conditionalFormatting>
  <conditionalFormatting sqref="H234">
    <cfRule type="notContainsErrors" dxfId="0" priority="201">
      <formula>NOT(ISERROR(H234))</formula>
    </cfRule>
  </conditionalFormatting>
  <conditionalFormatting sqref="H235">
    <cfRule type="notContainsErrors" dxfId="0" priority="202">
      <formula>NOT(ISERROR(H235))</formula>
    </cfRule>
  </conditionalFormatting>
  <conditionalFormatting sqref="H236">
    <cfRule type="notContainsErrors" dxfId="0" priority="203">
      <formula>NOT(ISERROR(H236))</formula>
    </cfRule>
  </conditionalFormatting>
  <conditionalFormatting sqref="H237">
    <cfRule type="notContainsErrors" dxfId="0" priority="204">
      <formula>NOT(ISERROR(H237))</formula>
    </cfRule>
  </conditionalFormatting>
  <conditionalFormatting sqref="H238">
    <cfRule type="notContainsErrors" dxfId="0" priority="205">
      <formula>NOT(ISERROR(H238))</formula>
    </cfRule>
  </conditionalFormatting>
  <conditionalFormatting sqref="H239">
    <cfRule type="notContainsErrors" dxfId="0" priority="206">
      <formula>NOT(ISERROR(H239))</formula>
    </cfRule>
  </conditionalFormatting>
  <conditionalFormatting sqref="H24">
    <cfRule type="notContainsErrors" dxfId="0" priority="23">
      <formula>NOT(ISERROR(H24))</formula>
    </cfRule>
  </conditionalFormatting>
  <conditionalFormatting sqref="H240">
    <cfRule type="notContainsErrors" dxfId="0" priority="207">
      <formula>NOT(ISERROR(H240))</formula>
    </cfRule>
  </conditionalFormatting>
  <conditionalFormatting sqref="H241">
    <cfRule type="notContainsErrors" dxfId="0" priority="208">
      <formula>NOT(ISERROR(H241))</formula>
    </cfRule>
  </conditionalFormatting>
  <conditionalFormatting sqref="H242">
    <cfRule type="notContainsErrors" dxfId="0" priority="209">
      <formula>NOT(ISERROR(H242))</formula>
    </cfRule>
  </conditionalFormatting>
  <conditionalFormatting sqref="H243">
    <cfRule type="notContainsErrors" dxfId="0" priority="210">
      <formula>NOT(ISERROR(H243))</formula>
    </cfRule>
  </conditionalFormatting>
  <conditionalFormatting sqref="H244">
    <cfRule type="notContainsErrors" dxfId="0" priority="211">
      <formula>NOT(ISERROR(H244))</formula>
    </cfRule>
  </conditionalFormatting>
  <conditionalFormatting sqref="H245">
    <cfRule type="notContainsErrors" dxfId="0" priority="212">
      <formula>NOT(ISERROR(H245))</formula>
    </cfRule>
  </conditionalFormatting>
  <conditionalFormatting sqref="H246">
    <cfRule type="notContainsErrors" dxfId="0" priority="213">
      <formula>NOT(ISERROR(H246))</formula>
    </cfRule>
  </conditionalFormatting>
  <conditionalFormatting sqref="H247">
    <cfRule type="notContainsErrors" dxfId="0" priority="214">
      <formula>NOT(ISERROR(H247))</formula>
    </cfRule>
  </conditionalFormatting>
  <conditionalFormatting sqref="H248">
    <cfRule type="notContainsErrors" dxfId="0" priority="215">
      <formula>NOT(ISERROR(H248))</formula>
    </cfRule>
  </conditionalFormatting>
  <conditionalFormatting sqref="H249">
    <cfRule type="notContainsErrors" dxfId="0" priority="216">
      <formula>NOT(ISERROR(H249))</formula>
    </cfRule>
  </conditionalFormatting>
  <conditionalFormatting sqref="H25">
    <cfRule type="notContainsErrors" dxfId="0" priority="24">
      <formula>NOT(ISERROR(H25))</formula>
    </cfRule>
  </conditionalFormatting>
  <conditionalFormatting sqref="H250">
    <cfRule type="notContainsErrors" dxfId="0" priority="217">
      <formula>NOT(ISERROR(H250))</formula>
    </cfRule>
  </conditionalFormatting>
  <conditionalFormatting sqref="H251">
    <cfRule type="notContainsErrors" dxfId="0" priority="218">
      <formula>NOT(ISERROR(H251))</formula>
    </cfRule>
  </conditionalFormatting>
  <conditionalFormatting sqref="H252">
    <cfRule type="notContainsErrors" dxfId="0" priority="219">
      <formula>NOT(ISERROR(H252))</formula>
    </cfRule>
  </conditionalFormatting>
  <conditionalFormatting sqref="H253">
    <cfRule type="notContainsErrors" dxfId="0" priority="220">
      <formula>NOT(ISERROR(H253))</formula>
    </cfRule>
  </conditionalFormatting>
  <conditionalFormatting sqref="H254">
    <cfRule type="notContainsErrors" dxfId="0" priority="221">
      <formula>NOT(ISERROR(H254))</formula>
    </cfRule>
  </conditionalFormatting>
  <conditionalFormatting sqref="H255">
    <cfRule type="notContainsErrors" dxfId="0" priority="222">
      <formula>NOT(ISERROR(H255))</formula>
    </cfRule>
  </conditionalFormatting>
  <conditionalFormatting sqref="H256">
    <cfRule type="notContainsErrors" dxfId="0" priority="223">
      <formula>NOT(ISERROR(H256))</formula>
    </cfRule>
  </conditionalFormatting>
  <conditionalFormatting sqref="H259">
    <cfRule type="notContainsErrors" dxfId="0" priority="224">
      <formula>NOT(ISERROR(H259))</formula>
    </cfRule>
  </conditionalFormatting>
  <conditionalFormatting sqref="H260">
    <cfRule type="notContainsErrors" dxfId="0" priority="225">
      <formula>NOT(ISERROR(H260))</formula>
    </cfRule>
  </conditionalFormatting>
  <conditionalFormatting sqref="H266">
    <cfRule type="notContainsErrors" dxfId="0" priority="226">
      <formula>NOT(ISERROR(H266))</formula>
    </cfRule>
  </conditionalFormatting>
  <conditionalFormatting sqref="H267">
    <cfRule type="notContainsErrors" dxfId="0" priority="227">
      <formula>NOT(ISERROR(H267))</formula>
    </cfRule>
  </conditionalFormatting>
  <conditionalFormatting sqref="H268">
    <cfRule type="notContainsErrors" dxfId="0" priority="228">
      <formula>NOT(ISERROR(H268))</formula>
    </cfRule>
  </conditionalFormatting>
  <conditionalFormatting sqref="H269">
    <cfRule type="notContainsErrors" dxfId="0" priority="229">
      <formula>NOT(ISERROR(H269))</formula>
    </cfRule>
  </conditionalFormatting>
  <conditionalFormatting sqref="H270">
    <cfRule type="notContainsErrors" dxfId="0" priority="230">
      <formula>NOT(ISERROR(H270))</formula>
    </cfRule>
  </conditionalFormatting>
  <conditionalFormatting sqref="H275">
    <cfRule type="notContainsErrors" dxfId="0" priority="231">
      <formula>NOT(ISERROR(H275))</formula>
    </cfRule>
  </conditionalFormatting>
  <conditionalFormatting sqref="H276">
    <cfRule type="notContainsErrors" dxfId="0" priority="232">
      <formula>NOT(ISERROR(H276))</formula>
    </cfRule>
  </conditionalFormatting>
  <conditionalFormatting sqref="H277">
    <cfRule type="notContainsErrors" dxfId="0" priority="233">
      <formula>NOT(ISERROR(H277))</formula>
    </cfRule>
  </conditionalFormatting>
  <conditionalFormatting sqref="H278">
    <cfRule type="notContainsErrors" dxfId="0" priority="234">
      <formula>NOT(ISERROR(H278))</formula>
    </cfRule>
  </conditionalFormatting>
  <conditionalFormatting sqref="H279">
    <cfRule type="notContainsErrors" dxfId="0" priority="235">
      <formula>NOT(ISERROR(H279))</formula>
    </cfRule>
  </conditionalFormatting>
  <conditionalFormatting sqref="H280">
    <cfRule type="notContainsErrors" dxfId="0" priority="236">
      <formula>NOT(ISERROR(H280))</formula>
    </cfRule>
  </conditionalFormatting>
  <conditionalFormatting sqref="H281">
    <cfRule type="notContainsErrors" dxfId="0" priority="237">
      <formula>NOT(ISERROR(H281))</formula>
    </cfRule>
  </conditionalFormatting>
  <conditionalFormatting sqref="H282">
    <cfRule type="notContainsErrors" dxfId="0" priority="238">
      <formula>NOT(ISERROR(H282))</formula>
    </cfRule>
  </conditionalFormatting>
  <conditionalFormatting sqref="H283">
    <cfRule type="notContainsErrors" dxfId="0" priority="239">
      <formula>NOT(ISERROR(H283))</formula>
    </cfRule>
  </conditionalFormatting>
  <conditionalFormatting sqref="H284">
    <cfRule type="notContainsErrors" dxfId="0" priority="240">
      <formula>NOT(ISERROR(H284))</formula>
    </cfRule>
  </conditionalFormatting>
  <conditionalFormatting sqref="H285">
    <cfRule type="notContainsErrors" dxfId="0" priority="241">
      <formula>NOT(ISERROR(H285))</formula>
    </cfRule>
  </conditionalFormatting>
  <conditionalFormatting sqref="H297">
    <cfRule type="notContainsErrors" dxfId="0" priority="242">
      <formula>NOT(ISERROR(H297))</formula>
    </cfRule>
  </conditionalFormatting>
  <conditionalFormatting sqref="H298">
    <cfRule type="notContainsErrors" dxfId="0" priority="243">
      <formula>NOT(ISERROR(H298))</formula>
    </cfRule>
  </conditionalFormatting>
  <conditionalFormatting sqref="H299">
    <cfRule type="notContainsErrors" dxfId="0" priority="244">
      <formula>NOT(ISERROR(H299))</formula>
    </cfRule>
  </conditionalFormatting>
  <conditionalFormatting sqref="H3">
    <cfRule type="notContainsErrors" dxfId="0" priority="2">
      <formula>NOT(ISERROR(H3))</formula>
    </cfRule>
  </conditionalFormatting>
  <conditionalFormatting sqref="H30">
    <cfRule type="notContainsErrors" dxfId="0" priority="25">
      <formula>NOT(ISERROR(H30))</formula>
    </cfRule>
  </conditionalFormatting>
  <conditionalFormatting sqref="H300">
    <cfRule type="notContainsErrors" dxfId="0" priority="245">
      <formula>NOT(ISERROR(H300))</formula>
    </cfRule>
  </conditionalFormatting>
  <conditionalFormatting sqref="H301">
    <cfRule type="notContainsErrors" dxfId="0" priority="246">
      <formula>NOT(ISERROR(H301))</formula>
    </cfRule>
  </conditionalFormatting>
  <conditionalFormatting sqref="H302">
    <cfRule type="notContainsErrors" dxfId="0" priority="247">
      <formula>NOT(ISERROR(H302))</formula>
    </cfRule>
  </conditionalFormatting>
  <conditionalFormatting sqref="H303">
    <cfRule type="notContainsErrors" dxfId="0" priority="248">
      <formula>NOT(ISERROR(H303))</formula>
    </cfRule>
  </conditionalFormatting>
  <conditionalFormatting sqref="H304">
    <cfRule type="notContainsErrors" dxfId="0" priority="249">
      <formula>NOT(ISERROR(H304))</formula>
    </cfRule>
  </conditionalFormatting>
  <conditionalFormatting sqref="H305">
    <cfRule type="notContainsErrors" dxfId="0" priority="250">
      <formula>NOT(ISERROR(H305))</formula>
    </cfRule>
  </conditionalFormatting>
  <conditionalFormatting sqref="H306">
    <cfRule type="notContainsErrors" dxfId="0" priority="251">
      <formula>NOT(ISERROR(H306))</formula>
    </cfRule>
  </conditionalFormatting>
  <conditionalFormatting sqref="H307">
    <cfRule type="notContainsErrors" dxfId="0" priority="252">
      <formula>NOT(ISERROR(H307))</formula>
    </cfRule>
  </conditionalFormatting>
  <conditionalFormatting sqref="H308">
    <cfRule type="notContainsErrors" dxfId="0" priority="253">
      <formula>NOT(ISERROR(H308))</formula>
    </cfRule>
  </conditionalFormatting>
  <conditionalFormatting sqref="H309">
    <cfRule type="notContainsErrors" dxfId="0" priority="254">
      <formula>NOT(ISERROR(H309))</formula>
    </cfRule>
  </conditionalFormatting>
  <conditionalFormatting sqref="H31">
    <cfRule type="notContainsErrors" dxfId="0" priority="26">
      <formula>NOT(ISERROR(H31))</formula>
    </cfRule>
  </conditionalFormatting>
  <conditionalFormatting sqref="H310">
    <cfRule type="notContainsErrors" dxfId="0" priority="255">
      <formula>NOT(ISERROR(H310))</formula>
    </cfRule>
  </conditionalFormatting>
  <conditionalFormatting sqref="H311">
    <cfRule type="notContainsErrors" dxfId="0" priority="256">
      <formula>NOT(ISERROR(H311))</formula>
    </cfRule>
  </conditionalFormatting>
  <conditionalFormatting sqref="H312">
    <cfRule type="notContainsErrors" dxfId="0" priority="257">
      <formula>NOT(ISERROR(H312))</formula>
    </cfRule>
  </conditionalFormatting>
  <conditionalFormatting sqref="H319">
    <cfRule type="notContainsErrors" dxfId="0" priority="258">
      <formula>NOT(ISERROR(H319))</formula>
    </cfRule>
  </conditionalFormatting>
  <conditionalFormatting sqref="H32">
    <cfRule type="notContainsErrors" dxfId="0" priority="27">
      <formula>NOT(ISERROR(H32))</formula>
    </cfRule>
  </conditionalFormatting>
  <conditionalFormatting sqref="H320">
    <cfRule type="notContainsErrors" dxfId="0" priority="259">
      <formula>NOT(ISERROR(H320))</formula>
    </cfRule>
  </conditionalFormatting>
  <conditionalFormatting sqref="H321">
    <cfRule type="notContainsErrors" dxfId="0" priority="260">
      <formula>NOT(ISERROR(H321))</formula>
    </cfRule>
  </conditionalFormatting>
  <conditionalFormatting sqref="H322">
    <cfRule type="notContainsErrors" dxfId="0" priority="261">
      <formula>NOT(ISERROR(H322))</formula>
    </cfRule>
  </conditionalFormatting>
  <conditionalFormatting sqref="H323">
    <cfRule type="notContainsErrors" dxfId="0" priority="262">
      <formula>NOT(ISERROR(H323))</formula>
    </cfRule>
  </conditionalFormatting>
  <conditionalFormatting sqref="H324">
    <cfRule type="notContainsErrors" dxfId="0" priority="263">
      <formula>NOT(ISERROR(H324))</formula>
    </cfRule>
  </conditionalFormatting>
  <conditionalFormatting sqref="H325">
    <cfRule type="notContainsErrors" dxfId="0" priority="264">
      <formula>NOT(ISERROR(H325))</formula>
    </cfRule>
  </conditionalFormatting>
  <conditionalFormatting sqref="H326">
    <cfRule type="notContainsErrors" dxfId="0" priority="265">
      <formula>NOT(ISERROR(H326))</formula>
    </cfRule>
  </conditionalFormatting>
  <conditionalFormatting sqref="H327">
    <cfRule type="notContainsErrors" dxfId="0" priority="266">
      <formula>NOT(ISERROR(H327))</formula>
    </cfRule>
  </conditionalFormatting>
  <conditionalFormatting sqref="H328">
    <cfRule type="notContainsErrors" dxfId="0" priority="267">
      <formula>NOT(ISERROR(H328))</formula>
    </cfRule>
  </conditionalFormatting>
  <conditionalFormatting sqref="H329">
    <cfRule type="notContainsErrors" dxfId="0" priority="268">
      <formula>NOT(ISERROR(H329))</formula>
    </cfRule>
  </conditionalFormatting>
  <conditionalFormatting sqref="H33">
    <cfRule type="notContainsErrors" dxfId="0" priority="28">
      <formula>NOT(ISERROR(H33))</formula>
    </cfRule>
  </conditionalFormatting>
  <conditionalFormatting sqref="H330">
    <cfRule type="notContainsErrors" dxfId="0" priority="269">
      <formula>NOT(ISERROR(H330))</formula>
    </cfRule>
  </conditionalFormatting>
  <conditionalFormatting sqref="H331">
    <cfRule type="notContainsErrors" dxfId="0" priority="270">
      <formula>NOT(ISERROR(H331))</formula>
    </cfRule>
  </conditionalFormatting>
  <conditionalFormatting sqref="H332">
    <cfRule type="notContainsErrors" dxfId="0" priority="271">
      <formula>NOT(ISERROR(H332))</formula>
    </cfRule>
  </conditionalFormatting>
  <conditionalFormatting sqref="H333">
    <cfRule type="notContainsErrors" dxfId="0" priority="272">
      <formula>NOT(ISERROR(H333))</formula>
    </cfRule>
  </conditionalFormatting>
  <conditionalFormatting sqref="H334">
    <cfRule type="notContainsErrors" dxfId="0" priority="273">
      <formula>NOT(ISERROR(H334))</formula>
    </cfRule>
  </conditionalFormatting>
  <conditionalFormatting sqref="H335">
    <cfRule type="notContainsErrors" dxfId="0" priority="274">
      <formula>NOT(ISERROR(H335))</formula>
    </cfRule>
  </conditionalFormatting>
  <conditionalFormatting sqref="H336">
    <cfRule type="notContainsErrors" dxfId="0" priority="275">
      <formula>NOT(ISERROR(H336))</formula>
    </cfRule>
  </conditionalFormatting>
  <conditionalFormatting sqref="H337">
    <cfRule type="notContainsErrors" dxfId="0" priority="276">
      <formula>NOT(ISERROR(H337))</formula>
    </cfRule>
  </conditionalFormatting>
  <conditionalFormatting sqref="H338">
    <cfRule type="notContainsErrors" dxfId="0" priority="277">
      <formula>NOT(ISERROR(H338))</formula>
    </cfRule>
  </conditionalFormatting>
  <conditionalFormatting sqref="H339">
    <cfRule type="notContainsErrors" dxfId="0" priority="278">
      <formula>NOT(ISERROR(H339))</formula>
    </cfRule>
  </conditionalFormatting>
  <conditionalFormatting sqref="H34">
    <cfRule type="notContainsErrors" dxfId="0" priority="29">
      <formula>NOT(ISERROR(H34))</formula>
    </cfRule>
  </conditionalFormatting>
  <conditionalFormatting sqref="H340">
    <cfRule type="notContainsErrors" dxfId="0" priority="279">
      <formula>NOT(ISERROR(H340))</formula>
    </cfRule>
  </conditionalFormatting>
  <conditionalFormatting sqref="H341">
    <cfRule type="notContainsErrors" dxfId="0" priority="280">
      <formula>NOT(ISERROR(H341))</formula>
    </cfRule>
  </conditionalFormatting>
  <conditionalFormatting sqref="H342">
    <cfRule type="notContainsErrors" dxfId="0" priority="281">
      <formula>NOT(ISERROR(H342))</formula>
    </cfRule>
  </conditionalFormatting>
  <conditionalFormatting sqref="H343">
    <cfRule type="notContainsErrors" dxfId="0" priority="282">
      <formula>NOT(ISERROR(H343))</formula>
    </cfRule>
  </conditionalFormatting>
  <conditionalFormatting sqref="H344">
    <cfRule type="notContainsErrors" dxfId="0" priority="283">
      <formula>NOT(ISERROR(H344))</formula>
    </cfRule>
  </conditionalFormatting>
  <conditionalFormatting sqref="H345">
    <cfRule type="notContainsErrors" dxfId="0" priority="284">
      <formula>NOT(ISERROR(H345))</formula>
    </cfRule>
  </conditionalFormatting>
  <conditionalFormatting sqref="H346">
    <cfRule type="notContainsErrors" dxfId="0" priority="285">
      <formula>NOT(ISERROR(H346))</formula>
    </cfRule>
  </conditionalFormatting>
  <conditionalFormatting sqref="H347">
    <cfRule type="notContainsErrors" dxfId="0" priority="286">
      <formula>NOT(ISERROR(H347))</formula>
    </cfRule>
  </conditionalFormatting>
  <conditionalFormatting sqref="H348">
    <cfRule type="notContainsErrors" dxfId="0" priority="287">
      <formula>NOT(ISERROR(H348))</formula>
    </cfRule>
  </conditionalFormatting>
  <conditionalFormatting sqref="H349">
    <cfRule type="notContainsErrors" dxfId="0" priority="288">
      <formula>NOT(ISERROR(H349))</formula>
    </cfRule>
  </conditionalFormatting>
  <conditionalFormatting sqref="H35">
    <cfRule type="notContainsErrors" dxfId="0" priority="30">
      <formula>NOT(ISERROR(H35))</formula>
    </cfRule>
  </conditionalFormatting>
  <conditionalFormatting sqref="H350">
    <cfRule type="notContainsErrors" dxfId="0" priority="289">
      <formula>NOT(ISERROR(H350))</formula>
    </cfRule>
  </conditionalFormatting>
  <conditionalFormatting sqref="H351">
    <cfRule type="notContainsErrors" dxfId="0" priority="290">
      <formula>NOT(ISERROR(H351))</formula>
    </cfRule>
  </conditionalFormatting>
  <conditionalFormatting sqref="H352">
    <cfRule type="notContainsErrors" dxfId="0" priority="291">
      <formula>NOT(ISERROR(H352))</formula>
    </cfRule>
  </conditionalFormatting>
  <conditionalFormatting sqref="H353">
    <cfRule type="notContainsErrors" dxfId="0" priority="292">
      <formula>NOT(ISERROR(H353))</formula>
    </cfRule>
  </conditionalFormatting>
  <conditionalFormatting sqref="H354">
    <cfRule type="notContainsErrors" dxfId="0" priority="293">
      <formula>NOT(ISERROR(H354))</formula>
    </cfRule>
  </conditionalFormatting>
  <conditionalFormatting sqref="H355">
    <cfRule type="notContainsErrors" dxfId="0" priority="294">
      <formula>NOT(ISERROR(H355))</formula>
    </cfRule>
  </conditionalFormatting>
  <conditionalFormatting sqref="H356">
    <cfRule type="notContainsErrors" dxfId="0" priority="295">
      <formula>NOT(ISERROR(H356))</formula>
    </cfRule>
  </conditionalFormatting>
  <conditionalFormatting sqref="H357">
    <cfRule type="notContainsErrors" dxfId="0" priority="296">
      <formula>NOT(ISERROR(H357))</formula>
    </cfRule>
  </conditionalFormatting>
  <conditionalFormatting sqref="H358">
    <cfRule type="notContainsErrors" dxfId="0" priority="297">
      <formula>NOT(ISERROR(H358))</formula>
    </cfRule>
  </conditionalFormatting>
  <conditionalFormatting sqref="H359">
    <cfRule type="notContainsErrors" dxfId="0" priority="298">
      <formula>NOT(ISERROR(H359))</formula>
    </cfRule>
  </conditionalFormatting>
  <conditionalFormatting sqref="H36">
    <cfRule type="notContainsErrors" dxfId="0" priority="31">
      <formula>NOT(ISERROR(H36))</formula>
    </cfRule>
  </conditionalFormatting>
  <conditionalFormatting sqref="H360">
    <cfRule type="notContainsErrors" dxfId="0" priority="299">
      <formula>NOT(ISERROR(H360))</formula>
    </cfRule>
  </conditionalFormatting>
  <conditionalFormatting sqref="H361">
    <cfRule type="notContainsErrors" dxfId="0" priority="300">
      <formula>NOT(ISERROR(H361))</formula>
    </cfRule>
  </conditionalFormatting>
  <conditionalFormatting sqref="H362">
    <cfRule type="notContainsErrors" dxfId="0" priority="301">
      <formula>NOT(ISERROR(H362))</formula>
    </cfRule>
  </conditionalFormatting>
  <conditionalFormatting sqref="H363">
    <cfRule type="notContainsErrors" dxfId="0" priority="302">
      <formula>NOT(ISERROR(H363))</formula>
    </cfRule>
  </conditionalFormatting>
  <conditionalFormatting sqref="H364">
    <cfRule type="notContainsErrors" dxfId="0" priority="303">
      <formula>NOT(ISERROR(H364))</formula>
    </cfRule>
  </conditionalFormatting>
  <conditionalFormatting sqref="H37">
    <cfRule type="notContainsErrors" dxfId="0" priority="32">
      <formula>NOT(ISERROR(H37))</formula>
    </cfRule>
  </conditionalFormatting>
  <conditionalFormatting sqref="H374">
    <cfRule type="notContainsErrors" dxfId="0" priority="304">
      <formula>NOT(ISERROR(H374))</formula>
    </cfRule>
  </conditionalFormatting>
  <conditionalFormatting sqref="H375">
    <cfRule type="notContainsErrors" dxfId="0" priority="305">
      <formula>NOT(ISERROR(H375))</formula>
    </cfRule>
  </conditionalFormatting>
  <conditionalFormatting sqref="H376">
    <cfRule type="notContainsErrors" dxfId="0" priority="306">
      <formula>NOT(ISERROR(H376))</formula>
    </cfRule>
  </conditionalFormatting>
  <conditionalFormatting sqref="H377">
    <cfRule type="notContainsErrors" dxfId="0" priority="307">
      <formula>NOT(ISERROR(H377))</formula>
    </cfRule>
  </conditionalFormatting>
  <conditionalFormatting sqref="H378">
    <cfRule type="notContainsErrors" dxfId="0" priority="308">
      <formula>NOT(ISERROR(H378))</formula>
    </cfRule>
  </conditionalFormatting>
  <conditionalFormatting sqref="H379">
    <cfRule type="notContainsErrors" dxfId="0" priority="309">
      <formula>NOT(ISERROR(H379))</formula>
    </cfRule>
  </conditionalFormatting>
  <conditionalFormatting sqref="H38">
    <cfRule type="notContainsErrors" dxfId="0" priority="33">
      <formula>NOT(ISERROR(H38))</formula>
    </cfRule>
  </conditionalFormatting>
  <conditionalFormatting sqref="H380">
    <cfRule type="notContainsErrors" dxfId="0" priority="310">
      <formula>NOT(ISERROR(H380))</formula>
    </cfRule>
  </conditionalFormatting>
  <conditionalFormatting sqref="H381">
    <cfRule type="notContainsErrors" dxfId="0" priority="311">
      <formula>NOT(ISERROR(H381))</formula>
    </cfRule>
  </conditionalFormatting>
  <conditionalFormatting sqref="H382">
    <cfRule type="notContainsErrors" dxfId="0" priority="312">
      <formula>NOT(ISERROR(H382))</formula>
    </cfRule>
  </conditionalFormatting>
  <conditionalFormatting sqref="H383">
    <cfRule type="notContainsErrors" dxfId="0" priority="313">
      <formula>NOT(ISERROR(H383))</formula>
    </cfRule>
  </conditionalFormatting>
  <conditionalFormatting sqref="H384">
    <cfRule type="notContainsErrors" dxfId="0" priority="314">
      <formula>NOT(ISERROR(H384))</formula>
    </cfRule>
  </conditionalFormatting>
  <conditionalFormatting sqref="H385">
    <cfRule type="notContainsErrors" dxfId="0" priority="315">
      <formula>NOT(ISERROR(H385))</formula>
    </cfRule>
  </conditionalFormatting>
  <conditionalFormatting sqref="H386">
    <cfRule type="notContainsErrors" dxfId="0" priority="316">
      <formula>NOT(ISERROR(H386))</formula>
    </cfRule>
  </conditionalFormatting>
  <conditionalFormatting sqref="H387">
    <cfRule type="notContainsErrors" dxfId="0" priority="317">
      <formula>NOT(ISERROR(H387))</formula>
    </cfRule>
  </conditionalFormatting>
  <conditionalFormatting sqref="H388">
    <cfRule type="notContainsErrors" dxfId="0" priority="318">
      <formula>NOT(ISERROR(H388))</formula>
    </cfRule>
  </conditionalFormatting>
  <conditionalFormatting sqref="H389">
    <cfRule type="notContainsErrors" dxfId="0" priority="319">
      <formula>NOT(ISERROR(H389))</formula>
    </cfRule>
  </conditionalFormatting>
  <conditionalFormatting sqref="H39">
    <cfRule type="notContainsErrors" dxfId="0" priority="34">
      <formula>NOT(ISERROR(H39))</formula>
    </cfRule>
  </conditionalFormatting>
  <conditionalFormatting sqref="H390">
    <cfRule type="notContainsErrors" dxfId="0" priority="320">
      <formula>NOT(ISERROR(H390))</formula>
    </cfRule>
  </conditionalFormatting>
  <conditionalFormatting sqref="H391">
    <cfRule type="notContainsErrors" dxfId="0" priority="321">
      <formula>NOT(ISERROR(H391))</formula>
    </cfRule>
  </conditionalFormatting>
  <conditionalFormatting sqref="H392">
    <cfRule type="notContainsErrors" dxfId="0" priority="322">
      <formula>NOT(ISERROR(H392))</formula>
    </cfRule>
  </conditionalFormatting>
  <conditionalFormatting sqref="H393">
    <cfRule type="notContainsErrors" dxfId="0" priority="323">
      <formula>NOT(ISERROR(H393))</formula>
    </cfRule>
  </conditionalFormatting>
  <conditionalFormatting sqref="H394">
    <cfRule type="notContainsErrors" dxfId="0" priority="324">
      <formula>NOT(ISERROR(H394))</formula>
    </cfRule>
  </conditionalFormatting>
  <conditionalFormatting sqref="H395">
    <cfRule type="notContainsErrors" dxfId="0" priority="325">
      <formula>NOT(ISERROR(H395))</formula>
    </cfRule>
  </conditionalFormatting>
  <conditionalFormatting sqref="H396">
    <cfRule type="notContainsErrors" dxfId="0" priority="326">
      <formula>NOT(ISERROR(H396))</formula>
    </cfRule>
  </conditionalFormatting>
  <conditionalFormatting sqref="H397">
    <cfRule type="notContainsErrors" dxfId="0" priority="327">
      <formula>NOT(ISERROR(H397))</formula>
    </cfRule>
  </conditionalFormatting>
  <conditionalFormatting sqref="H398">
    <cfRule type="notContainsErrors" dxfId="0" priority="328">
      <formula>NOT(ISERROR(H398))</formula>
    </cfRule>
  </conditionalFormatting>
  <conditionalFormatting sqref="H399">
    <cfRule type="notContainsErrors" dxfId="0" priority="329">
      <formula>NOT(ISERROR(H399))</formula>
    </cfRule>
  </conditionalFormatting>
  <conditionalFormatting sqref="H4">
    <cfRule type="notContainsErrors" dxfId="0" priority="3">
      <formula>NOT(ISERROR(H4))</formula>
    </cfRule>
  </conditionalFormatting>
  <conditionalFormatting sqref="H40">
    <cfRule type="notContainsErrors" dxfId="0" priority="35">
      <formula>NOT(ISERROR(H40))</formula>
    </cfRule>
  </conditionalFormatting>
  <conditionalFormatting sqref="H400">
    <cfRule type="notContainsErrors" dxfId="0" priority="330">
      <formula>NOT(ISERROR(H400))</formula>
    </cfRule>
  </conditionalFormatting>
  <conditionalFormatting sqref="H401">
    <cfRule type="notContainsErrors" dxfId="0" priority="331">
      <formula>NOT(ISERROR(H401))</formula>
    </cfRule>
  </conditionalFormatting>
  <conditionalFormatting sqref="H402">
    <cfRule type="notContainsErrors" dxfId="0" priority="332">
      <formula>NOT(ISERROR(H402))</formula>
    </cfRule>
  </conditionalFormatting>
  <conditionalFormatting sqref="H41">
    <cfRule type="notContainsErrors" dxfId="0" priority="36">
      <formula>NOT(ISERROR(H41))</formula>
    </cfRule>
  </conditionalFormatting>
  <conditionalFormatting sqref="H42">
    <cfRule type="notContainsErrors" dxfId="0" priority="37">
      <formula>NOT(ISERROR(H42))</formula>
    </cfRule>
  </conditionalFormatting>
  <conditionalFormatting sqref="H421">
    <cfRule type="notContainsErrors" dxfId="0" priority="333">
      <formula>NOT(ISERROR(H421))</formula>
    </cfRule>
  </conditionalFormatting>
  <conditionalFormatting sqref="H422">
    <cfRule type="notContainsErrors" dxfId="0" priority="334">
      <formula>NOT(ISERROR(H422))</formula>
    </cfRule>
  </conditionalFormatting>
  <conditionalFormatting sqref="H423">
    <cfRule type="notContainsErrors" dxfId="0" priority="335">
      <formula>NOT(ISERROR(H423))</formula>
    </cfRule>
  </conditionalFormatting>
  <conditionalFormatting sqref="H424">
    <cfRule type="notContainsErrors" dxfId="0" priority="336">
      <formula>NOT(ISERROR(H424))</formula>
    </cfRule>
  </conditionalFormatting>
  <conditionalFormatting sqref="H425">
    <cfRule type="notContainsErrors" dxfId="0" priority="337">
      <formula>NOT(ISERROR(H425))</formula>
    </cfRule>
  </conditionalFormatting>
  <conditionalFormatting sqref="H426">
    <cfRule type="notContainsErrors" dxfId="0" priority="338">
      <formula>NOT(ISERROR(H426))</formula>
    </cfRule>
  </conditionalFormatting>
  <conditionalFormatting sqref="H427">
    <cfRule type="notContainsErrors" dxfId="0" priority="339">
      <formula>NOT(ISERROR(H427))</formula>
    </cfRule>
  </conditionalFormatting>
  <conditionalFormatting sqref="H428">
    <cfRule type="notContainsErrors" dxfId="0" priority="340">
      <formula>NOT(ISERROR(H428))</formula>
    </cfRule>
  </conditionalFormatting>
  <conditionalFormatting sqref="H429">
    <cfRule type="notContainsErrors" dxfId="0" priority="341">
      <formula>NOT(ISERROR(H429))</formula>
    </cfRule>
  </conditionalFormatting>
  <conditionalFormatting sqref="H43">
    <cfRule type="notContainsErrors" dxfId="0" priority="38">
      <formula>NOT(ISERROR(H43))</formula>
    </cfRule>
  </conditionalFormatting>
  <conditionalFormatting sqref="H430">
    <cfRule type="notContainsErrors" dxfId="0" priority="342">
      <formula>NOT(ISERROR(H430))</formula>
    </cfRule>
  </conditionalFormatting>
  <conditionalFormatting sqref="H431">
    <cfRule type="notContainsErrors" dxfId="0" priority="343">
      <formula>NOT(ISERROR(H431))</formula>
    </cfRule>
  </conditionalFormatting>
  <conditionalFormatting sqref="H432">
    <cfRule type="notContainsErrors" dxfId="0" priority="344">
      <formula>NOT(ISERROR(H432))</formula>
    </cfRule>
  </conditionalFormatting>
  <conditionalFormatting sqref="H433">
    <cfRule type="notContainsErrors" dxfId="0" priority="345">
      <formula>NOT(ISERROR(H433))</formula>
    </cfRule>
  </conditionalFormatting>
  <conditionalFormatting sqref="H434">
    <cfRule type="notContainsErrors" dxfId="0" priority="346">
      <formula>NOT(ISERROR(H434))</formula>
    </cfRule>
  </conditionalFormatting>
  <conditionalFormatting sqref="H435">
    <cfRule type="notContainsErrors" dxfId="0" priority="347">
      <formula>NOT(ISERROR(H435))</formula>
    </cfRule>
  </conditionalFormatting>
  <conditionalFormatting sqref="H436">
    <cfRule type="notContainsErrors" dxfId="0" priority="348">
      <formula>NOT(ISERROR(H436))</formula>
    </cfRule>
  </conditionalFormatting>
  <conditionalFormatting sqref="H437">
    <cfRule type="notContainsErrors" dxfId="0" priority="349">
      <formula>NOT(ISERROR(H437))</formula>
    </cfRule>
  </conditionalFormatting>
  <conditionalFormatting sqref="H438">
    <cfRule type="notContainsErrors" dxfId="0" priority="350">
      <formula>NOT(ISERROR(H438))</formula>
    </cfRule>
  </conditionalFormatting>
  <conditionalFormatting sqref="H439">
    <cfRule type="notContainsErrors" dxfId="0" priority="351">
      <formula>NOT(ISERROR(H439))</formula>
    </cfRule>
  </conditionalFormatting>
  <conditionalFormatting sqref="H44">
    <cfRule type="notContainsErrors" dxfId="0" priority="39">
      <formula>NOT(ISERROR(H44))</formula>
    </cfRule>
  </conditionalFormatting>
  <conditionalFormatting sqref="H440">
    <cfRule type="notContainsErrors" dxfId="0" priority="352">
      <formula>NOT(ISERROR(H440))</formula>
    </cfRule>
  </conditionalFormatting>
  <conditionalFormatting sqref="H441">
    <cfRule type="notContainsErrors" dxfId="0" priority="353">
      <formula>NOT(ISERROR(H441))</formula>
    </cfRule>
  </conditionalFormatting>
  <conditionalFormatting sqref="H442">
    <cfRule type="notContainsErrors" dxfId="0" priority="354">
      <formula>NOT(ISERROR(H442))</formula>
    </cfRule>
  </conditionalFormatting>
  <conditionalFormatting sqref="H443">
    <cfRule type="notContainsErrors" dxfId="0" priority="355">
      <formula>NOT(ISERROR(H443))</formula>
    </cfRule>
  </conditionalFormatting>
  <conditionalFormatting sqref="H444">
    <cfRule type="notContainsErrors" dxfId="0" priority="356">
      <formula>NOT(ISERROR(H444))</formula>
    </cfRule>
  </conditionalFormatting>
  <conditionalFormatting sqref="H445">
    <cfRule type="notContainsErrors" dxfId="0" priority="357">
      <formula>NOT(ISERROR(H445))</formula>
    </cfRule>
  </conditionalFormatting>
  <conditionalFormatting sqref="H446">
    <cfRule type="notContainsErrors" dxfId="0" priority="358">
      <formula>NOT(ISERROR(H446))</formula>
    </cfRule>
  </conditionalFormatting>
  <conditionalFormatting sqref="H447">
    <cfRule type="notContainsErrors" dxfId="0" priority="359">
      <formula>NOT(ISERROR(H447))</formula>
    </cfRule>
  </conditionalFormatting>
  <conditionalFormatting sqref="H448">
    <cfRule type="notContainsErrors" dxfId="0" priority="360">
      <formula>NOT(ISERROR(H448))</formula>
    </cfRule>
  </conditionalFormatting>
  <conditionalFormatting sqref="H449">
    <cfRule type="notContainsErrors" dxfId="0" priority="361">
      <formula>NOT(ISERROR(H449))</formula>
    </cfRule>
  </conditionalFormatting>
  <conditionalFormatting sqref="H45">
    <cfRule type="notContainsErrors" dxfId="0" priority="40">
      <formula>NOT(ISERROR(H45))</formula>
    </cfRule>
  </conditionalFormatting>
  <conditionalFormatting sqref="H450">
    <cfRule type="notContainsErrors" dxfId="0" priority="362">
      <formula>NOT(ISERROR(H450))</formula>
    </cfRule>
  </conditionalFormatting>
  <conditionalFormatting sqref="H451">
    <cfRule type="notContainsErrors" dxfId="0" priority="363">
      <formula>NOT(ISERROR(H451))</formula>
    </cfRule>
  </conditionalFormatting>
  <conditionalFormatting sqref="H46">
    <cfRule type="notContainsErrors" dxfId="0" priority="41">
      <formula>NOT(ISERROR(H46))</formula>
    </cfRule>
  </conditionalFormatting>
  <conditionalFormatting sqref="H462">
    <cfRule type="notContainsErrors" dxfId="0" priority="364">
      <formula>NOT(ISERROR(H462))</formula>
    </cfRule>
  </conditionalFormatting>
  <conditionalFormatting sqref="H463">
    <cfRule type="notContainsErrors" dxfId="0" priority="365">
      <formula>NOT(ISERROR(H463))</formula>
    </cfRule>
  </conditionalFormatting>
  <conditionalFormatting sqref="H466">
    <cfRule type="notContainsErrors" dxfId="0" priority="366">
      <formula>NOT(ISERROR(H466))</formula>
    </cfRule>
  </conditionalFormatting>
  <conditionalFormatting sqref="H467">
    <cfRule type="notContainsErrors" dxfId="0" priority="367">
      <formula>NOT(ISERROR(H467))</formula>
    </cfRule>
  </conditionalFormatting>
  <conditionalFormatting sqref="H468">
    <cfRule type="notContainsErrors" dxfId="0" priority="368">
      <formula>NOT(ISERROR(H468))</formula>
    </cfRule>
  </conditionalFormatting>
  <conditionalFormatting sqref="H469">
    <cfRule type="notContainsErrors" dxfId="0" priority="369">
      <formula>NOT(ISERROR(H469))</formula>
    </cfRule>
  </conditionalFormatting>
  <conditionalFormatting sqref="H47">
    <cfRule type="notContainsErrors" dxfId="0" priority="42">
      <formula>NOT(ISERROR(H47))</formula>
    </cfRule>
  </conditionalFormatting>
  <conditionalFormatting sqref="H470">
    <cfRule type="notContainsErrors" dxfId="0" priority="370">
      <formula>NOT(ISERROR(H470))</formula>
    </cfRule>
  </conditionalFormatting>
  <conditionalFormatting sqref="H471">
    <cfRule type="notContainsErrors" dxfId="0" priority="371">
      <formula>NOT(ISERROR(H471))</formula>
    </cfRule>
  </conditionalFormatting>
  <conditionalFormatting sqref="H472">
    <cfRule type="notContainsErrors" dxfId="0" priority="372">
      <formula>NOT(ISERROR(H472))</formula>
    </cfRule>
  </conditionalFormatting>
  <conditionalFormatting sqref="H473">
    <cfRule type="notContainsErrors" dxfId="0" priority="373">
      <formula>NOT(ISERROR(H473))</formula>
    </cfRule>
  </conditionalFormatting>
  <conditionalFormatting sqref="H474">
    <cfRule type="notContainsErrors" dxfId="0" priority="374">
      <formula>NOT(ISERROR(H474))</formula>
    </cfRule>
  </conditionalFormatting>
  <conditionalFormatting sqref="H475">
    <cfRule type="notContainsErrors" dxfId="0" priority="375">
      <formula>NOT(ISERROR(H475))</formula>
    </cfRule>
  </conditionalFormatting>
  <conditionalFormatting sqref="H476">
    <cfRule type="notContainsErrors" dxfId="0" priority="376">
      <formula>NOT(ISERROR(H476))</formula>
    </cfRule>
  </conditionalFormatting>
  <conditionalFormatting sqref="H477">
    <cfRule type="notContainsErrors" dxfId="0" priority="377">
      <formula>NOT(ISERROR(H477))</formula>
    </cfRule>
  </conditionalFormatting>
  <conditionalFormatting sqref="H478">
    <cfRule type="notContainsErrors" dxfId="0" priority="378">
      <formula>NOT(ISERROR(H478))</formula>
    </cfRule>
  </conditionalFormatting>
  <conditionalFormatting sqref="H479">
    <cfRule type="notContainsErrors" dxfId="0" priority="379">
      <formula>NOT(ISERROR(H479))</formula>
    </cfRule>
  </conditionalFormatting>
  <conditionalFormatting sqref="H48">
    <cfRule type="notContainsErrors" dxfId="0" priority="43">
      <formula>NOT(ISERROR(H48))</formula>
    </cfRule>
  </conditionalFormatting>
  <conditionalFormatting sqref="H482">
    <cfRule type="notContainsErrors" dxfId="0" priority="380">
      <formula>NOT(ISERROR(H482))</formula>
    </cfRule>
  </conditionalFormatting>
  <conditionalFormatting sqref="H483">
    <cfRule type="notContainsErrors" dxfId="0" priority="381">
      <formula>NOT(ISERROR(H483))</formula>
    </cfRule>
  </conditionalFormatting>
  <conditionalFormatting sqref="H484">
    <cfRule type="notContainsErrors" dxfId="0" priority="382">
      <formula>NOT(ISERROR(H484))</formula>
    </cfRule>
  </conditionalFormatting>
  <conditionalFormatting sqref="H485">
    <cfRule type="notContainsErrors" dxfId="0" priority="383">
      <formula>NOT(ISERROR(H485))</formula>
    </cfRule>
  </conditionalFormatting>
  <conditionalFormatting sqref="H486">
    <cfRule type="notContainsErrors" dxfId="0" priority="384">
      <formula>NOT(ISERROR(H486))</formula>
    </cfRule>
  </conditionalFormatting>
  <conditionalFormatting sqref="H487">
    <cfRule type="notContainsErrors" dxfId="0" priority="385">
      <formula>NOT(ISERROR(H487))</formula>
    </cfRule>
  </conditionalFormatting>
  <conditionalFormatting sqref="H488">
    <cfRule type="notContainsErrors" dxfId="0" priority="386">
      <formula>NOT(ISERROR(H488))</formula>
    </cfRule>
  </conditionalFormatting>
  <conditionalFormatting sqref="H489">
    <cfRule type="notContainsErrors" dxfId="0" priority="387">
      <formula>NOT(ISERROR(H489))</formula>
    </cfRule>
  </conditionalFormatting>
  <conditionalFormatting sqref="H49">
    <cfRule type="notContainsErrors" dxfId="0" priority="44">
      <formula>NOT(ISERROR(H49))</formula>
    </cfRule>
  </conditionalFormatting>
  <conditionalFormatting sqref="H490">
    <cfRule type="notContainsErrors" dxfId="0" priority="388">
      <formula>NOT(ISERROR(H490))</formula>
    </cfRule>
  </conditionalFormatting>
  <conditionalFormatting sqref="H491">
    <cfRule type="notContainsErrors" dxfId="0" priority="389">
      <formula>NOT(ISERROR(H491))</formula>
    </cfRule>
  </conditionalFormatting>
  <conditionalFormatting sqref="H492">
    <cfRule type="notContainsErrors" dxfId="0" priority="390">
      <formula>NOT(ISERROR(H492))</formula>
    </cfRule>
  </conditionalFormatting>
  <conditionalFormatting sqref="H493">
    <cfRule type="notContainsErrors" dxfId="0" priority="391">
      <formula>NOT(ISERROR(H493))</formula>
    </cfRule>
  </conditionalFormatting>
  <conditionalFormatting sqref="H494">
    <cfRule type="notContainsErrors" dxfId="0" priority="392">
      <formula>NOT(ISERROR(H494))</formula>
    </cfRule>
  </conditionalFormatting>
  <conditionalFormatting sqref="H495">
    <cfRule type="notContainsErrors" dxfId="0" priority="393">
      <formula>NOT(ISERROR(H495))</formula>
    </cfRule>
  </conditionalFormatting>
  <conditionalFormatting sqref="H496">
    <cfRule type="notContainsErrors" dxfId="0" priority="394">
      <formula>NOT(ISERROR(H496))</formula>
    </cfRule>
  </conditionalFormatting>
  <conditionalFormatting sqref="H497">
    <cfRule type="notContainsErrors" dxfId="0" priority="395">
      <formula>NOT(ISERROR(H497))</formula>
    </cfRule>
  </conditionalFormatting>
  <conditionalFormatting sqref="H498">
    <cfRule type="notContainsErrors" dxfId="0" priority="396">
      <formula>NOT(ISERROR(H498))</formula>
    </cfRule>
  </conditionalFormatting>
  <conditionalFormatting sqref="H499">
    <cfRule type="notContainsErrors" dxfId="0" priority="397">
      <formula>NOT(ISERROR(H499))</formula>
    </cfRule>
  </conditionalFormatting>
  <conditionalFormatting sqref="H5">
    <cfRule type="notContainsErrors" dxfId="0" priority="4">
      <formula>NOT(ISERROR(H5))</formula>
    </cfRule>
  </conditionalFormatting>
  <conditionalFormatting sqref="H50">
    <cfRule type="notContainsErrors" dxfId="0" priority="45">
      <formula>NOT(ISERROR(H50))</formula>
    </cfRule>
  </conditionalFormatting>
  <conditionalFormatting sqref="H500">
    <cfRule type="notContainsErrors" dxfId="0" priority="398">
      <formula>NOT(ISERROR(H500))</formula>
    </cfRule>
  </conditionalFormatting>
  <conditionalFormatting sqref="H501">
    <cfRule type="notContainsErrors" dxfId="0" priority="399">
      <formula>NOT(ISERROR(H501))</formula>
    </cfRule>
  </conditionalFormatting>
  <conditionalFormatting sqref="H502">
    <cfRule type="notContainsErrors" dxfId="0" priority="400">
      <formula>NOT(ISERROR(H502))</formula>
    </cfRule>
  </conditionalFormatting>
  <conditionalFormatting sqref="H503">
    <cfRule type="notContainsErrors" dxfId="0" priority="401">
      <formula>NOT(ISERROR(H503))</formula>
    </cfRule>
  </conditionalFormatting>
  <conditionalFormatting sqref="H504">
    <cfRule type="notContainsErrors" dxfId="0" priority="402">
      <formula>NOT(ISERROR(H504))</formula>
    </cfRule>
  </conditionalFormatting>
  <conditionalFormatting sqref="H505">
    <cfRule type="notContainsErrors" dxfId="0" priority="403">
      <formula>NOT(ISERROR(H505))</formula>
    </cfRule>
  </conditionalFormatting>
  <conditionalFormatting sqref="H506">
    <cfRule type="notContainsErrors" dxfId="0" priority="404">
      <formula>NOT(ISERROR(H506))</formula>
    </cfRule>
  </conditionalFormatting>
  <conditionalFormatting sqref="H507">
    <cfRule type="notContainsErrors" dxfId="0" priority="405">
      <formula>NOT(ISERROR(H507))</formula>
    </cfRule>
  </conditionalFormatting>
  <conditionalFormatting sqref="H508">
    <cfRule type="notContainsErrors" dxfId="0" priority="406">
      <formula>NOT(ISERROR(H508))</formula>
    </cfRule>
  </conditionalFormatting>
  <conditionalFormatting sqref="H509">
    <cfRule type="notContainsErrors" dxfId="0" priority="407">
      <formula>NOT(ISERROR(H509))</formula>
    </cfRule>
  </conditionalFormatting>
  <conditionalFormatting sqref="H51">
    <cfRule type="notContainsErrors" dxfId="0" priority="46">
      <formula>NOT(ISERROR(H51))</formula>
    </cfRule>
  </conditionalFormatting>
  <conditionalFormatting sqref="H510">
    <cfRule type="notContainsErrors" dxfId="0" priority="408">
      <formula>NOT(ISERROR(H510))</formula>
    </cfRule>
  </conditionalFormatting>
  <conditionalFormatting sqref="H511">
    <cfRule type="notContainsErrors" dxfId="0" priority="409">
      <formula>NOT(ISERROR(H511))</formula>
    </cfRule>
  </conditionalFormatting>
  <conditionalFormatting sqref="H512">
    <cfRule type="notContainsErrors" dxfId="0" priority="410">
      <formula>NOT(ISERROR(H512))</formula>
    </cfRule>
  </conditionalFormatting>
  <conditionalFormatting sqref="H513">
    <cfRule type="notContainsErrors" dxfId="0" priority="411">
      <formula>NOT(ISERROR(H513))</formula>
    </cfRule>
  </conditionalFormatting>
  <conditionalFormatting sqref="H514">
    <cfRule type="notContainsErrors" dxfId="0" priority="412">
      <formula>NOT(ISERROR(H514))</formula>
    </cfRule>
  </conditionalFormatting>
  <conditionalFormatting sqref="H515">
    <cfRule type="notContainsErrors" dxfId="0" priority="413">
      <formula>NOT(ISERROR(H515))</formula>
    </cfRule>
  </conditionalFormatting>
  <conditionalFormatting sqref="H516">
    <cfRule type="notContainsErrors" dxfId="0" priority="414">
      <formula>NOT(ISERROR(H516))</formula>
    </cfRule>
  </conditionalFormatting>
  <conditionalFormatting sqref="H517">
    <cfRule type="notContainsErrors" dxfId="0" priority="415">
      <formula>NOT(ISERROR(H517))</formula>
    </cfRule>
  </conditionalFormatting>
  <conditionalFormatting sqref="H518">
    <cfRule type="notContainsErrors" dxfId="0" priority="416">
      <formula>NOT(ISERROR(H518))</formula>
    </cfRule>
  </conditionalFormatting>
  <conditionalFormatting sqref="H519">
    <cfRule type="notContainsErrors" dxfId="0" priority="417">
      <formula>NOT(ISERROR(H519))</formula>
    </cfRule>
  </conditionalFormatting>
  <conditionalFormatting sqref="H52">
    <cfRule type="notContainsErrors" dxfId="0" priority="47">
      <formula>NOT(ISERROR(H52))</formula>
    </cfRule>
  </conditionalFormatting>
  <conditionalFormatting sqref="H520">
    <cfRule type="notContainsErrors" dxfId="0" priority="418">
      <formula>NOT(ISERROR(H520))</formula>
    </cfRule>
  </conditionalFormatting>
  <conditionalFormatting sqref="H521">
    <cfRule type="notContainsErrors" dxfId="0" priority="419">
      <formula>NOT(ISERROR(H521))</formula>
    </cfRule>
  </conditionalFormatting>
  <conditionalFormatting sqref="H522">
    <cfRule type="notContainsErrors" dxfId="0" priority="420">
      <formula>NOT(ISERROR(H522))</formula>
    </cfRule>
  </conditionalFormatting>
  <conditionalFormatting sqref="H523">
    <cfRule type="notContainsErrors" dxfId="0" priority="421">
      <formula>NOT(ISERROR(H523))</formula>
    </cfRule>
  </conditionalFormatting>
  <conditionalFormatting sqref="H524">
    <cfRule type="notContainsErrors" dxfId="0" priority="422">
      <formula>NOT(ISERROR(H524))</formula>
    </cfRule>
  </conditionalFormatting>
  <conditionalFormatting sqref="H525">
    <cfRule type="notContainsErrors" dxfId="0" priority="423">
      <formula>NOT(ISERROR(H525))</formula>
    </cfRule>
  </conditionalFormatting>
  <conditionalFormatting sqref="H526">
    <cfRule type="notContainsErrors" dxfId="0" priority="424">
      <formula>NOT(ISERROR(H526))</formula>
    </cfRule>
  </conditionalFormatting>
  <conditionalFormatting sqref="H527">
    <cfRule type="notContainsErrors" dxfId="0" priority="425">
      <formula>NOT(ISERROR(H527))</formula>
    </cfRule>
  </conditionalFormatting>
  <conditionalFormatting sqref="H528">
    <cfRule type="notContainsErrors" dxfId="0" priority="426">
      <formula>NOT(ISERROR(H528))</formula>
    </cfRule>
  </conditionalFormatting>
  <conditionalFormatting sqref="H529">
    <cfRule type="notContainsErrors" dxfId="0" priority="427">
      <formula>NOT(ISERROR(H529))</formula>
    </cfRule>
  </conditionalFormatting>
  <conditionalFormatting sqref="H53">
    <cfRule type="notContainsErrors" dxfId="0" priority="48">
      <formula>NOT(ISERROR(H53))</formula>
    </cfRule>
  </conditionalFormatting>
  <conditionalFormatting sqref="H530">
    <cfRule type="notContainsErrors" dxfId="0" priority="428">
      <formula>NOT(ISERROR(H530))</formula>
    </cfRule>
  </conditionalFormatting>
  <conditionalFormatting sqref="H531">
    <cfRule type="notContainsErrors" dxfId="0" priority="429">
      <formula>NOT(ISERROR(H531))</formula>
    </cfRule>
  </conditionalFormatting>
  <conditionalFormatting sqref="H532">
    <cfRule type="notContainsErrors" dxfId="0" priority="430">
      <formula>NOT(ISERROR(H532))</formula>
    </cfRule>
  </conditionalFormatting>
  <conditionalFormatting sqref="H533">
    <cfRule type="notContainsErrors" dxfId="0" priority="431">
      <formula>NOT(ISERROR(H533))</formula>
    </cfRule>
  </conditionalFormatting>
  <conditionalFormatting sqref="H534">
    <cfRule type="notContainsErrors" dxfId="0" priority="432">
      <formula>NOT(ISERROR(H534))</formula>
    </cfRule>
  </conditionalFormatting>
  <conditionalFormatting sqref="H535">
    <cfRule type="notContainsErrors" dxfId="0" priority="433">
      <formula>NOT(ISERROR(H535))</formula>
    </cfRule>
  </conditionalFormatting>
  <conditionalFormatting sqref="H536">
    <cfRule type="notContainsErrors" dxfId="0" priority="434">
      <formula>NOT(ISERROR(H536))</formula>
    </cfRule>
  </conditionalFormatting>
  <conditionalFormatting sqref="H537">
    <cfRule type="notContainsErrors" dxfId="0" priority="435">
      <formula>NOT(ISERROR(H537))</formula>
    </cfRule>
  </conditionalFormatting>
  <conditionalFormatting sqref="H538">
    <cfRule type="notContainsErrors" dxfId="0" priority="436">
      <formula>NOT(ISERROR(H538))</formula>
    </cfRule>
  </conditionalFormatting>
  <conditionalFormatting sqref="H539">
    <cfRule type="notContainsErrors" dxfId="0" priority="437">
      <formula>NOT(ISERROR(H539))</formula>
    </cfRule>
  </conditionalFormatting>
  <conditionalFormatting sqref="H54">
    <cfRule type="notContainsErrors" dxfId="0" priority="49">
      <formula>NOT(ISERROR(H54))</formula>
    </cfRule>
  </conditionalFormatting>
  <conditionalFormatting sqref="H540">
    <cfRule type="notContainsErrors" dxfId="0" priority="438">
      <formula>NOT(ISERROR(H540))</formula>
    </cfRule>
  </conditionalFormatting>
  <conditionalFormatting sqref="H541">
    <cfRule type="notContainsErrors" dxfId="0" priority="439">
      <formula>NOT(ISERROR(H541))</formula>
    </cfRule>
  </conditionalFormatting>
  <conditionalFormatting sqref="H542">
    <cfRule type="notContainsErrors" dxfId="0" priority="440">
      <formula>NOT(ISERROR(H542))</formula>
    </cfRule>
  </conditionalFormatting>
  <conditionalFormatting sqref="H543">
    <cfRule type="notContainsErrors" dxfId="0" priority="441">
      <formula>NOT(ISERROR(H543))</formula>
    </cfRule>
  </conditionalFormatting>
  <conditionalFormatting sqref="H544">
    <cfRule type="notContainsErrors" dxfId="0" priority="442">
      <formula>NOT(ISERROR(H544))</formula>
    </cfRule>
  </conditionalFormatting>
  <conditionalFormatting sqref="H545">
    <cfRule type="notContainsErrors" dxfId="0" priority="443">
      <formula>NOT(ISERROR(H545))</formula>
    </cfRule>
  </conditionalFormatting>
  <conditionalFormatting sqref="H546">
    <cfRule type="notContainsErrors" dxfId="0" priority="444">
      <formula>NOT(ISERROR(H546))</formula>
    </cfRule>
  </conditionalFormatting>
  <conditionalFormatting sqref="H547">
    <cfRule type="notContainsErrors" dxfId="0" priority="445">
      <formula>NOT(ISERROR(H547))</formula>
    </cfRule>
  </conditionalFormatting>
  <conditionalFormatting sqref="H548">
    <cfRule type="notContainsErrors" dxfId="0" priority="446">
      <formula>NOT(ISERROR(H548))</formula>
    </cfRule>
  </conditionalFormatting>
  <conditionalFormatting sqref="H549">
    <cfRule type="notContainsErrors" dxfId="0" priority="447">
      <formula>NOT(ISERROR(H549))</formula>
    </cfRule>
  </conditionalFormatting>
  <conditionalFormatting sqref="H55">
    <cfRule type="notContainsErrors" dxfId="0" priority="50">
      <formula>NOT(ISERROR(H55))</formula>
    </cfRule>
  </conditionalFormatting>
  <conditionalFormatting sqref="H550">
    <cfRule type="notContainsErrors" dxfId="0" priority="448">
      <formula>NOT(ISERROR(H550))</formula>
    </cfRule>
  </conditionalFormatting>
  <conditionalFormatting sqref="H551">
    <cfRule type="notContainsErrors" dxfId="0" priority="449">
      <formula>NOT(ISERROR(H551))</formula>
    </cfRule>
  </conditionalFormatting>
  <conditionalFormatting sqref="H552">
    <cfRule type="notContainsErrors" dxfId="0" priority="450">
      <formula>NOT(ISERROR(H552))</formula>
    </cfRule>
  </conditionalFormatting>
  <conditionalFormatting sqref="H553">
    <cfRule type="notContainsErrors" dxfId="0" priority="451">
      <formula>NOT(ISERROR(H553))</formula>
    </cfRule>
  </conditionalFormatting>
  <conditionalFormatting sqref="H554">
    <cfRule type="notContainsErrors" dxfId="0" priority="452">
      <formula>NOT(ISERROR(H554))</formula>
    </cfRule>
  </conditionalFormatting>
  <conditionalFormatting sqref="H555">
    <cfRule type="notContainsErrors" dxfId="0" priority="453">
      <formula>NOT(ISERROR(H555))</formula>
    </cfRule>
  </conditionalFormatting>
  <conditionalFormatting sqref="H556">
    <cfRule type="notContainsErrors" dxfId="0" priority="454">
      <formula>NOT(ISERROR(H556))</formula>
    </cfRule>
  </conditionalFormatting>
  <conditionalFormatting sqref="H557">
    <cfRule type="notContainsErrors" dxfId="0" priority="455">
      <formula>NOT(ISERROR(H557))</formula>
    </cfRule>
  </conditionalFormatting>
  <conditionalFormatting sqref="H558">
    <cfRule type="notContainsErrors" dxfId="0" priority="456">
      <formula>NOT(ISERROR(H558))</formula>
    </cfRule>
  </conditionalFormatting>
  <conditionalFormatting sqref="H559">
    <cfRule type="notContainsErrors" dxfId="0" priority="457">
      <formula>NOT(ISERROR(H559))</formula>
    </cfRule>
  </conditionalFormatting>
  <conditionalFormatting sqref="H56">
    <cfRule type="notContainsErrors" dxfId="0" priority="51">
      <formula>NOT(ISERROR(H56))</formula>
    </cfRule>
  </conditionalFormatting>
  <conditionalFormatting sqref="H560">
    <cfRule type="notContainsErrors" dxfId="0" priority="458">
      <formula>NOT(ISERROR(H560))</formula>
    </cfRule>
  </conditionalFormatting>
  <conditionalFormatting sqref="H561">
    <cfRule type="notContainsErrors" dxfId="0" priority="459">
      <formula>NOT(ISERROR(H561))</formula>
    </cfRule>
  </conditionalFormatting>
  <conditionalFormatting sqref="H562">
    <cfRule type="notContainsErrors" dxfId="0" priority="460">
      <formula>NOT(ISERROR(H562))</formula>
    </cfRule>
  </conditionalFormatting>
  <conditionalFormatting sqref="H563">
    <cfRule type="notContainsErrors" dxfId="0" priority="461">
      <formula>NOT(ISERROR(H563))</formula>
    </cfRule>
  </conditionalFormatting>
  <conditionalFormatting sqref="H564">
    <cfRule type="notContainsErrors" dxfId="0" priority="462">
      <formula>NOT(ISERROR(H564))</formula>
    </cfRule>
  </conditionalFormatting>
  <conditionalFormatting sqref="H565">
    <cfRule type="notContainsErrors" dxfId="0" priority="463">
      <formula>NOT(ISERROR(H565))</formula>
    </cfRule>
  </conditionalFormatting>
  <conditionalFormatting sqref="H566">
    <cfRule type="notContainsErrors" dxfId="0" priority="464">
      <formula>NOT(ISERROR(H566))</formula>
    </cfRule>
  </conditionalFormatting>
  <conditionalFormatting sqref="H567">
    <cfRule type="notContainsErrors" dxfId="0" priority="465">
      <formula>NOT(ISERROR(H567))</formula>
    </cfRule>
  </conditionalFormatting>
  <conditionalFormatting sqref="H568">
    <cfRule type="notContainsErrors" dxfId="0" priority="466">
      <formula>NOT(ISERROR(H568))</formula>
    </cfRule>
  </conditionalFormatting>
  <conditionalFormatting sqref="H569">
    <cfRule type="notContainsErrors" dxfId="0" priority="467">
      <formula>NOT(ISERROR(H569))</formula>
    </cfRule>
  </conditionalFormatting>
  <conditionalFormatting sqref="H57">
    <cfRule type="notContainsErrors" dxfId="0" priority="52">
      <formula>NOT(ISERROR(H57))</formula>
    </cfRule>
  </conditionalFormatting>
  <conditionalFormatting sqref="H570">
    <cfRule type="notContainsErrors" dxfId="0" priority="468">
      <formula>NOT(ISERROR(H570))</formula>
    </cfRule>
  </conditionalFormatting>
  <conditionalFormatting sqref="H571">
    <cfRule type="notContainsErrors" dxfId="0" priority="469">
      <formula>NOT(ISERROR(H571))</formula>
    </cfRule>
  </conditionalFormatting>
  <conditionalFormatting sqref="H572">
    <cfRule type="notContainsErrors" dxfId="0" priority="470">
      <formula>NOT(ISERROR(H572))</formula>
    </cfRule>
  </conditionalFormatting>
  <conditionalFormatting sqref="H573">
    <cfRule type="notContainsErrors" dxfId="0" priority="471">
      <formula>NOT(ISERROR(H573))</formula>
    </cfRule>
  </conditionalFormatting>
  <conditionalFormatting sqref="H574">
    <cfRule type="notContainsErrors" dxfId="0" priority="472">
      <formula>NOT(ISERROR(H574))</formula>
    </cfRule>
  </conditionalFormatting>
  <conditionalFormatting sqref="H575">
    <cfRule type="notContainsErrors" dxfId="0" priority="473">
      <formula>NOT(ISERROR(H575))</formula>
    </cfRule>
  </conditionalFormatting>
  <conditionalFormatting sqref="H576">
    <cfRule type="notContainsErrors" dxfId="0" priority="474">
      <formula>NOT(ISERROR(H576))</formula>
    </cfRule>
  </conditionalFormatting>
  <conditionalFormatting sqref="H577">
    <cfRule type="notContainsErrors" dxfId="0" priority="475">
      <formula>NOT(ISERROR(H577))</formula>
    </cfRule>
  </conditionalFormatting>
  <conditionalFormatting sqref="H578">
    <cfRule type="notContainsErrors" dxfId="0" priority="476">
      <formula>NOT(ISERROR(H578))</formula>
    </cfRule>
  </conditionalFormatting>
  <conditionalFormatting sqref="H579">
    <cfRule type="notContainsErrors" dxfId="0" priority="477">
      <formula>NOT(ISERROR(H579))</formula>
    </cfRule>
  </conditionalFormatting>
  <conditionalFormatting sqref="H58">
    <cfRule type="notContainsErrors" dxfId="0" priority="53">
      <formula>NOT(ISERROR(H58))</formula>
    </cfRule>
  </conditionalFormatting>
  <conditionalFormatting sqref="H580">
    <cfRule type="notContainsErrors" dxfId="0" priority="478">
      <formula>NOT(ISERROR(H580))</formula>
    </cfRule>
  </conditionalFormatting>
  <conditionalFormatting sqref="H581">
    <cfRule type="notContainsErrors" dxfId="0" priority="479">
      <formula>NOT(ISERROR(H581))</formula>
    </cfRule>
  </conditionalFormatting>
  <conditionalFormatting sqref="H582">
    <cfRule type="notContainsErrors" dxfId="0" priority="480">
      <formula>NOT(ISERROR(H582))</formula>
    </cfRule>
  </conditionalFormatting>
  <conditionalFormatting sqref="H583">
    <cfRule type="notContainsErrors" dxfId="0" priority="481">
      <formula>NOT(ISERROR(H583))</formula>
    </cfRule>
  </conditionalFormatting>
  <conditionalFormatting sqref="H584">
    <cfRule type="notContainsErrors" dxfId="0" priority="482">
      <formula>NOT(ISERROR(H584))</formula>
    </cfRule>
  </conditionalFormatting>
  <conditionalFormatting sqref="H585">
    <cfRule type="notContainsErrors" dxfId="0" priority="483">
      <formula>NOT(ISERROR(H585))</formula>
    </cfRule>
  </conditionalFormatting>
  <conditionalFormatting sqref="H586">
    <cfRule type="notContainsErrors" dxfId="0" priority="484">
      <formula>NOT(ISERROR(H586))</formula>
    </cfRule>
  </conditionalFormatting>
  <conditionalFormatting sqref="H587">
    <cfRule type="notContainsErrors" dxfId="0" priority="485">
      <formula>NOT(ISERROR(H587))</formula>
    </cfRule>
  </conditionalFormatting>
  <conditionalFormatting sqref="H59">
    <cfRule type="notContainsErrors" dxfId="0" priority="54">
      <formula>NOT(ISERROR(H59))</formula>
    </cfRule>
  </conditionalFormatting>
  <conditionalFormatting sqref="H6">
    <cfRule type="notContainsErrors" dxfId="0" priority="5">
      <formula>NOT(ISERROR(H6))</formula>
    </cfRule>
  </conditionalFormatting>
  <conditionalFormatting sqref="H60">
    <cfRule type="notContainsErrors" dxfId="0" priority="55">
      <formula>NOT(ISERROR(H60))</formula>
    </cfRule>
  </conditionalFormatting>
  <conditionalFormatting sqref="H61">
    <cfRule type="notContainsErrors" dxfId="0" priority="56">
      <formula>NOT(ISERROR(H61))</formula>
    </cfRule>
  </conditionalFormatting>
  <conditionalFormatting sqref="H62">
    <cfRule type="notContainsErrors" dxfId="0" priority="57">
      <formula>NOT(ISERROR(H62))</formula>
    </cfRule>
  </conditionalFormatting>
  <conditionalFormatting sqref="H63">
    <cfRule type="notContainsErrors" dxfId="0" priority="58">
      <formula>NOT(ISERROR(H63))</formula>
    </cfRule>
  </conditionalFormatting>
  <conditionalFormatting sqref="H64">
    <cfRule type="notContainsErrors" dxfId="0" priority="59">
      <formula>NOT(ISERROR(H64))</formula>
    </cfRule>
  </conditionalFormatting>
  <conditionalFormatting sqref="H65">
    <cfRule type="notContainsErrors" dxfId="0" priority="60">
      <formula>NOT(ISERROR(H65))</formula>
    </cfRule>
  </conditionalFormatting>
  <conditionalFormatting sqref="H66">
    <cfRule type="notContainsErrors" dxfId="0" priority="61">
      <formula>NOT(ISERROR(H66))</formula>
    </cfRule>
  </conditionalFormatting>
  <conditionalFormatting sqref="H67">
    <cfRule type="notContainsErrors" dxfId="0" priority="62">
      <formula>NOT(ISERROR(H67))</formula>
    </cfRule>
  </conditionalFormatting>
  <conditionalFormatting sqref="H68">
    <cfRule type="notContainsErrors" dxfId="0" priority="63">
      <formula>NOT(ISERROR(H68))</formula>
    </cfRule>
  </conditionalFormatting>
  <conditionalFormatting sqref="H7">
    <cfRule type="notContainsErrors" dxfId="0" priority="6">
      <formula>NOT(ISERROR(H7))</formula>
    </cfRule>
  </conditionalFormatting>
  <conditionalFormatting sqref="H71">
    <cfRule type="notContainsErrors" dxfId="0" priority="64">
      <formula>NOT(ISERROR(H71))</formula>
    </cfRule>
  </conditionalFormatting>
  <conditionalFormatting sqref="H72">
    <cfRule type="notContainsErrors" dxfId="0" priority="65">
      <formula>NOT(ISERROR(H72))</formula>
    </cfRule>
  </conditionalFormatting>
  <conditionalFormatting sqref="H73">
    <cfRule type="notContainsErrors" dxfId="0" priority="66">
      <formula>NOT(ISERROR(H73))</formula>
    </cfRule>
  </conditionalFormatting>
  <conditionalFormatting sqref="H74">
    <cfRule type="notContainsErrors" dxfId="0" priority="67">
      <formula>NOT(ISERROR(H74))</formula>
    </cfRule>
  </conditionalFormatting>
  <conditionalFormatting sqref="H75">
    <cfRule type="notContainsErrors" dxfId="0" priority="68">
      <formula>NOT(ISERROR(H75))</formula>
    </cfRule>
  </conditionalFormatting>
  <conditionalFormatting sqref="H76">
    <cfRule type="notContainsErrors" dxfId="0" priority="69">
      <formula>NOT(ISERROR(H76))</formula>
    </cfRule>
  </conditionalFormatting>
  <conditionalFormatting sqref="H77">
    <cfRule type="notContainsErrors" dxfId="0" priority="70">
      <formula>NOT(ISERROR(H77))</formula>
    </cfRule>
  </conditionalFormatting>
  <conditionalFormatting sqref="H78">
    <cfRule type="notContainsErrors" dxfId="0" priority="71">
      <formula>NOT(ISERROR(H78))</formula>
    </cfRule>
  </conditionalFormatting>
  <conditionalFormatting sqref="H79">
    <cfRule type="notContainsErrors" dxfId="0" priority="72">
      <formula>NOT(ISERROR(H79))</formula>
    </cfRule>
  </conditionalFormatting>
  <conditionalFormatting sqref="H8">
    <cfRule type="notContainsErrors" dxfId="0" priority="7">
      <formula>NOT(ISERROR(H8))</formula>
    </cfRule>
  </conditionalFormatting>
  <conditionalFormatting sqref="H80">
    <cfRule type="notContainsErrors" dxfId="0" priority="73">
      <formula>NOT(ISERROR(H80))</formula>
    </cfRule>
  </conditionalFormatting>
  <conditionalFormatting sqref="H81">
    <cfRule type="notContainsErrors" dxfId="0" priority="74">
      <formula>NOT(ISERROR(H81))</formula>
    </cfRule>
  </conditionalFormatting>
  <conditionalFormatting sqref="H82">
    <cfRule type="notContainsErrors" dxfId="0" priority="75">
      <formula>NOT(ISERROR(H82))</formula>
    </cfRule>
  </conditionalFormatting>
  <conditionalFormatting sqref="H83">
    <cfRule type="notContainsErrors" dxfId="0" priority="76">
      <formula>NOT(ISERROR(H83))</formula>
    </cfRule>
  </conditionalFormatting>
  <conditionalFormatting sqref="H84">
    <cfRule type="notContainsErrors" dxfId="0" priority="77">
      <formula>NOT(ISERROR(H84))</formula>
    </cfRule>
  </conditionalFormatting>
  <conditionalFormatting sqref="H85">
    <cfRule type="notContainsErrors" dxfId="0" priority="78">
      <formula>NOT(ISERROR(H85))</formula>
    </cfRule>
  </conditionalFormatting>
  <conditionalFormatting sqref="H86">
    <cfRule type="notContainsErrors" dxfId="0" priority="79">
      <formula>NOT(ISERROR(H86))</formula>
    </cfRule>
  </conditionalFormatting>
  <conditionalFormatting sqref="H87">
    <cfRule type="notContainsErrors" dxfId="0" priority="80">
      <formula>NOT(ISERROR(H87))</formula>
    </cfRule>
  </conditionalFormatting>
  <conditionalFormatting sqref="H88">
    <cfRule type="notContainsErrors" dxfId="0" priority="81">
      <formula>NOT(ISERROR(H88))</formula>
    </cfRule>
  </conditionalFormatting>
  <conditionalFormatting sqref="H89">
    <cfRule type="notContainsErrors" dxfId="0" priority="82">
      <formula>NOT(ISERROR(H89))</formula>
    </cfRule>
  </conditionalFormatting>
  <conditionalFormatting sqref="H9">
    <cfRule type="notContainsErrors" dxfId="0" priority="8">
      <formula>NOT(ISERROR(H9))</formula>
    </cfRule>
  </conditionalFormatting>
  <conditionalFormatting sqref="H90">
    <cfRule type="notContainsErrors" dxfId="0" priority="83">
      <formula>NOT(ISERROR(H90))</formula>
    </cfRule>
  </conditionalFormatting>
  <conditionalFormatting sqref="H91">
    <cfRule type="notContainsErrors" dxfId="0" priority="84">
      <formula>NOT(ISERROR(H91))</formula>
    </cfRule>
  </conditionalFormatting>
  <conditionalFormatting sqref="H92">
    <cfRule type="notContainsErrors" dxfId="0" priority="85">
      <formula>NOT(ISERROR(H92))</formula>
    </cfRule>
  </conditionalFormatting>
  <conditionalFormatting sqref="H93">
    <cfRule type="notContainsErrors" dxfId="0" priority="86">
      <formula>NOT(ISERROR(H93))</formula>
    </cfRule>
  </conditionalFormatting>
  <conditionalFormatting sqref="H94">
    <cfRule type="notContainsErrors" dxfId="0" priority="87">
      <formula>NOT(ISERROR(H94))</formula>
    </cfRule>
  </conditionalFormatting>
  <conditionalFormatting sqref="H95">
    <cfRule type="notContainsErrors" dxfId="0" priority="88">
      <formula>NOT(ISERROR(H95))</formula>
    </cfRule>
  </conditionalFormatting>
  <conditionalFormatting sqref="H96">
    <cfRule type="notContainsErrors" dxfId="0" priority="89">
      <formula>NOT(ISERROR(H96))</formula>
    </cfRule>
  </conditionalFormatting>
  <conditionalFormatting sqref="H97">
    <cfRule type="notContainsErrors" dxfId="0" priority="90">
      <formula>NOT(ISERROR(H97))</formula>
    </cfRule>
  </conditionalFormatting>
  <conditionalFormatting sqref="H98">
    <cfRule type="notContainsErrors" dxfId="0" priority="91">
      <formula>NOT(ISERROR(H98))</formula>
    </cfRule>
  </conditionalFormatting>
  <conditionalFormatting sqref="H99">
    <cfRule type="notContainsErrors" dxfId="0" priority="92">
      <formula>NOT(ISERROR(H99))</formula>
    </cfRule>
  </conditionalFormatting>
  <conditionalFormatting sqref="O2:O587">
    <cfRule type="containsBlanks" dxfId="3" priority="486">
      <formula>LEN(TRIM(O2))=0</formula>
    </cfRule>
  </conditionalFormatting>
  <conditionalFormatting sqref="P2:P587">
    <cfRule type="containsBlanks" dxfId="3" priority="487">
      <formula>LEN(TRIM(P2))=0</formula>
    </cfRule>
  </conditionalFormatting>
  <conditionalFormatting sqref="Q2:Q587">
    <cfRule type="containsBlanks" dxfId="3" priority="488">
      <formula>LEN(TRIM(Q2))=0</formula>
    </cfRule>
  </conditionalFormatting>
  <conditionalFormatting sqref="R2:R587">
    <cfRule type="containsBlanks" dxfId="3" priority="489">
      <formula>LEN(TRIM(R2))=0</formula>
    </cfRule>
  </conditionalFormatting>
  <conditionalFormatting sqref="S2:S587">
    <cfRule type="containsBlanks" dxfId="3" priority="490">
      <formula>LEN(TRIM(S2))=0</formula>
    </cfRule>
  </conditionalFormatting>
  <conditionalFormatting sqref="T2:T587">
    <cfRule type="containsBlanks" dxfId="3" priority="491">
      <formula>LEN(TRIM(T2))=0</formula>
    </cfRule>
  </conditionalFormatting>
  <conditionalFormatting sqref="U2:U587">
    <cfRule type="containsBlanks" dxfId="3" priority="492">
      <formula>LEN(TRIM(U2))=0</formula>
    </cfRule>
  </conditionalFormatting>
  <conditionalFormatting sqref="V2:V587">
    <cfRule type="containsBlanks" dxfId="3" priority="493">
      <formula>LEN(TRIM(V2))=0</formula>
    </cfRule>
  </conditionalFormatting>
  <conditionalFormatting sqref="W2:W587">
    <cfRule type="containsBlanks" dxfId="3" priority="494">
      <formula>LEN(TRIM(W2))=0</formula>
    </cfRule>
  </conditionalFormatting>
  <conditionalFormatting sqref="X2:X587">
    <cfRule type="containsBlanks" dxfId="3" priority="495">
      <formula>LEN(TRIM(X2))=0</formula>
    </cfRule>
  </conditionalFormatting>
  <conditionalFormatting sqref="Y2:Y587">
    <cfRule type="containsBlanks" dxfId="3" priority="496">
      <formula>LEN(TRIM(Y2))=0</formula>
    </cfRule>
  </conditionalFormatting>
  <conditionalFormatting sqref="Z2:Z587">
    <cfRule type="containsBlanks" dxfId="3" priority="497">
      <formula>LEN(TRIM(Z2))=0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587"/>
  <sheetViews>
    <sheetView workbookViewId="0"/>
  </sheetViews>
  <sheetFormatPr defaultRowHeight="15"/>
  <cols>
    <col min="1" max="1" width="10.7109375" style="1" customWidth="1"/>
    <col min="2" max="2" width="8.28515625" style="1" customWidth="1"/>
    <col min="3" max="3" width="8.28515625" style="1" customWidth="1"/>
    <col min="4" max="4" width="8.28515625" style="1" customWidth="1"/>
    <col min="5" max="5" width="18.7109375" style="1" customWidth="1"/>
    <col min="6" max="6" width="8.28515625" style="1" customWidth="1"/>
    <col min="7" max="7" width="8.28515625" style="1" customWidth="1"/>
    <col min="8" max="8" width="15.7109375" style="1" customWidth="1"/>
    <col min="9" max="9" width="15.7109375" style="1" customWidth="1"/>
    <col min="10" max="10" width="15.7109375" style="1" customWidth="1"/>
    <col min="11" max="11" width="15.7109375" style="1" customWidth="1"/>
    <col min="12" max="12" width="15.7109375" style="1" customWidth="1"/>
    <col min="13" max="13" width="14.42578125" style="1" customWidth="1"/>
    <col min="14" max="14" width="18.7109375" style="1" customWidth="1"/>
    <col min="15" max="15" width="8.28515625" style="1" customWidth="1"/>
    <col min="16" max="16" width="10.7109375" style="1" customWidth="1"/>
    <col min="17" max="17" width="18.7109375" style="2" customWidth="1"/>
    <col min="18" max="18" width="18.7109375" style="2" customWidth="1"/>
    <col min="19" max="19" width="18.7109375" style="2" customWidth="1"/>
    <col min="20" max="20" width="10.7109375" style="1" customWidth="1"/>
    <col min="21" max="21" width="10.7109375" style="1" customWidth="1"/>
    <col min="22" max="22" width="8.28515625" style="1" customWidth="1"/>
    <col min="23" max="23" width="18.7109375" style="1" customWidth="1"/>
    <col min="24" max="24" width="10.7109375" style="1" customWidth="1"/>
    <col min="25" max="25" width="10.7109375" style="1" customWidth="1"/>
    <col min="26" max="26" width="10.7109375" style="1" customWidth="1"/>
    <col min="27" max="27" width="10.7109375" style="1" customWidth="1"/>
    <col min="28" max="28" width="10.7109375" style="1" customWidth="1"/>
    <col min="29" max="29" width="10.7109375" style="1" customWidth="1"/>
    <col min="30" max="30" width="10.7109375" style="1" customWidth="1"/>
    <col min="31" max="31" width="10.7109375" style="1" customWidth="1"/>
    <col min="32" max="32" width="10.7109375" style="1" customWidth="1"/>
    <col min="33" max="33" width="10.7109375" style="1" customWidth="1"/>
    <col min="34" max="34" width="10.7109375" style="1" customWidth="1"/>
    <col min="35" max="35" width="10.7109375" style="1" customWidth="1"/>
    <col min="36" max="36" width="12" style="1" customWidth="1"/>
    <col min="37" max="37" width="12" style="1" customWidth="1"/>
    <col min="38" max="38" width="12" style="1" customWidth="1"/>
    <col min="39" max="39" width="10.7109375" style="1" customWidth="1"/>
    <col min="40" max="40" width="10.7109375" style="1" customWidth="1"/>
    <col min="41" max="41" width="10.7109375" style="1" customWidth="1"/>
    <col min="42" max="42" width="10.7109375" style="1" customWidth="1"/>
    <col min="43" max="43" width="10.7109375" style="1" customWidth="1"/>
    <col min="44" max="44" width="10.7109375" style="1" customWidth="1"/>
    <col min="45" max="45" width="8.28515625" style="1" customWidth="1"/>
    <col min="46" max="46" width="8.28515625" style="1" customWidth="1"/>
    <col min="47" max="47" width="8.28515625" style="1" customWidth="1"/>
    <col min="48" max="48" width="8.28515625" style="1" customWidth="1"/>
    <col min="49" max="49" width="8.28515625" style="1" customWidth="1"/>
    <col min="50" max="50" width="18.7109375" style="2" customWidth="1"/>
    <col min="51" max="51" width="18.7109375" style="2" customWidth="1"/>
    <col min="52" max="52" width="18.7109375" style="2" customWidth="1"/>
    <col min="53" max="53" width="18.7109375" style="1" customWidth="1"/>
    <col min="54" max="54" width="18.7109375" style="1" customWidth="1"/>
    <col min="55" max="55" width="18.7109375" style="1" customWidth="1"/>
    <col min="56" max="56" width="18.7109375" style="1" customWidth="1"/>
    <col min="57" max="57" width="18.7109375" style="1" customWidth="1"/>
    <col min="58" max="58" width="20.7109375" style="1" customWidth="1"/>
  </cols>
  <sheetData>
    <row r="1" spans="1:5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1745</v>
      </c>
      <c r="I1" s="3" t="s">
        <v>1746</v>
      </c>
      <c r="J1" s="3" t="s">
        <v>1747</v>
      </c>
      <c r="K1" s="3" t="s">
        <v>1748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1749</v>
      </c>
      <c r="R1" s="3" t="s">
        <v>878</v>
      </c>
      <c r="S1" s="3" t="s">
        <v>1750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879</v>
      </c>
      <c r="Y1" s="3" t="s">
        <v>880</v>
      </c>
      <c r="Z1" s="3" t="s">
        <v>881</v>
      </c>
      <c r="AA1" s="3" t="s">
        <v>882</v>
      </c>
      <c r="AB1" s="3" t="s">
        <v>883</v>
      </c>
      <c r="AC1" s="3" t="s">
        <v>884</v>
      </c>
      <c r="AD1" s="3" t="s">
        <v>885</v>
      </c>
      <c r="AE1" s="3" t="s">
        <v>886</v>
      </c>
      <c r="AF1" s="3" t="s">
        <v>887</v>
      </c>
      <c r="AG1" s="3" t="s">
        <v>888</v>
      </c>
      <c r="AH1" s="3" t="s">
        <v>889</v>
      </c>
      <c r="AI1" s="3" t="s">
        <v>890</v>
      </c>
      <c r="AJ1" s="3" t="s">
        <v>16</v>
      </c>
      <c r="AK1" s="3" t="s">
        <v>17</v>
      </c>
      <c r="AL1" s="3" t="s">
        <v>891</v>
      </c>
      <c r="AM1" s="3" t="s">
        <v>892</v>
      </c>
      <c r="AN1" s="3" t="s">
        <v>893</v>
      </c>
      <c r="AO1" s="3" t="s">
        <v>894</v>
      </c>
      <c r="AP1" s="3" t="s">
        <v>895</v>
      </c>
      <c r="AQ1" s="3" t="s">
        <v>896</v>
      </c>
      <c r="AR1" s="3" t="s">
        <v>897</v>
      </c>
      <c r="AS1" s="3" t="s">
        <v>898</v>
      </c>
      <c r="AT1" s="3" t="s">
        <v>899</v>
      </c>
      <c r="AU1" s="3" t="s">
        <v>900</v>
      </c>
      <c r="AV1" s="3" t="s">
        <v>901</v>
      </c>
      <c r="AW1" s="3" t="s">
        <v>902</v>
      </c>
      <c r="AX1" s="3" t="s">
        <v>1751</v>
      </c>
      <c r="AY1" s="3" t="s">
        <v>18</v>
      </c>
      <c r="AZ1" s="3" t="s">
        <v>19</v>
      </c>
      <c r="BA1" s="3" t="s">
        <v>20</v>
      </c>
      <c r="BB1" s="3" t="s">
        <v>21</v>
      </c>
      <c r="BC1" s="3" t="s">
        <v>22</v>
      </c>
      <c r="BD1" s="3" t="s">
        <v>23</v>
      </c>
      <c r="BE1" s="3" t="s">
        <v>24</v>
      </c>
      <c r="BF1" s="3" t="s">
        <v>25</v>
      </c>
    </row>
    <row r="2" spans="1:58">
      <c r="A2" s="1" t="s">
        <v>26</v>
      </c>
      <c r="B2" s="1" t="s">
        <v>612</v>
      </c>
      <c r="D2" s="1" t="s">
        <v>652</v>
      </c>
      <c r="E2" s="1" t="s">
        <v>656</v>
      </c>
      <c r="F2" s="1" t="s">
        <v>830</v>
      </c>
      <c r="G2" s="1" t="s">
        <v>854</v>
      </c>
      <c r="L2" s="1">
        <v>-75.0911</v>
      </c>
      <c r="M2" s="1">
        <v>38.32827</v>
      </c>
      <c r="N2" s="1">
        <v>8570283</v>
      </c>
      <c r="O2" s="1" t="s">
        <v>860</v>
      </c>
      <c r="P2" s="1" t="s">
        <v>866</v>
      </c>
      <c r="Q2" s="2">
        <f>HYPERLINK("https://tidesandcurrents.noaa.gov/stationhome.html?id=8570283", "Station Info")</f>
        <v>0</v>
      </c>
      <c r="R2" s="2">
        <f>HYPERLINK("https://tidesandcurrents.noaa.gov/datums.html?datum=MLLW&amp;units=0&amp;epoch=0&amp;id=8570283", "Datum Info")</f>
        <v>0</v>
      </c>
      <c r="S2" s="2">
        <f>HYPERLINK("https://api.tidesandcurrents.noaa.gov/mdapi/prod/webapi/stations/8570283.json", "More Info")</f>
        <v>0</v>
      </c>
      <c r="T2" s="1">
        <v>3127776</v>
      </c>
      <c r="U2" s="1">
        <v>0</v>
      </c>
      <c r="V2" s="1" t="s">
        <v>869</v>
      </c>
      <c r="W2" s="1" t="s">
        <v>873</v>
      </c>
      <c r="X2" s="1" t="s">
        <v>886</v>
      </c>
      <c r="Y2" s="1">
        <v>2.46</v>
      </c>
      <c r="Z2" s="1">
        <v>2.25</v>
      </c>
      <c r="AA2" s="1">
        <v>1.2</v>
      </c>
      <c r="AB2" s="1">
        <v>1.27</v>
      </c>
      <c r="AC2" s="1">
        <v>1.23</v>
      </c>
      <c r="AD2" s="1">
        <v>0.15</v>
      </c>
      <c r="AE2" s="1">
        <v>0</v>
      </c>
      <c r="AF2" s="1">
        <v>1.73</v>
      </c>
      <c r="AG2" s="1">
        <v>-8.06</v>
      </c>
      <c r="AH2" s="1" t="s">
        <v>1077</v>
      </c>
      <c r="AI2" s="1" t="s">
        <v>1352</v>
      </c>
      <c r="AJ2" s="1">
        <v>1.69</v>
      </c>
      <c r="AK2" s="1">
        <v>-0.85</v>
      </c>
      <c r="AY2" s="2">
        <f>HYPERLINK("https://vdatum.noaa.gov/vdatumweb/api/convert?s_x=-75.0911&amp;s_y=38.32827&amp;s_z=0.0&amp;region=chesapeak_delaware&amp;s_h_frame=NAD83_2011&amp;s_coor=geo&amp;s_v_frame=NAVD88&amp;s_v_unit=us_ft&amp;t_h_frame=IGS14&amp;t_coor=geo&amp;t_v_frame=MLLW&amp;t_v_unit=us_ft", "NAVD88 to MLLW")</f>
        <v>0</v>
      </c>
      <c r="AZ2" s="2">
        <f>HYPERLINK("https://vdatum.noaa.gov/vdatumweb/api/convert?s_x=-75.0911&amp;s_y=38.32827&amp;s_z=0.0&amp;region=chesapeak_delaware&amp;s_h_frame=NAD83_2011&amp;s_coor=geo&amp;s_v_frame=NAVD88&amp;s_v_unit=us_ft&amp;t_h_frame=IGS14&amp;t_coor=geo&amp;t_v_frame=MHHW&amp;t_v_unit=us_ft", "NAVD88 to MHHW")</f>
        <v>0</v>
      </c>
    </row>
    <row r="3" spans="1:58">
      <c r="A3" s="1" t="s">
        <v>27</v>
      </c>
      <c r="B3" s="1" t="s">
        <v>612</v>
      </c>
      <c r="D3" s="1" t="s">
        <v>652</v>
      </c>
      <c r="E3" s="1" t="s">
        <v>657</v>
      </c>
      <c r="F3" s="1" t="s">
        <v>830</v>
      </c>
      <c r="G3" s="1" t="s">
        <v>854</v>
      </c>
      <c r="L3" s="1">
        <v>-76.0617</v>
      </c>
      <c r="M3" s="1">
        <v>38.5725</v>
      </c>
      <c r="N3" s="1">
        <v>8571892</v>
      </c>
      <c r="O3" s="1" t="s">
        <v>860</v>
      </c>
      <c r="P3" s="1" t="s">
        <v>866</v>
      </c>
      <c r="Q3" s="2">
        <f>HYPERLINK("https://tidesandcurrents.noaa.gov/stationhome.html?id=8571892", "Station Info")</f>
        <v>0</v>
      </c>
      <c r="R3" s="2">
        <f>HYPERLINK("https://tidesandcurrents.noaa.gov/datums.html?datum=MLLW&amp;units=0&amp;epoch=0&amp;id=8571892", "Datum Info")</f>
        <v>0</v>
      </c>
      <c r="S3" s="2">
        <f>HYPERLINK("https://api.tidesandcurrents.noaa.gov/mdapi/prod/webapi/stations/8571892.json", "More Info")</f>
        <v>0</v>
      </c>
      <c r="T3" s="1">
        <v>6389781</v>
      </c>
      <c r="U3" s="1">
        <v>0</v>
      </c>
      <c r="V3" s="1" t="s">
        <v>869</v>
      </c>
      <c r="W3" s="1" t="s">
        <v>873</v>
      </c>
      <c r="X3" s="1" t="s">
        <v>886</v>
      </c>
      <c r="Y3" s="1">
        <v>2.04</v>
      </c>
      <c r="Z3" s="1">
        <v>1.83</v>
      </c>
      <c r="AA3" s="1">
        <v>1.02</v>
      </c>
      <c r="AB3" s="1">
        <v>1.02</v>
      </c>
      <c r="AC3" s="1">
        <v>1.02</v>
      </c>
      <c r="AD3" s="1">
        <v>0.21</v>
      </c>
      <c r="AE3" s="1">
        <v>0</v>
      </c>
      <c r="AF3" s="1">
        <v>1.11</v>
      </c>
      <c r="AG3" s="1">
        <v>-2.46</v>
      </c>
      <c r="AH3" s="1" t="s">
        <v>1078</v>
      </c>
      <c r="AI3" s="1" t="s">
        <v>1093</v>
      </c>
      <c r="AJ3" s="1">
        <v>1.194</v>
      </c>
      <c r="AK3" s="1">
        <v>-0.84</v>
      </c>
      <c r="AY3" s="2">
        <f>HYPERLINK("https://vdatum.noaa.gov/vdatumweb/api/convert?s_x=-76.0617&amp;s_y=38.5725&amp;s_z=0.0&amp;region=chesapeak_delaware&amp;s_h_frame=NAD83_2011&amp;s_coor=geo&amp;s_v_frame=NAVD88&amp;s_v_unit=us_ft&amp;t_h_frame=IGS14&amp;t_coor=geo&amp;t_v_frame=MLLW&amp;t_v_unit=us_ft", "NAVD88 to MLLW")</f>
        <v>0</v>
      </c>
      <c r="AZ3" s="2">
        <f>HYPERLINK("https://vdatum.noaa.gov/vdatumweb/api/convert?s_x=-76.0617&amp;s_y=38.5725&amp;s_z=0.0&amp;region=chesapeak_delaware&amp;s_h_frame=NAD83_2011&amp;s_coor=geo&amp;s_v_frame=NAVD88&amp;s_v_unit=us_ft&amp;t_h_frame=IGS14&amp;t_coor=geo&amp;t_v_frame=MHHW&amp;t_v_unit=us_ft", "NAVD88 to MHHW")</f>
        <v>0</v>
      </c>
    </row>
    <row r="4" spans="1:58">
      <c r="A4" s="1" t="s">
        <v>28</v>
      </c>
      <c r="B4" s="1" t="s">
        <v>612</v>
      </c>
      <c r="C4" s="1" t="s">
        <v>644</v>
      </c>
      <c r="D4" s="1" t="s">
        <v>652</v>
      </c>
      <c r="E4" s="1" t="s">
        <v>658</v>
      </c>
      <c r="F4" s="1" t="s">
        <v>831</v>
      </c>
      <c r="G4" s="1" t="s">
        <v>854</v>
      </c>
      <c r="L4" s="1">
        <v>-76.748333</v>
      </c>
      <c r="M4" s="1">
        <v>38.00666</v>
      </c>
      <c r="N4" s="1">
        <v>8578465</v>
      </c>
      <c r="O4" s="1" t="s">
        <v>861</v>
      </c>
      <c r="P4" s="1" t="s">
        <v>866</v>
      </c>
      <c r="Q4" s="2">
        <f>HYPERLINK("https://tidesandcurrents.noaa.gov/stationhome.html?id=8578465", "Station Info")</f>
        <v>0</v>
      </c>
      <c r="R4" s="2">
        <f>HYPERLINK("https://tidesandcurrents.noaa.gov/datums.html?datum=MLLW&amp;units=0&amp;epoch=0&amp;id=8578465", "Datum Info")</f>
        <v>0</v>
      </c>
      <c r="S4" s="2">
        <f>HYPERLINK("https://api.tidesandcurrents.noaa.gov/mdapi/prod/webapi/stations/8578465.json", "More Info")</f>
        <v>0</v>
      </c>
      <c r="T4" s="1">
        <v>5551093</v>
      </c>
      <c r="U4" s="1">
        <v>0</v>
      </c>
      <c r="V4" s="1" t="s">
        <v>869</v>
      </c>
      <c r="W4" s="1" t="s">
        <v>873</v>
      </c>
      <c r="AJ4" s="1">
        <v>-999999</v>
      </c>
      <c r="AK4" s="1">
        <v>-999999</v>
      </c>
      <c r="AY4" s="2">
        <f>HYPERLINK("https://vdatum.noaa.gov/vdatumweb/api/convert?s_x=-76.748333&amp;s_y=38.00666&amp;s_z=0.0&amp;region=chesapeak_delaware&amp;s_h_frame=NAD83_2011&amp;s_coor=geo&amp;s_v_frame=NAVD88&amp;s_v_unit=us_ft&amp;t_h_frame=IGS14&amp;t_coor=geo&amp;t_v_frame=MLLW&amp;t_v_unit=us_ft", "Missing")</f>
        <v>0</v>
      </c>
      <c r="AZ4" s="2">
        <f>HYPERLINK("https://vdatum.noaa.gov/vdatumweb/api/convert?s_x=-76.748333&amp;s_y=38.00666&amp;s_z=0.0&amp;region=chesapeak_delaware&amp;s_h_frame=NAD83_2011&amp;s_coor=geo&amp;s_v_frame=NAVD88&amp;s_v_unit=us_ft&amp;t_h_frame=IGS14&amp;t_coor=geo&amp;t_v_frame=MHHW&amp;t_v_unit=us_ft", "Missing")</f>
        <v>0</v>
      </c>
    </row>
    <row r="5" spans="1:58">
      <c r="A5" s="1" t="s">
        <v>29</v>
      </c>
      <c r="B5" s="1" t="s">
        <v>612</v>
      </c>
      <c r="D5" s="1" t="s">
        <v>652</v>
      </c>
      <c r="E5" s="1" t="s">
        <v>659</v>
      </c>
      <c r="F5" s="1" t="s">
        <v>831</v>
      </c>
      <c r="G5" s="1" t="s">
        <v>854</v>
      </c>
      <c r="H5" s="1" t="s">
        <v>1752</v>
      </c>
      <c r="I5" s="1" t="s">
        <v>1856</v>
      </c>
      <c r="J5" s="1" t="s">
        <v>1862</v>
      </c>
      <c r="K5" s="1" t="s">
        <v>2027</v>
      </c>
      <c r="L5" s="1">
        <v>-75.47833300000001</v>
      </c>
      <c r="M5" s="1">
        <v>37.841666</v>
      </c>
      <c r="N5" s="1">
        <v>8630440</v>
      </c>
      <c r="O5" s="1" t="s">
        <v>860</v>
      </c>
      <c r="P5" s="1" t="s">
        <v>866</v>
      </c>
      <c r="Q5" s="2">
        <f>HYPERLINK("https://tidesandcurrents.noaa.gov/stationhome.html?id=8630440", "Station Info")</f>
        <v>0</v>
      </c>
      <c r="R5" s="2">
        <f>HYPERLINK("https://tidesandcurrents.noaa.gov/datums.html?datum=MLLW&amp;units=0&amp;epoch=0&amp;id=8630440", "Datum Info")</f>
        <v>0</v>
      </c>
      <c r="S5" s="2">
        <f>HYPERLINK("https://api.tidesandcurrents.noaa.gov/mdapi/prod/webapi/stations/8630440.json", "More Info")</f>
        <v>0</v>
      </c>
      <c r="T5" s="1">
        <v>3128343</v>
      </c>
      <c r="U5" s="1">
        <v>0</v>
      </c>
      <c r="V5" s="1" t="s">
        <v>869</v>
      </c>
      <c r="W5" s="1" t="s">
        <v>873</v>
      </c>
      <c r="AJ5" s="1">
        <v>2.336</v>
      </c>
      <c r="AK5" s="1">
        <v>-1.411</v>
      </c>
      <c r="AL5" s="1" t="s">
        <v>887</v>
      </c>
      <c r="AM5" s="1">
        <v>0</v>
      </c>
      <c r="AN5" s="1" t="s">
        <v>1615</v>
      </c>
      <c r="AO5" s="1" t="s">
        <v>1681</v>
      </c>
      <c r="AP5" s="1" t="s">
        <v>1695</v>
      </c>
      <c r="AR5" s="1" t="s">
        <v>1681</v>
      </c>
      <c r="AS5" s="1">
        <v>3.5</v>
      </c>
      <c r="AT5" s="1">
        <v>4.5</v>
      </c>
      <c r="AU5" s="1">
        <v>5</v>
      </c>
      <c r="AV5" s="1">
        <v>6</v>
      </c>
      <c r="AW5" s="1" t="s">
        <v>1744</v>
      </c>
      <c r="AX5" s="2">
        <f>HYPERLINK("https://water.weather.gov/ahps2/hydrograph.php?wfo=akq&amp;gage=chiv2", "AHPS Data")</f>
        <v>0</v>
      </c>
      <c r="AY5" s="2">
        <f>HYPERLINK("https://vdatum.noaa.gov/vdatumweb/api/convert?s_x=-75.478333&amp;s_y=37.841666&amp;s_z=0.0&amp;region=chesapeak_delaware&amp;s_h_frame=NAD83_2011&amp;s_coor=geo&amp;s_v_frame=NAVD88&amp;s_v_unit=us_ft&amp;t_h_frame=IGS14&amp;t_coor=geo&amp;t_v_frame=MLLW&amp;t_v_unit=us_ft", "NAVD88 to MLLW")</f>
        <v>0</v>
      </c>
      <c r="AZ5" s="2">
        <f>HYPERLINK("https://vdatum.noaa.gov/vdatumweb/api/convert?s_x=-75.478333&amp;s_y=37.841666&amp;s_z=0.0&amp;region=chesapeak_delaware&amp;s_h_frame=NAD83_2011&amp;s_coor=geo&amp;s_v_frame=NAVD88&amp;s_v_unit=us_ft&amp;t_h_frame=IGS14&amp;t_coor=geo&amp;t_v_frame=MHHW&amp;t_v_unit=us_ft", "NAVD88 to MHHW")</f>
        <v>0</v>
      </c>
    </row>
    <row r="6" spans="1:58">
      <c r="A6" s="1" t="s">
        <v>30</v>
      </c>
      <c r="B6" s="1" t="s">
        <v>612</v>
      </c>
      <c r="C6" s="1" t="s">
        <v>644</v>
      </c>
      <c r="D6" s="1" t="s">
        <v>652</v>
      </c>
      <c r="E6" s="1" t="s">
        <v>659</v>
      </c>
      <c r="F6" s="1" t="s">
        <v>831</v>
      </c>
      <c r="G6" s="1" t="s">
        <v>854</v>
      </c>
      <c r="L6" s="1">
        <v>-75.6858</v>
      </c>
      <c r="M6" s="1">
        <v>37.60778</v>
      </c>
      <c r="N6" s="1">
        <v>8631044</v>
      </c>
      <c r="O6" s="1" t="s">
        <v>860</v>
      </c>
      <c r="P6" s="1" t="s">
        <v>866</v>
      </c>
      <c r="Q6" s="2">
        <f>HYPERLINK("https://tidesandcurrents.noaa.gov/stationhome.html?id=8631044", "Station Info")</f>
        <v>0</v>
      </c>
      <c r="R6" s="2">
        <f>HYPERLINK("https://tidesandcurrents.noaa.gov/datums.html?datum=MLLW&amp;units=0&amp;epoch=0&amp;id=8631044", "Datum Info")</f>
        <v>0</v>
      </c>
      <c r="S6" s="2">
        <f>HYPERLINK("https://api.tidesandcurrents.noaa.gov/mdapi/prod/webapi/stations/8631044.json", "More Info")</f>
        <v>0</v>
      </c>
      <c r="T6" s="1">
        <v>2172497</v>
      </c>
      <c r="U6" s="1">
        <v>0</v>
      </c>
      <c r="V6" s="1" t="s">
        <v>869</v>
      </c>
      <c r="W6" s="1" t="s">
        <v>873</v>
      </c>
      <c r="X6" s="1" t="s">
        <v>886</v>
      </c>
      <c r="Y6" s="1">
        <v>4.48</v>
      </c>
      <c r="Z6" s="1">
        <v>4.15</v>
      </c>
      <c r="AA6" s="1">
        <v>2.16</v>
      </c>
      <c r="AB6" s="1">
        <v>2.26</v>
      </c>
      <c r="AC6" s="1">
        <v>2.24</v>
      </c>
      <c r="AD6" s="1">
        <v>0.17</v>
      </c>
      <c r="AE6" s="1">
        <v>0</v>
      </c>
      <c r="AF6" s="1">
        <v>2.61</v>
      </c>
      <c r="AG6" s="1">
        <v>-2.32</v>
      </c>
      <c r="AJ6" s="1">
        <v>-999999</v>
      </c>
      <c r="AK6" s="1">
        <v>-999999</v>
      </c>
      <c r="AY6" s="2">
        <f>HYPERLINK("https://vdatum.noaa.gov/vdatumweb/api/convert?s_x=-75.6858&amp;s_y=37.60778&amp;s_z=0.0&amp;region=chesapeak_delaware&amp;s_h_frame=NAD83_2011&amp;s_coor=geo&amp;s_v_frame=NAVD88&amp;s_v_unit=us_ft&amp;t_h_frame=IGS14&amp;t_coor=geo&amp;t_v_frame=MLLW&amp;t_v_unit=us_ft", "Missing")</f>
        <v>0</v>
      </c>
      <c r="AZ6" s="2">
        <f>HYPERLINK("https://vdatum.noaa.gov/vdatumweb/api/convert?s_x=-75.6858&amp;s_y=37.60778&amp;s_z=0.0&amp;region=chesapeak_delaware&amp;s_h_frame=NAD83_2011&amp;s_coor=geo&amp;s_v_frame=NAVD88&amp;s_v_unit=us_ft&amp;t_h_frame=IGS14&amp;t_coor=geo&amp;t_v_frame=MHHW&amp;t_v_unit=us_ft", "Missing")</f>
        <v>0</v>
      </c>
    </row>
    <row r="7" spans="1:58">
      <c r="A7" s="1" t="s">
        <v>31</v>
      </c>
      <c r="B7" s="1" t="s">
        <v>612</v>
      </c>
      <c r="C7" s="1" t="s">
        <v>644</v>
      </c>
      <c r="D7" s="1" t="s">
        <v>652</v>
      </c>
      <c r="E7" s="1" t="s">
        <v>660</v>
      </c>
      <c r="F7" s="1" t="s">
        <v>831</v>
      </c>
      <c r="G7" s="1" t="s">
        <v>854</v>
      </c>
      <c r="L7" s="1">
        <v>-75.925</v>
      </c>
      <c r="M7" s="1">
        <v>37.2883</v>
      </c>
      <c r="N7" s="1">
        <v>8631591</v>
      </c>
      <c r="O7" s="1" t="s">
        <v>860</v>
      </c>
      <c r="P7" s="1" t="s">
        <v>866</v>
      </c>
      <c r="Q7" s="2">
        <f>HYPERLINK("https://tidesandcurrents.noaa.gov/stationhome.html?id=8631591", "Station Info")</f>
        <v>0</v>
      </c>
      <c r="R7" s="2">
        <f>HYPERLINK("https://tidesandcurrents.noaa.gov/datums.html?datum=MLLW&amp;units=0&amp;epoch=0&amp;id=8631591", "Datum Info")</f>
        <v>0</v>
      </c>
      <c r="S7" s="2">
        <f>HYPERLINK("https://api.tidesandcurrents.noaa.gov/mdapi/prod/webapi/stations/8631591.json", "More Info")</f>
        <v>0</v>
      </c>
      <c r="T7" s="1">
        <v>9482981</v>
      </c>
      <c r="U7" s="1">
        <v>0</v>
      </c>
      <c r="V7" s="1" t="s">
        <v>869</v>
      </c>
      <c r="W7" s="1" t="s">
        <v>873</v>
      </c>
      <c r="X7" s="1" t="s">
        <v>886</v>
      </c>
      <c r="Y7" s="1">
        <v>5.04</v>
      </c>
      <c r="Z7" s="1">
        <v>4.71</v>
      </c>
      <c r="AA7" s="1">
        <v>2.44</v>
      </c>
      <c r="AB7" s="1">
        <v>2.47</v>
      </c>
      <c r="AC7" s="1">
        <v>2.52</v>
      </c>
      <c r="AD7" s="1">
        <v>0.18</v>
      </c>
      <c r="AE7" s="1">
        <v>0</v>
      </c>
      <c r="AF7" s="1" t="s">
        <v>946</v>
      </c>
      <c r="AG7" s="1">
        <v>-2.67</v>
      </c>
      <c r="AH7" s="1" t="s">
        <v>1079</v>
      </c>
      <c r="AI7" s="1" t="s">
        <v>1353</v>
      </c>
      <c r="AJ7" s="1">
        <v>2.871</v>
      </c>
      <c r="AK7" s="1">
        <v>-2.11</v>
      </c>
      <c r="AY7" s="2">
        <f>HYPERLINK("https://vdatum.noaa.gov/vdatumweb/api/convert?s_x=-75.925&amp;s_y=37.2883&amp;s_z=0.0&amp;region=chesapeak_delaware&amp;s_h_frame=NAD83_2011&amp;s_coor=geo&amp;s_v_frame=NAVD88&amp;s_v_unit=us_ft&amp;t_h_frame=IGS14&amp;t_coor=geo&amp;t_v_frame=MLLW&amp;t_v_unit=us_ft", "NAVD88 to MLLW")</f>
        <v>0</v>
      </c>
      <c r="AZ7" s="2">
        <f>HYPERLINK("https://vdatum.noaa.gov/vdatumweb/api/convert?s_x=-75.925&amp;s_y=37.2883&amp;s_z=0.0&amp;region=chesapeak_delaware&amp;s_h_frame=NAD83_2011&amp;s_coor=geo&amp;s_v_frame=NAVD88&amp;s_v_unit=us_ft&amp;t_h_frame=IGS14&amp;t_coor=geo&amp;t_v_frame=MHHW&amp;t_v_unit=us_ft", "NAVD88 to MHHW")</f>
        <v>0</v>
      </c>
    </row>
    <row r="8" spans="1:58">
      <c r="A8" s="1" t="s">
        <v>32</v>
      </c>
      <c r="B8" s="1" t="s">
        <v>612</v>
      </c>
      <c r="D8" s="1" t="s">
        <v>652</v>
      </c>
      <c r="E8" s="1" t="s">
        <v>660</v>
      </c>
      <c r="F8" s="1" t="s">
        <v>831</v>
      </c>
      <c r="G8" s="1" t="s">
        <v>854</v>
      </c>
      <c r="L8" s="1">
        <v>-75.9884</v>
      </c>
      <c r="M8" s="1">
        <v>37.16519</v>
      </c>
      <c r="N8" s="1">
        <v>8632200</v>
      </c>
      <c r="O8" s="1" t="s">
        <v>860</v>
      </c>
      <c r="P8" s="1" t="s">
        <v>866</v>
      </c>
      <c r="Q8" s="2">
        <f>HYPERLINK("https://tidesandcurrents.noaa.gov/stationhome.html?id=8632200", "Station Info")</f>
        <v>0</v>
      </c>
      <c r="R8" s="2">
        <f>HYPERLINK("https://tidesandcurrents.noaa.gov/datums.html?datum=MLLW&amp;units=0&amp;epoch=0&amp;id=8632200", "Datum Info")</f>
        <v>0</v>
      </c>
      <c r="S8" s="2">
        <f>HYPERLINK("https://api.tidesandcurrents.noaa.gov/mdapi/prod/webapi/stations/8632200.json", "More Info")</f>
        <v>0</v>
      </c>
      <c r="T8" s="1">
        <v>4554953</v>
      </c>
      <c r="U8" s="1">
        <v>0</v>
      </c>
      <c r="V8" s="1" t="s">
        <v>869</v>
      </c>
      <c r="W8" s="1" t="s">
        <v>873</v>
      </c>
      <c r="X8" s="1" t="s">
        <v>886</v>
      </c>
      <c r="Y8" s="1">
        <v>2.95</v>
      </c>
      <c r="Z8" s="1">
        <v>2.72</v>
      </c>
      <c r="AA8" s="1">
        <v>1.42</v>
      </c>
      <c r="AB8" s="1">
        <v>1.43</v>
      </c>
      <c r="AC8" s="1">
        <v>1.47</v>
      </c>
      <c r="AD8" s="1">
        <v>0.12</v>
      </c>
      <c r="AE8" s="1">
        <v>0</v>
      </c>
      <c r="AF8" s="1">
        <v>1.91</v>
      </c>
      <c r="AG8" s="1">
        <v>-3.62</v>
      </c>
      <c r="AH8" s="1" t="s">
        <v>1080</v>
      </c>
      <c r="AI8" s="1" t="s">
        <v>1354</v>
      </c>
      <c r="AJ8" s="1">
        <v>1.788</v>
      </c>
      <c r="AK8" s="1">
        <v>-1.171</v>
      </c>
      <c r="AY8" s="2">
        <f>HYPERLINK("https://vdatum.noaa.gov/vdatumweb/api/convert?s_x=-75.9884&amp;s_y=37.16519&amp;s_z=0.0&amp;region=chesapeak_delaware&amp;s_h_frame=NAD83_2011&amp;s_coor=geo&amp;s_v_frame=NAVD88&amp;s_v_unit=us_ft&amp;t_h_frame=IGS14&amp;t_coor=geo&amp;t_v_frame=MLLW&amp;t_v_unit=us_ft", "NAVD88 to MLLW")</f>
        <v>0</v>
      </c>
      <c r="AZ8" s="2">
        <f>HYPERLINK("https://vdatum.noaa.gov/vdatumweb/api/convert?s_x=-75.9884&amp;s_y=37.16519&amp;s_z=0.0&amp;region=chesapeak_delaware&amp;s_h_frame=NAD83_2011&amp;s_coor=geo&amp;s_v_frame=NAVD88&amp;s_v_unit=us_ft&amp;t_h_frame=IGS14&amp;t_coor=geo&amp;t_v_frame=MHHW&amp;t_v_unit=us_ft", "NAVD88 to MHHW")</f>
        <v>0</v>
      </c>
    </row>
    <row r="9" spans="1:58">
      <c r="A9" s="1" t="s">
        <v>33</v>
      </c>
      <c r="B9" s="1" t="s">
        <v>612</v>
      </c>
      <c r="D9" s="1" t="s">
        <v>652</v>
      </c>
      <c r="L9" s="1">
        <v>-76.015</v>
      </c>
      <c r="M9" s="1">
        <v>37.53833</v>
      </c>
      <c r="N9" s="1">
        <v>8632837</v>
      </c>
      <c r="O9" s="1" t="s">
        <v>861</v>
      </c>
      <c r="P9" s="1" t="s">
        <v>866</v>
      </c>
      <c r="Q9" s="2">
        <f>HYPERLINK("https://tidesandcurrents.noaa.gov/stationhome.html?id=8632837", "Station Info")</f>
        <v>0</v>
      </c>
      <c r="R9" s="2">
        <f>HYPERLINK("https://tidesandcurrents.noaa.gov/datums.html?datum=MLLW&amp;units=0&amp;epoch=0&amp;id=8632837", "Datum Info")</f>
        <v>0</v>
      </c>
      <c r="S9" s="2">
        <f>HYPERLINK("https://api.tidesandcurrents.noaa.gov/mdapi/prod/webapi/stations/8632837.json", "More Info")</f>
        <v>0</v>
      </c>
      <c r="T9" s="1">
        <v>7176248</v>
      </c>
      <c r="U9" s="1">
        <v>-0.448</v>
      </c>
      <c r="V9" s="1" t="s">
        <v>869</v>
      </c>
      <c r="W9" s="1" t="s">
        <v>873</v>
      </c>
      <c r="X9" s="1" t="s">
        <v>886</v>
      </c>
      <c r="Y9" s="1">
        <v>1.87</v>
      </c>
      <c r="Z9" s="1">
        <v>1.7</v>
      </c>
      <c r="AA9" s="1">
        <v>0.91</v>
      </c>
      <c r="AB9" s="1">
        <v>0.9399999999999999</v>
      </c>
      <c r="AC9" s="1">
        <v>0.9399999999999999</v>
      </c>
      <c r="AD9" s="1">
        <v>0.13</v>
      </c>
      <c r="AE9" s="1">
        <v>0</v>
      </c>
      <c r="AF9" s="1" t="s">
        <v>947</v>
      </c>
      <c r="AG9" s="1">
        <v>-25.46</v>
      </c>
      <c r="AH9" s="1" t="s">
        <v>1081</v>
      </c>
      <c r="AI9" s="1" t="s">
        <v>1355</v>
      </c>
      <c r="AJ9" s="1">
        <v>1.299</v>
      </c>
      <c r="AK9" s="1">
        <v>-0.545</v>
      </c>
      <c r="AY9" s="2">
        <f>HYPERLINK("https://vdatum.noaa.gov/vdatumweb/api/convert?s_x=-76.015&amp;s_y=37.53833&amp;s_z=0.0&amp;region=chesapeak_delaware&amp;s_h_frame=NAD83_2011&amp;s_coor=geo&amp;s_v_frame=NAVD88&amp;s_v_unit=us_ft&amp;t_h_frame=IGS14&amp;t_coor=geo&amp;t_v_frame=MLLW&amp;t_v_unit=us_ft", "NAVD88 to MLLW")</f>
        <v>0</v>
      </c>
      <c r="AZ9" s="2">
        <f>HYPERLINK("https://vdatum.noaa.gov/vdatumweb/api/convert?s_x=-76.015&amp;s_y=37.53833&amp;s_z=0.0&amp;region=chesapeak_delaware&amp;s_h_frame=NAD83_2011&amp;s_coor=geo&amp;s_v_frame=NAVD88&amp;s_v_unit=us_ft&amp;t_h_frame=IGS14&amp;t_coor=geo&amp;t_v_frame=MHHW&amp;t_v_unit=us_ft", "NAVD88 to MHHW")</f>
        <v>0</v>
      </c>
    </row>
    <row r="10" spans="1:58">
      <c r="A10" s="1" t="s">
        <v>34</v>
      </c>
      <c r="B10" s="1" t="s">
        <v>612</v>
      </c>
      <c r="D10" s="1" t="s">
        <v>652</v>
      </c>
      <c r="E10" s="1" t="s">
        <v>659</v>
      </c>
      <c r="F10" s="1" t="s">
        <v>831</v>
      </c>
      <c r="G10" s="1" t="s">
        <v>854</v>
      </c>
      <c r="L10" s="1">
        <v>-75.91670000000001</v>
      </c>
      <c r="M10" s="1">
        <v>37.5567</v>
      </c>
      <c r="N10" s="1">
        <v>8632869</v>
      </c>
      <c r="O10" s="1" t="s">
        <v>860</v>
      </c>
      <c r="P10" s="1" t="s">
        <v>866</v>
      </c>
      <c r="Q10" s="2">
        <f>HYPERLINK("https://tidesandcurrents.noaa.gov/stationhome.html?id=8632869", "Station Info")</f>
        <v>0</v>
      </c>
      <c r="R10" s="2">
        <f>HYPERLINK("https://tidesandcurrents.noaa.gov/datums.html?datum=MLLW&amp;units=0&amp;epoch=0&amp;id=8632869", "Datum Info")</f>
        <v>0</v>
      </c>
      <c r="S10" s="2">
        <f>HYPERLINK("https://api.tidesandcurrents.noaa.gov/mdapi/prod/webapi/stations/8632869.json", "More Info")</f>
        <v>0</v>
      </c>
      <c r="T10" s="1">
        <v>8927705</v>
      </c>
      <c r="U10" s="1">
        <v>-0.452</v>
      </c>
      <c r="V10" s="1" t="s">
        <v>869</v>
      </c>
      <c r="W10" s="1" t="s">
        <v>873</v>
      </c>
      <c r="X10" s="1" t="s">
        <v>886</v>
      </c>
      <c r="Y10" s="1">
        <v>2.05</v>
      </c>
      <c r="Z10" s="1">
        <v>1.88</v>
      </c>
      <c r="AA10" s="1">
        <v>1.01</v>
      </c>
      <c r="AB10" s="1">
        <v>1.03</v>
      </c>
      <c r="AC10" s="1">
        <v>1.03</v>
      </c>
      <c r="AD10" s="1">
        <v>0.15</v>
      </c>
      <c r="AE10" s="1">
        <v>0</v>
      </c>
      <c r="AF10" s="1" t="s">
        <v>948</v>
      </c>
      <c r="AG10" s="1">
        <v>-1.68</v>
      </c>
      <c r="AH10" s="1" t="s">
        <v>1082</v>
      </c>
      <c r="AI10" s="1" t="s">
        <v>1356</v>
      </c>
      <c r="AJ10" s="1">
        <v>1.394</v>
      </c>
      <c r="AK10" s="1">
        <v>-0.62</v>
      </c>
      <c r="AY10" s="2">
        <f>HYPERLINK("https://vdatum.noaa.gov/vdatumweb/api/convert?s_x=-75.9167&amp;s_y=37.5567&amp;s_z=0.0&amp;region=chesapeak_delaware&amp;s_h_frame=NAD83_2011&amp;s_coor=geo&amp;s_v_frame=NAVD88&amp;s_v_unit=us_ft&amp;t_h_frame=IGS14&amp;t_coor=geo&amp;t_v_frame=MLLW&amp;t_v_unit=us_ft", "NAVD88 to MLLW")</f>
        <v>0</v>
      </c>
      <c r="AZ10" s="2">
        <f>HYPERLINK("https://vdatum.noaa.gov/vdatumweb/api/convert?s_x=-75.9167&amp;s_y=37.5567&amp;s_z=0.0&amp;region=chesapeak_delaware&amp;s_h_frame=NAD83_2011&amp;s_coor=geo&amp;s_v_frame=NAVD88&amp;s_v_unit=us_ft&amp;t_h_frame=IGS14&amp;t_coor=geo&amp;t_v_frame=MHHW&amp;t_v_unit=us_ft", "NAVD88 to MHHW")</f>
        <v>0</v>
      </c>
    </row>
    <row r="11" spans="1:58">
      <c r="A11" s="1" t="s">
        <v>35</v>
      </c>
      <c r="B11" s="1" t="s">
        <v>612</v>
      </c>
      <c r="D11" s="1" t="s">
        <v>652</v>
      </c>
      <c r="E11" s="1" t="s">
        <v>659</v>
      </c>
      <c r="F11" s="1" t="s">
        <v>831</v>
      </c>
      <c r="G11" s="1" t="s">
        <v>854</v>
      </c>
      <c r="L11" s="1">
        <v>-75.9933</v>
      </c>
      <c r="M11" s="1">
        <v>37.8283</v>
      </c>
      <c r="N11" s="1">
        <v>8633532</v>
      </c>
      <c r="O11" s="1" t="s">
        <v>861</v>
      </c>
      <c r="P11" s="1" t="s">
        <v>866</v>
      </c>
      <c r="Q11" s="2">
        <f>HYPERLINK("https://tidesandcurrents.noaa.gov/stationhome.html?id=8633532", "Station Info")</f>
        <v>0</v>
      </c>
      <c r="R11" s="2">
        <f>HYPERLINK("https://tidesandcurrents.noaa.gov/datums.html?datum=MLLW&amp;units=0&amp;epoch=0&amp;id=8633532", "Datum Info")</f>
        <v>0</v>
      </c>
      <c r="S11" s="2">
        <f>HYPERLINK("https://api.tidesandcurrents.noaa.gov/mdapi/prod/webapi/stations/8633532.json", "More Info")</f>
        <v>0</v>
      </c>
      <c r="T11" s="1">
        <v>7563942</v>
      </c>
      <c r="U11" s="1">
        <v>-0.444</v>
      </c>
      <c r="V11" s="1" t="s">
        <v>869</v>
      </c>
      <c r="W11" s="1" t="s">
        <v>873</v>
      </c>
      <c r="X11" s="1" t="s">
        <v>886</v>
      </c>
      <c r="Y11" s="1">
        <v>1.76</v>
      </c>
      <c r="Z11" s="1">
        <v>1.6</v>
      </c>
      <c r="AA11" s="1">
        <v>0.85</v>
      </c>
      <c r="AB11" s="1">
        <v>0.85</v>
      </c>
      <c r="AC11" s="1">
        <v>0.88</v>
      </c>
      <c r="AD11" s="1">
        <v>0.09</v>
      </c>
      <c r="AE11" s="1">
        <v>0</v>
      </c>
      <c r="AF11" s="1" t="s">
        <v>949</v>
      </c>
      <c r="AG11" s="1">
        <v>-2.72</v>
      </c>
      <c r="AH11" s="1" t="s">
        <v>1083</v>
      </c>
      <c r="AI11" s="1" t="s">
        <v>1357</v>
      </c>
      <c r="AJ11" s="1">
        <v>1.201</v>
      </c>
      <c r="AK11" s="1">
        <v>-0.591</v>
      </c>
      <c r="AY11" s="2">
        <f>HYPERLINK("https://vdatum.noaa.gov/vdatumweb/api/convert?s_x=-75.9933&amp;s_y=37.8283&amp;s_z=0.0&amp;region=chesapeak_delaware&amp;s_h_frame=NAD83_2011&amp;s_coor=geo&amp;s_v_frame=NAVD88&amp;s_v_unit=us_ft&amp;t_h_frame=IGS14&amp;t_coor=geo&amp;t_v_frame=MLLW&amp;t_v_unit=us_ft", "NAVD88 to MLLW")</f>
        <v>0</v>
      </c>
      <c r="AZ11" s="2">
        <f>HYPERLINK("https://vdatum.noaa.gov/vdatumweb/api/convert?s_x=-75.9933&amp;s_y=37.8283&amp;s_z=0.0&amp;region=chesapeak_delaware&amp;s_h_frame=NAD83_2011&amp;s_coor=geo&amp;s_v_frame=NAVD88&amp;s_v_unit=us_ft&amp;t_h_frame=IGS14&amp;t_coor=geo&amp;t_v_frame=MHHW&amp;t_v_unit=us_ft", "NAVD88 to MHHW")</f>
        <v>0</v>
      </c>
    </row>
    <row r="12" spans="1:58">
      <c r="A12" s="1" t="s">
        <v>36</v>
      </c>
      <c r="B12" s="1" t="s">
        <v>612</v>
      </c>
      <c r="C12" s="1" t="s">
        <v>644</v>
      </c>
      <c r="D12" s="1" t="s">
        <v>652</v>
      </c>
      <c r="E12" s="1" t="s">
        <v>659</v>
      </c>
      <c r="F12" s="1" t="s">
        <v>831</v>
      </c>
      <c r="G12" s="1" t="s">
        <v>854</v>
      </c>
      <c r="L12" s="1">
        <v>-75.7283</v>
      </c>
      <c r="M12" s="1">
        <v>37.9217</v>
      </c>
      <c r="N12" s="1">
        <v>8633777</v>
      </c>
      <c r="O12" s="1" t="s">
        <v>860</v>
      </c>
      <c r="P12" s="1" t="s">
        <v>866</v>
      </c>
      <c r="Q12" s="2">
        <f>HYPERLINK("https://tidesandcurrents.noaa.gov/stationhome.html?id=8633777", "Station Info")</f>
        <v>0</v>
      </c>
      <c r="R12" s="2">
        <f>HYPERLINK("https://tidesandcurrents.noaa.gov/datums.html?datum=MLLW&amp;units=0&amp;epoch=0&amp;id=8633777", "Datum Info")</f>
        <v>0</v>
      </c>
      <c r="S12" s="2">
        <f>HYPERLINK("https://api.tidesandcurrents.noaa.gov/mdapi/prod/webapi/stations/8633777.json", "More Info")</f>
        <v>0</v>
      </c>
      <c r="T12" s="1">
        <v>8969911</v>
      </c>
      <c r="U12" s="1">
        <v>-0.435</v>
      </c>
      <c r="V12" s="1" t="s">
        <v>869</v>
      </c>
      <c r="W12" s="1" t="s">
        <v>873</v>
      </c>
      <c r="X12" s="1" t="s">
        <v>886</v>
      </c>
      <c r="Y12" s="1">
        <v>2.54</v>
      </c>
      <c r="Z12" s="1">
        <v>2.37</v>
      </c>
      <c r="AA12" s="1">
        <v>1.25</v>
      </c>
      <c r="AB12" s="1">
        <v>1.25</v>
      </c>
      <c r="AC12" s="1">
        <v>1.27</v>
      </c>
      <c r="AD12" s="1">
        <v>0.14</v>
      </c>
      <c r="AE12" s="1">
        <v>0</v>
      </c>
      <c r="AF12" s="1" t="s">
        <v>950</v>
      </c>
      <c r="AG12" s="1">
        <v>-3.7</v>
      </c>
      <c r="AH12" s="1" t="s">
        <v>1084</v>
      </c>
      <c r="AI12" s="1" t="s">
        <v>1358</v>
      </c>
      <c r="AJ12" s="1">
        <v>1.601</v>
      </c>
      <c r="AK12" s="1">
        <v>-0.958</v>
      </c>
      <c r="AY12" s="2">
        <f>HYPERLINK("https://vdatum.noaa.gov/vdatumweb/api/convert?s_x=-75.7283&amp;s_y=37.9217&amp;s_z=0.0&amp;region=chesapeak_delaware&amp;s_h_frame=NAD83_2011&amp;s_coor=geo&amp;s_v_frame=NAVD88&amp;s_v_unit=us_ft&amp;t_h_frame=IGS14&amp;t_coor=geo&amp;t_v_frame=MLLW&amp;t_v_unit=us_ft", "NAVD88 to MLLW")</f>
        <v>0</v>
      </c>
      <c r="AZ12" s="2">
        <f>HYPERLINK("https://vdatum.noaa.gov/vdatumweb/api/convert?s_x=-75.7283&amp;s_y=37.9217&amp;s_z=0.0&amp;region=chesapeak_delaware&amp;s_h_frame=NAD83_2011&amp;s_coor=geo&amp;s_v_frame=NAVD88&amp;s_v_unit=us_ft&amp;t_h_frame=IGS14&amp;t_coor=geo&amp;t_v_frame=MHHW&amp;t_v_unit=us_ft", "NAVD88 to MHHW")</f>
        <v>0</v>
      </c>
    </row>
    <row r="13" spans="1:58">
      <c r="A13" s="1" t="s">
        <v>37</v>
      </c>
      <c r="B13" s="1" t="s">
        <v>612</v>
      </c>
      <c r="D13" s="1" t="s">
        <v>652</v>
      </c>
      <c r="E13" s="1" t="s">
        <v>658</v>
      </c>
      <c r="F13" s="1" t="s">
        <v>831</v>
      </c>
      <c r="G13" s="1" t="s">
        <v>854</v>
      </c>
      <c r="L13" s="1">
        <v>-76.61</v>
      </c>
      <c r="M13" s="1">
        <v>38.14</v>
      </c>
      <c r="N13" s="1">
        <v>8635485</v>
      </c>
      <c r="O13" s="1" t="s">
        <v>860</v>
      </c>
      <c r="P13" s="1" t="s">
        <v>866</v>
      </c>
      <c r="Q13" s="2">
        <f>HYPERLINK("https://tidesandcurrents.noaa.gov/stationhome.html?id=8635485", "Station Info")</f>
        <v>0</v>
      </c>
      <c r="R13" s="2">
        <f>HYPERLINK("https://tidesandcurrents.noaa.gov/datums.html?datum=MLLW&amp;units=0&amp;epoch=0&amp;id=8635485", "Datum Info")</f>
        <v>0</v>
      </c>
      <c r="S13" s="2">
        <f>HYPERLINK("https://api.tidesandcurrents.noaa.gov/mdapi/prod/webapi/stations/8635485.json", "More Info")</f>
        <v>0</v>
      </c>
      <c r="T13" s="1">
        <v>6111779</v>
      </c>
      <c r="U13" s="1">
        <v>0</v>
      </c>
      <c r="V13" s="1" t="s">
        <v>869</v>
      </c>
      <c r="W13" s="1" t="s">
        <v>873</v>
      </c>
      <c r="AJ13" s="1">
        <v>1.112</v>
      </c>
      <c r="AK13" s="1">
        <v>-0.722</v>
      </c>
      <c r="AY13" s="2">
        <f>HYPERLINK("https://vdatum.noaa.gov/vdatumweb/api/convert?s_x=-76.61&amp;s_y=38.14&amp;s_z=0.0&amp;region=chesapeak_delaware&amp;s_h_frame=NAD83_2011&amp;s_coor=geo&amp;s_v_frame=NAVD88&amp;s_v_unit=us_ft&amp;t_h_frame=IGS14&amp;t_coor=geo&amp;t_v_frame=MLLW&amp;t_v_unit=us_ft", "NAVD88 to MLLW")</f>
        <v>0</v>
      </c>
      <c r="AZ13" s="2">
        <f>HYPERLINK("https://vdatum.noaa.gov/vdatumweb/api/convert?s_x=-76.61&amp;s_y=38.14&amp;s_z=0.0&amp;region=chesapeak_delaware&amp;s_h_frame=NAD83_2011&amp;s_coor=geo&amp;s_v_frame=NAVD88&amp;s_v_unit=us_ft&amp;t_h_frame=IGS14&amp;t_coor=geo&amp;t_v_frame=MHHW&amp;t_v_unit=us_ft", "NAVD88 to MHHW")</f>
        <v>0</v>
      </c>
    </row>
    <row r="14" spans="1:58">
      <c r="A14" s="1" t="s">
        <v>38</v>
      </c>
      <c r="B14" s="1" t="s">
        <v>612</v>
      </c>
      <c r="D14" s="1" t="s">
        <v>652</v>
      </c>
      <c r="E14" s="1" t="s">
        <v>661</v>
      </c>
      <c r="F14" s="1" t="s">
        <v>831</v>
      </c>
      <c r="G14" s="1" t="s">
        <v>854</v>
      </c>
      <c r="L14" s="1">
        <v>-76.46469999999999</v>
      </c>
      <c r="M14" s="1">
        <v>37.99528</v>
      </c>
      <c r="N14" s="1">
        <v>8635750</v>
      </c>
      <c r="O14" s="1" t="s">
        <v>860</v>
      </c>
      <c r="P14" s="1" t="s">
        <v>866</v>
      </c>
      <c r="Q14" s="2">
        <f>HYPERLINK("https://tidesandcurrents.noaa.gov/stationhome.html?id=8635750", "Station Info")</f>
        <v>0</v>
      </c>
      <c r="R14" s="2">
        <f>HYPERLINK("https://tidesandcurrents.noaa.gov/datums.html?datum=MLLW&amp;units=0&amp;epoch=0&amp;id=8635750", "Datum Info")</f>
        <v>0</v>
      </c>
      <c r="S14" s="2">
        <f>HYPERLINK("https://api.tidesandcurrents.noaa.gov/mdapi/prod/webapi/stations/8635750.json", "More Info")</f>
        <v>0</v>
      </c>
      <c r="T14" s="1">
        <v>6571583</v>
      </c>
      <c r="U14" s="1">
        <v>0</v>
      </c>
      <c r="V14" s="1" t="s">
        <v>869</v>
      </c>
      <c r="W14" s="1" t="s">
        <v>873</v>
      </c>
      <c r="X14" s="1" t="s">
        <v>886</v>
      </c>
      <c r="Y14" s="1">
        <v>1.51</v>
      </c>
      <c r="Z14" s="1">
        <v>1.37</v>
      </c>
      <c r="AA14" s="1">
        <v>0.74</v>
      </c>
      <c r="AB14" s="1">
        <v>0.76</v>
      </c>
      <c r="AC14" s="1">
        <v>0.75</v>
      </c>
      <c r="AD14" s="1">
        <v>0.12</v>
      </c>
      <c r="AE14" s="1">
        <v>0</v>
      </c>
      <c r="AF14" s="1">
        <v>0.83</v>
      </c>
      <c r="AG14" s="1">
        <v>-4.77</v>
      </c>
      <c r="AH14" s="1" t="s">
        <v>1085</v>
      </c>
      <c r="AI14" s="1" t="s">
        <v>1359</v>
      </c>
      <c r="AJ14" s="1">
        <v>1.017</v>
      </c>
      <c r="AK14" s="1">
        <v>-0.538</v>
      </c>
      <c r="AY14" s="2">
        <f>HYPERLINK("https://vdatum.noaa.gov/vdatumweb/api/convert?s_x=-76.4647&amp;s_y=37.99528&amp;s_z=0.0&amp;region=chesapeak_delaware&amp;s_h_frame=NAD83_2011&amp;s_coor=geo&amp;s_v_frame=NAVD88&amp;s_v_unit=us_ft&amp;t_h_frame=IGS14&amp;t_coor=geo&amp;t_v_frame=MLLW&amp;t_v_unit=us_ft", "NAVD88 to MLLW")</f>
        <v>0</v>
      </c>
      <c r="AZ14" s="2">
        <f>HYPERLINK("https://vdatum.noaa.gov/vdatumweb/api/convert?s_x=-76.4647&amp;s_y=37.99528&amp;s_z=0.0&amp;region=chesapeak_delaware&amp;s_h_frame=NAD83_2011&amp;s_coor=geo&amp;s_v_frame=NAVD88&amp;s_v_unit=us_ft&amp;t_h_frame=IGS14&amp;t_coor=geo&amp;t_v_frame=MHHW&amp;t_v_unit=us_ft", "NAVD88 to MHHW")</f>
        <v>0</v>
      </c>
    </row>
    <row r="15" spans="1:58">
      <c r="A15" s="1" t="s">
        <v>39</v>
      </c>
      <c r="B15" s="1" t="s">
        <v>612</v>
      </c>
      <c r="C15" s="1" t="s">
        <v>644</v>
      </c>
      <c r="D15" s="1" t="s">
        <v>652</v>
      </c>
      <c r="L15" s="1">
        <v>-76.29000000000001</v>
      </c>
      <c r="M15" s="1">
        <v>37.61611</v>
      </c>
      <c r="N15" s="1">
        <v>8636580</v>
      </c>
      <c r="O15" s="1" t="s">
        <v>860</v>
      </c>
      <c r="P15" s="1" t="s">
        <v>866</v>
      </c>
      <c r="Q15" s="2">
        <f>HYPERLINK("https://tidesandcurrents.noaa.gov/stationhome.html?id=8636580", "Station Info")</f>
        <v>0</v>
      </c>
      <c r="R15" s="2">
        <f>HYPERLINK("https://tidesandcurrents.noaa.gov/datums.html?datum=MLLW&amp;units=0&amp;epoch=0&amp;id=8636580", "Datum Info")</f>
        <v>0</v>
      </c>
      <c r="S15" s="2">
        <f>HYPERLINK("https://api.tidesandcurrents.noaa.gov/mdapi/prod/webapi/stations/8636580.json", "More Info")</f>
        <v>0</v>
      </c>
      <c r="T15" s="1">
        <v>6494638</v>
      </c>
      <c r="U15" s="1">
        <v>0</v>
      </c>
      <c r="V15" s="1" t="s">
        <v>869</v>
      </c>
      <c r="W15" s="1" t="s">
        <v>873</v>
      </c>
      <c r="X15" s="1" t="s">
        <v>886</v>
      </c>
      <c r="Y15" s="1">
        <v>1.39</v>
      </c>
      <c r="Z15" s="1">
        <v>1.26</v>
      </c>
      <c r="AA15" s="1">
        <v>0.68</v>
      </c>
      <c r="AB15" s="1">
        <v>0.7</v>
      </c>
      <c r="AC15" s="1">
        <v>0.7</v>
      </c>
      <c r="AD15" s="1">
        <v>0.1</v>
      </c>
      <c r="AE15" s="1">
        <v>0</v>
      </c>
      <c r="AF15" s="1">
        <v>1.18</v>
      </c>
      <c r="AG15" s="1">
        <v>-2.21</v>
      </c>
      <c r="AH15" s="1" t="s">
        <v>1086</v>
      </c>
      <c r="AI15" s="1" t="s">
        <v>1360</v>
      </c>
      <c r="AJ15" s="1">
        <v>1.135</v>
      </c>
      <c r="AK15" s="1">
        <v>-0.24</v>
      </c>
      <c r="AY15" s="2">
        <f>HYPERLINK("https://vdatum.noaa.gov/vdatumweb/api/convert?s_x=-76.29&amp;s_y=37.61611&amp;s_z=0.0&amp;region=chesapeak_delaware&amp;s_h_frame=NAD83_2011&amp;s_coor=geo&amp;s_v_frame=NAVD88&amp;s_v_unit=us_ft&amp;t_h_frame=IGS14&amp;t_coor=geo&amp;t_v_frame=MLLW&amp;t_v_unit=us_ft", "NAVD88 to MLLW")</f>
        <v>0</v>
      </c>
      <c r="AZ15" s="2">
        <f>HYPERLINK("https://vdatum.noaa.gov/vdatumweb/api/convert?s_x=-76.29&amp;s_y=37.61611&amp;s_z=0.0&amp;region=chesapeak_delaware&amp;s_h_frame=NAD83_2011&amp;s_coor=geo&amp;s_v_frame=NAVD88&amp;s_v_unit=us_ft&amp;t_h_frame=IGS14&amp;t_coor=geo&amp;t_v_frame=MHHW&amp;t_v_unit=us_ft", "NAVD88 to MHHW")</f>
        <v>0</v>
      </c>
    </row>
    <row r="16" spans="1:58">
      <c r="A16" s="1" t="s">
        <v>40</v>
      </c>
      <c r="B16" s="1" t="s">
        <v>612</v>
      </c>
      <c r="C16" s="1" t="s">
        <v>644</v>
      </c>
      <c r="D16" s="1" t="s">
        <v>652</v>
      </c>
      <c r="E16" s="1" t="s">
        <v>662</v>
      </c>
      <c r="F16" s="1" t="s">
        <v>831</v>
      </c>
      <c r="G16" s="1" t="s">
        <v>854</v>
      </c>
      <c r="L16" s="1">
        <v>-76.40000000000001</v>
      </c>
      <c r="M16" s="1">
        <v>37.3</v>
      </c>
      <c r="N16" s="1">
        <v>8637444</v>
      </c>
      <c r="O16" s="1" t="s">
        <v>860</v>
      </c>
      <c r="P16" s="1" t="s">
        <v>866</v>
      </c>
      <c r="Q16" s="2">
        <f>HYPERLINK("https://tidesandcurrents.noaa.gov/stationhome.html?id=8637444", "Station Info")</f>
        <v>0</v>
      </c>
      <c r="R16" s="2">
        <f>HYPERLINK("https://tidesandcurrents.noaa.gov/datums.html?datum=MLLW&amp;units=0&amp;epoch=0&amp;id=8637444", "Datum Info")</f>
        <v>0</v>
      </c>
      <c r="S16" s="2">
        <f>HYPERLINK("https://api.tidesandcurrents.noaa.gov/mdapi/prod/webapi/stations/8637444.json", "More Info")</f>
        <v>0</v>
      </c>
      <c r="T16" s="1">
        <v>8591819</v>
      </c>
      <c r="U16" s="1">
        <v>0</v>
      </c>
      <c r="V16" s="1" t="s">
        <v>869</v>
      </c>
      <c r="W16" s="1" t="s">
        <v>873</v>
      </c>
      <c r="AJ16" s="1">
        <v>1.417</v>
      </c>
      <c r="AK16" s="1">
        <v>-0.971</v>
      </c>
      <c r="AY16" s="2">
        <f>HYPERLINK("https://vdatum.noaa.gov/vdatumweb/api/convert?s_x=-76.4&amp;s_y=37.3&amp;s_z=0.0&amp;region=chesapeak_delaware&amp;s_h_frame=NAD83_2011&amp;s_coor=geo&amp;s_v_frame=NAVD88&amp;s_v_unit=us_ft&amp;t_h_frame=IGS14&amp;t_coor=geo&amp;t_v_frame=MLLW&amp;t_v_unit=us_ft", "NAVD88 to MLLW")</f>
        <v>0</v>
      </c>
      <c r="AZ16" s="2">
        <f>HYPERLINK("https://vdatum.noaa.gov/vdatumweb/api/convert?s_x=-76.4&amp;s_y=37.3&amp;s_z=0.0&amp;region=chesapeak_delaware&amp;s_h_frame=NAD83_2011&amp;s_coor=geo&amp;s_v_frame=NAVD88&amp;s_v_unit=us_ft&amp;t_h_frame=IGS14&amp;t_coor=geo&amp;t_v_frame=MHHW&amp;t_v_unit=us_ft", "NAVD88 to MHHW")</f>
        <v>0</v>
      </c>
    </row>
    <row r="17" spans="1:52">
      <c r="A17" s="1" t="s">
        <v>41</v>
      </c>
      <c r="B17" s="1" t="s">
        <v>612</v>
      </c>
      <c r="D17" s="1" t="s">
        <v>652</v>
      </c>
      <c r="E17" s="1" t="s">
        <v>663</v>
      </c>
      <c r="F17" s="1" t="s">
        <v>831</v>
      </c>
      <c r="G17" s="1" t="s">
        <v>854</v>
      </c>
      <c r="L17" s="1">
        <v>-76.47880000000001</v>
      </c>
      <c r="M17" s="1">
        <v>37.2265</v>
      </c>
      <c r="N17" s="1">
        <v>8637689</v>
      </c>
      <c r="O17" s="1" t="s">
        <v>860</v>
      </c>
      <c r="P17" s="1" t="s">
        <v>866</v>
      </c>
      <c r="Q17" s="2">
        <f>HYPERLINK("https://tidesandcurrents.noaa.gov/stationhome.html?id=8637689", "Station Info")</f>
        <v>0</v>
      </c>
      <c r="R17" s="2">
        <f>HYPERLINK("https://tidesandcurrents.noaa.gov/datums.html?datum=MLLW&amp;units=0&amp;epoch=0&amp;id=8637689", "Datum Info")</f>
        <v>0</v>
      </c>
      <c r="S17" s="2">
        <f>HYPERLINK("https://api.tidesandcurrents.noaa.gov/mdapi/prod/webapi/stations/8637689.json", "More Info")</f>
        <v>0</v>
      </c>
      <c r="T17" s="1">
        <v>3828221</v>
      </c>
      <c r="U17" s="1">
        <v>0</v>
      </c>
      <c r="V17" s="1" t="s">
        <v>869</v>
      </c>
      <c r="W17" s="1" t="s">
        <v>873</v>
      </c>
      <c r="X17" s="1" t="s">
        <v>886</v>
      </c>
      <c r="Y17" s="1">
        <v>2.58</v>
      </c>
      <c r="Z17" s="1">
        <v>2.38</v>
      </c>
      <c r="AA17" s="1">
        <v>1.25</v>
      </c>
      <c r="AB17" s="1">
        <v>1.24</v>
      </c>
      <c r="AC17" s="1">
        <v>1.29</v>
      </c>
      <c r="AD17" s="1">
        <v>0.12</v>
      </c>
      <c r="AE17" s="1">
        <v>0</v>
      </c>
      <c r="AF17" s="1">
        <v>1.53</v>
      </c>
      <c r="AG17" s="1">
        <v>-5.2</v>
      </c>
      <c r="AH17" s="1" t="s">
        <v>1087</v>
      </c>
      <c r="AI17" s="1" t="s">
        <v>1361</v>
      </c>
      <c r="AJ17" s="1">
        <v>1.47</v>
      </c>
      <c r="AK17" s="1">
        <v>-1.099</v>
      </c>
      <c r="AY17" s="2">
        <f>HYPERLINK("https://vdatum.noaa.gov/vdatumweb/api/convert?s_x=-76.4788&amp;s_y=37.2265&amp;s_z=0.0&amp;region=chesapeak_delaware&amp;s_h_frame=NAD83_2011&amp;s_coor=geo&amp;s_v_frame=NAVD88&amp;s_v_unit=us_ft&amp;t_h_frame=IGS14&amp;t_coor=geo&amp;t_v_frame=MLLW&amp;t_v_unit=us_ft", "NAVD88 to MLLW")</f>
        <v>0</v>
      </c>
      <c r="AZ17" s="2">
        <f>HYPERLINK("https://vdatum.noaa.gov/vdatumweb/api/convert?s_x=-76.4788&amp;s_y=37.2265&amp;s_z=0.0&amp;region=chesapeak_delaware&amp;s_h_frame=NAD83_2011&amp;s_coor=geo&amp;s_v_frame=NAVD88&amp;s_v_unit=us_ft&amp;t_h_frame=IGS14&amp;t_coor=geo&amp;t_v_frame=MHHW&amp;t_v_unit=us_ft", "NAVD88 to MHHW")</f>
        <v>0</v>
      </c>
    </row>
    <row r="18" spans="1:52">
      <c r="A18" s="1" t="s">
        <v>42</v>
      </c>
      <c r="B18" s="1" t="s">
        <v>612</v>
      </c>
      <c r="C18" s="1" t="s">
        <v>644</v>
      </c>
      <c r="D18" s="1" t="s">
        <v>652</v>
      </c>
      <c r="E18" s="1" t="s">
        <v>664</v>
      </c>
      <c r="F18" s="1" t="s">
        <v>831</v>
      </c>
      <c r="G18" s="1" t="s">
        <v>854</v>
      </c>
      <c r="H18" s="1" t="s">
        <v>1753</v>
      </c>
      <c r="I18" s="1" t="s">
        <v>1856</v>
      </c>
      <c r="J18" s="1" t="s">
        <v>1863</v>
      </c>
      <c r="K18" s="1" t="s">
        <v>2028</v>
      </c>
      <c r="L18" s="1">
        <v>-76.7914</v>
      </c>
      <c r="M18" s="1">
        <v>37.2201</v>
      </c>
      <c r="N18" s="1">
        <v>8637712</v>
      </c>
      <c r="O18" s="1" t="s">
        <v>860</v>
      </c>
      <c r="P18" s="1" t="s">
        <v>866</v>
      </c>
      <c r="Q18" s="2">
        <f>HYPERLINK("https://tidesandcurrents.noaa.gov/stationhome.html?id=8637712", "Station Info")</f>
        <v>0</v>
      </c>
      <c r="R18" s="2">
        <f>HYPERLINK("https://tidesandcurrents.noaa.gov/datums.html?datum=MLLW&amp;units=0&amp;epoch=0&amp;id=8637712", "Datum Info")</f>
        <v>0</v>
      </c>
      <c r="S18" s="2">
        <f>HYPERLINK("https://api.tidesandcurrents.noaa.gov/mdapi/prod/webapi/stations/8637712.json", "More Info")</f>
        <v>0</v>
      </c>
      <c r="T18" s="1">
        <v>4425400</v>
      </c>
      <c r="U18" s="1">
        <v>0</v>
      </c>
      <c r="V18" s="1" t="s">
        <v>869</v>
      </c>
      <c r="W18" s="1" t="s">
        <v>873</v>
      </c>
      <c r="X18" s="1" t="s">
        <v>886</v>
      </c>
      <c r="Y18" s="1">
        <v>2.23</v>
      </c>
      <c r="Z18" s="1">
        <v>2.05</v>
      </c>
      <c r="AA18" s="1">
        <v>1.09</v>
      </c>
      <c r="AB18" s="1">
        <v>1.1</v>
      </c>
      <c r="AC18" s="1">
        <v>1.11</v>
      </c>
      <c r="AD18" s="1">
        <v>0.13</v>
      </c>
      <c r="AE18" s="1">
        <v>0</v>
      </c>
      <c r="AF18" s="1">
        <v>1.23</v>
      </c>
      <c r="AG18" s="1">
        <v>1.05</v>
      </c>
      <c r="AH18" s="1" t="s">
        <v>1088</v>
      </c>
      <c r="AI18" s="1" t="s">
        <v>1362</v>
      </c>
      <c r="AJ18" s="1">
        <v>1.207</v>
      </c>
      <c r="AK18" s="1">
        <v>-0.991</v>
      </c>
      <c r="AL18" s="1" t="s">
        <v>887</v>
      </c>
      <c r="AM18" s="1">
        <v>0</v>
      </c>
      <c r="AN18" s="1" t="s">
        <v>1616</v>
      </c>
      <c r="AO18" s="1" t="s">
        <v>1682</v>
      </c>
      <c r="AP18" s="1" t="s">
        <v>1696</v>
      </c>
      <c r="AR18" s="1" t="s">
        <v>1682</v>
      </c>
      <c r="AS18" s="1">
        <v>3.5</v>
      </c>
      <c r="AT18" s="1">
        <v>4</v>
      </c>
      <c r="AU18" s="1">
        <v>4.5</v>
      </c>
      <c r="AV18" s="1">
        <v>5</v>
      </c>
      <c r="AW18" s="1" t="s">
        <v>1744</v>
      </c>
      <c r="AX18" s="2">
        <f>HYPERLINK("https://water.weather.gov/ahps2/hydrograph.php?wfo=akq&amp;gage=jsfv2", "AHPS Data")</f>
        <v>0</v>
      </c>
      <c r="AY18" s="2">
        <f>HYPERLINK("https://vdatum.noaa.gov/vdatumweb/api/convert?s_x=-76.7914&amp;s_y=37.2201&amp;s_z=0.0&amp;region=chesapeak_delaware&amp;s_h_frame=NAD83_2011&amp;s_coor=geo&amp;s_v_frame=NAVD88&amp;s_v_unit=us_ft&amp;t_h_frame=IGS14&amp;t_coor=geo&amp;t_v_frame=MLLW&amp;t_v_unit=us_ft", "NAVD88 to MLLW")</f>
        <v>0</v>
      </c>
      <c r="AZ18" s="2">
        <f>HYPERLINK("https://vdatum.noaa.gov/vdatumweb/api/convert?s_x=-76.7914&amp;s_y=37.2201&amp;s_z=0.0&amp;region=chesapeak_delaware&amp;s_h_frame=NAD83_2011&amp;s_coor=geo&amp;s_v_frame=NAVD88&amp;s_v_unit=us_ft&amp;t_h_frame=IGS14&amp;t_coor=geo&amp;t_v_frame=MHHW&amp;t_v_unit=us_ft", "NAVD88 to MHHW")</f>
        <v>0</v>
      </c>
    </row>
    <row r="19" spans="1:52">
      <c r="A19" s="1" t="s">
        <v>43</v>
      </c>
      <c r="B19" s="1" t="s">
        <v>612</v>
      </c>
      <c r="C19" s="1" t="s">
        <v>644</v>
      </c>
      <c r="D19" s="1" t="s">
        <v>652</v>
      </c>
      <c r="E19" s="1" t="s">
        <v>665</v>
      </c>
      <c r="F19" s="1" t="s">
        <v>831</v>
      </c>
      <c r="G19" s="1" t="s">
        <v>854</v>
      </c>
      <c r="L19" s="1">
        <v>-76.315</v>
      </c>
      <c r="M19" s="1">
        <v>37.0333</v>
      </c>
      <c r="N19" s="1">
        <v>8638288</v>
      </c>
      <c r="O19" s="1" t="s">
        <v>860</v>
      </c>
      <c r="P19" s="1" t="s">
        <v>866</v>
      </c>
      <c r="Q19" s="2">
        <f>HYPERLINK("https://tidesandcurrents.noaa.gov/stationhome.html?id=8638288", "Station Info")</f>
        <v>0</v>
      </c>
      <c r="R19" s="2">
        <f>HYPERLINK("https://tidesandcurrents.noaa.gov/datums.html?datum=MLLW&amp;units=0&amp;epoch=0&amp;id=8638288", "Datum Info")</f>
        <v>0</v>
      </c>
      <c r="S19" s="2">
        <f>HYPERLINK("https://api.tidesandcurrents.noaa.gov/mdapi/prod/webapi/stations/8638288.json", "More Info")</f>
        <v>0</v>
      </c>
      <c r="T19" s="1">
        <v>8096081</v>
      </c>
      <c r="U19" s="1">
        <v>0</v>
      </c>
      <c r="V19" s="1" t="s">
        <v>869</v>
      </c>
      <c r="W19" s="1" t="s">
        <v>873</v>
      </c>
      <c r="AJ19" s="1">
        <v>-999999</v>
      </c>
      <c r="AK19" s="1">
        <v>-999999</v>
      </c>
      <c r="AY19" s="2">
        <f>HYPERLINK("https://vdatum.noaa.gov/vdatumweb/api/convert?s_x=-76.315&amp;s_y=37.0333&amp;s_z=0.0&amp;region=chesapeak_delaware&amp;s_h_frame=NAD83_2011&amp;s_coor=geo&amp;s_v_frame=NAVD88&amp;s_v_unit=us_ft&amp;t_h_frame=IGS14&amp;t_coor=geo&amp;t_v_frame=MLLW&amp;t_v_unit=us_ft", "Missing")</f>
        <v>0</v>
      </c>
      <c r="AZ19" s="2">
        <f>HYPERLINK("https://vdatum.noaa.gov/vdatumweb/api/convert?s_x=-76.315&amp;s_y=37.0333&amp;s_z=0.0&amp;region=chesapeak_delaware&amp;s_h_frame=NAD83_2011&amp;s_coor=geo&amp;s_v_frame=NAVD88&amp;s_v_unit=us_ft&amp;t_h_frame=IGS14&amp;t_coor=geo&amp;t_v_frame=MHHW&amp;t_v_unit=us_ft", "Missing")</f>
        <v>0</v>
      </c>
    </row>
    <row r="20" spans="1:52">
      <c r="A20" s="1" t="s">
        <v>44</v>
      </c>
      <c r="B20" s="1" t="s">
        <v>612</v>
      </c>
      <c r="C20" s="1" t="s">
        <v>644</v>
      </c>
      <c r="D20" s="1" t="s">
        <v>652</v>
      </c>
      <c r="E20" s="1" t="s">
        <v>666</v>
      </c>
      <c r="F20" s="1" t="s">
        <v>831</v>
      </c>
      <c r="G20" s="1" t="s">
        <v>854</v>
      </c>
      <c r="L20" s="1">
        <v>-76.3991</v>
      </c>
      <c r="M20" s="1">
        <v>36.8232</v>
      </c>
      <c r="N20" s="1">
        <v>8638339</v>
      </c>
      <c r="O20" s="1" t="s">
        <v>860</v>
      </c>
      <c r="P20" s="1" t="s">
        <v>866</v>
      </c>
      <c r="Q20" s="2">
        <f>HYPERLINK("https://tidesandcurrents.noaa.gov/stationhome.html?id=8638339", "Station Info")</f>
        <v>0</v>
      </c>
      <c r="R20" s="2">
        <f>HYPERLINK("https://tidesandcurrents.noaa.gov/datums.html?datum=MLLW&amp;units=0&amp;epoch=0&amp;id=8638339", "Datum Info")</f>
        <v>0</v>
      </c>
      <c r="S20" s="2">
        <f>HYPERLINK("https://api.tidesandcurrents.noaa.gov/mdapi/prod/webapi/stations/8638339.json", "More Info")</f>
        <v>0</v>
      </c>
      <c r="T20" s="1">
        <v>7970380</v>
      </c>
      <c r="U20" s="1">
        <v>-0.397</v>
      </c>
      <c r="V20" s="1" t="s">
        <v>869</v>
      </c>
      <c r="W20" s="1" t="s">
        <v>873</v>
      </c>
      <c r="X20" s="1" t="s">
        <v>886</v>
      </c>
      <c r="Y20" s="1">
        <v>3.12</v>
      </c>
      <c r="Z20" s="1">
        <v>2.91</v>
      </c>
      <c r="AA20" s="1">
        <v>1.53</v>
      </c>
      <c r="AB20" s="1">
        <v>1.54</v>
      </c>
      <c r="AC20" s="1">
        <v>1.56</v>
      </c>
      <c r="AD20" s="1">
        <v>0.15</v>
      </c>
      <c r="AE20" s="1">
        <v>0</v>
      </c>
      <c r="AF20" s="1" t="s">
        <v>951</v>
      </c>
      <c r="AG20" s="1">
        <v>-27.24</v>
      </c>
      <c r="AH20" s="1" t="s">
        <v>1089</v>
      </c>
      <c r="AI20" s="1" t="s">
        <v>1101</v>
      </c>
      <c r="AJ20" s="1">
        <v>1.778</v>
      </c>
      <c r="AK20" s="1">
        <v>-1.322</v>
      </c>
      <c r="AY20" s="2">
        <f>HYPERLINK("https://vdatum.noaa.gov/vdatumweb/api/convert?s_x=-76.3991&amp;s_y=36.8232&amp;s_z=0.0&amp;region=chesapeak_delaware&amp;s_h_frame=NAD83_2011&amp;s_coor=geo&amp;s_v_frame=NAVD88&amp;s_v_unit=us_ft&amp;t_h_frame=IGS14&amp;t_coor=geo&amp;t_v_frame=MLLW&amp;t_v_unit=us_ft", "NAVD88 to MLLW")</f>
        <v>0</v>
      </c>
      <c r="AZ20" s="2">
        <f>HYPERLINK("https://vdatum.noaa.gov/vdatumweb/api/convert?s_x=-76.3991&amp;s_y=36.8232&amp;s_z=0.0&amp;region=chesapeak_delaware&amp;s_h_frame=NAD83_2011&amp;s_coor=geo&amp;s_v_frame=NAVD88&amp;s_v_unit=us_ft&amp;t_h_frame=IGS14&amp;t_coor=geo&amp;t_v_frame=MHHW&amp;t_v_unit=us_ft", "NAVD88 to MHHW")</f>
        <v>0</v>
      </c>
    </row>
    <row r="21" spans="1:52">
      <c r="A21" s="1" t="s">
        <v>45</v>
      </c>
      <c r="B21" s="1" t="s">
        <v>612</v>
      </c>
      <c r="C21" s="1" t="s">
        <v>644</v>
      </c>
      <c r="D21" s="1" t="s">
        <v>652</v>
      </c>
      <c r="E21" s="1" t="s">
        <v>667</v>
      </c>
      <c r="F21" s="1" t="s">
        <v>831</v>
      </c>
      <c r="G21" s="1" t="s">
        <v>854</v>
      </c>
      <c r="L21" s="1">
        <v>-76.55</v>
      </c>
      <c r="M21" s="1">
        <v>36.838333</v>
      </c>
      <c r="N21" s="1">
        <v>8638409</v>
      </c>
      <c r="O21" s="1" t="s">
        <v>860</v>
      </c>
      <c r="P21" s="1" t="s">
        <v>866</v>
      </c>
      <c r="Q21" s="2">
        <f>HYPERLINK("https://tidesandcurrents.noaa.gov/stationhome.html?id=8638409", "Station Info")</f>
        <v>0</v>
      </c>
      <c r="R21" s="2">
        <f>HYPERLINK("https://tidesandcurrents.noaa.gov/datums.html?datum=MLLW&amp;units=0&amp;epoch=0&amp;id=8638409", "Datum Info")</f>
        <v>0</v>
      </c>
      <c r="S21" s="2">
        <f>HYPERLINK("https://api.tidesandcurrents.noaa.gov/mdapi/prod/webapi/stations/8638409.json", "More Info")</f>
        <v>0</v>
      </c>
      <c r="T21" s="1">
        <v>4964400</v>
      </c>
      <c r="U21" s="1">
        <v>0</v>
      </c>
      <c r="V21" s="1" t="s">
        <v>869</v>
      </c>
      <c r="W21" s="1" t="s">
        <v>873</v>
      </c>
      <c r="AJ21" s="1">
        <v>1.739</v>
      </c>
      <c r="AK21" s="1">
        <v>-1.371</v>
      </c>
      <c r="AY21" s="2">
        <f>HYPERLINK("https://vdatum.noaa.gov/vdatumweb/api/convert?s_x=-76.55&amp;s_y=36.838333&amp;s_z=0.0&amp;region=chesapeak_delaware&amp;s_h_frame=NAD83_2011&amp;s_coor=geo&amp;s_v_frame=NAVD88&amp;s_v_unit=us_ft&amp;t_h_frame=IGS14&amp;t_coor=geo&amp;t_v_frame=MLLW&amp;t_v_unit=us_ft", "NAVD88 to MLLW")</f>
        <v>0</v>
      </c>
      <c r="AZ21" s="2">
        <f>HYPERLINK("https://vdatum.noaa.gov/vdatumweb/api/convert?s_x=-76.55&amp;s_y=36.838333&amp;s_z=0.0&amp;region=chesapeak_delaware&amp;s_h_frame=NAD83_2011&amp;s_coor=geo&amp;s_v_frame=NAVD88&amp;s_v_unit=us_ft&amp;t_h_frame=IGS14&amp;t_coor=geo&amp;t_v_frame=MHHW&amp;t_v_unit=us_ft", "NAVD88 to MHHW")</f>
        <v>0</v>
      </c>
    </row>
    <row r="22" spans="1:52">
      <c r="A22" s="1" t="s">
        <v>46</v>
      </c>
      <c r="B22" s="1" t="s">
        <v>612</v>
      </c>
      <c r="D22" s="1" t="s">
        <v>652</v>
      </c>
      <c r="E22" s="1" t="s">
        <v>668</v>
      </c>
      <c r="F22" s="1" t="s">
        <v>831</v>
      </c>
      <c r="G22" s="1" t="s">
        <v>854</v>
      </c>
      <c r="L22" s="1">
        <v>-76.33</v>
      </c>
      <c r="M22" s="1">
        <v>36.9467</v>
      </c>
      <c r="N22" s="1">
        <v>8638610</v>
      </c>
      <c r="O22" s="1" t="s">
        <v>860</v>
      </c>
      <c r="P22" s="1" t="s">
        <v>866</v>
      </c>
      <c r="Q22" s="2">
        <f>HYPERLINK("https://tidesandcurrents.noaa.gov/stationhome.html?id=8638610", "Station Info")</f>
        <v>0</v>
      </c>
      <c r="R22" s="2">
        <f>HYPERLINK("https://tidesandcurrents.noaa.gov/datums.html?datum=MLLW&amp;units=0&amp;epoch=0&amp;id=8638610", "Datum Info")</f>
        <v>0</v>
      </c>
      <c r="S22" s="2">
        <f>HYPERLINK("https://api.tidesandcurrents.noaa.gov/mdapi/prod/webapi/stations/8638610.json", "More Info")</f>
        <v>0</v>
      </c>
      <c r="T22" s="1">
        <v>9194072</v>
      </c>
      <c r="U22" s="1">
        <v>0</v>
      </c>
      <c r="V22" s="1" t="s">
        <v>869</v>
      </c>
      <c r="W22" s="1" t="s">
        <v>873</v>
      </c>
      <c r="X22" s="1" t="s">
        <v>886</v>
      </c>
      <c r="Y22" s="1">
        <v>2.76</v>
      </c>
      <c r="Z22" s="1">
        <v>2.56</v>
      </c>
      <c r="AA22" s="1">
        <v>1.34</v>
      </c>
      <c r="AB22" s="1">
        <v>1.36</v>
      </c>
      <c r="AC22" s="1">
        <v>1.38</v>
      </c>
      <c r="AD22" s="1">
        <v>0.13</v>
      </c>
      <c r="AE22" s="1">
        <v>0</v>
      </c>
      <c r="AF22" s="1">
        <v>1.61</v>
      </c>
      <c r="AG22" s="1">
        <v>-4.38</v>
      </c>
      <c r="AH22" s="1" t="s">
        <v>1090</v>
      </c>
      <c r="AI22" s="1" t="s">
        <v>1040</v>
      </c>
      <c r="AJ22" s="1">
        <v>1.512</v>
      </c>
      <c r="AK22" s="1">
        <v>-1.286</v>
      </c>
      <c r="AY22" s="2">
        <f>HYPERLINK("https://vdatum.noaa.gov/vdatumweb/api/convert?s_x=-76.33&amp;s_y=36.9467&amp;s_z=0.0&amp;region=chesapeak_delaware&amp;s_h_frame=NAD83_2011&amp;s_coor=geo&amp;s_v_frame=NAVD88&amp;s_v_unit=us_ft&amp;t_h_frame=IGS14&amp;t_coor=geo&amp;t_v_frame=MLLW&amp;t_v_unit=us_ft", "NAVD88 to MLLW")</f>
        <v>0</v>
      </c>
      <c r="AZ22" s="2">
        <f>HYPERLINK("https://vdatum.noaa.gov/vdatumweb/api/convert?s_x=-76.33&amp;s_y=36.9467&amp;s_z=0.0&amp;region=chesapeak_delaware&amp;s_h_frame=NAD83_2011&amp;s_coor=geo&amp;s_v_frame=NAVD88&amp;s_v_unit=us_ft&amp;t_h_frame=IGS14&amp;t_coor=geo&amp;t_v_frame=MHHW&amp;t_v_unit=us_ft", "NAVD88 to MHHW")</f>
        <v>0</v>
      </c>
    </row>
    <row r="23" spans="1:52">
      <c r="A23" s="1" t="s">
        <v>47</v>
      </c>
      <c r="B23" s="1" t="s">
        <v>612</v>
      </c>
      <c r="D23" s="1" t="s">
        <v>652</v>
      </c>
      <c r="L23" s="1">
        <v>-76.1133</v>
      </c>
      <c r="M23" s="1">
        <v>36.9667</v>
      </c>
      <c r="N23" s="1">
        <v>8638863</v>
      </c>
      <c r="O23" s="1" t="s">
        <v>860</v>
      </c>
      <c r="P23" s="1" t="s">
        <v>866</v>
      </c>
      <c r="Q23" s="2">
        <f>HYPERLINK("https://tidesandcurrents.noaa.gov/stationhome.html?id=8638863", "Station Info")</f>
        <v>0</v>
      </c>
      <c r="R23" s="2">
        <f>HYPERLINK("https://tidesandcurrents.noaa.gov/datums.html?datum=MLLW&amp;units=0&amp;epoch=0&amp;id=8638863", "Datum Info")</f>
        <v>0</v>
      </c>
      <c r="S23" s="2">
        <f>HYPERLINK("https://api.tidesandcurrents.noaa.gov/mdapi/prod/webapi/stations/8638863.json", "More Info")</f>
        <v>0</v>
      </c>
      <c r="T23" s="1">
        <v>6000735</v>
      </c>
      <c r="U23" s="1">
        <v>-0.45</v>
      </c>
      <c r="V23" s="1" t="s">
        <v>869</v>
      </c>
      <c r="W23" s="1" t="s">
        <v>873</v>
      </c>
      <c r="X23" s="1" t="s">
        <v>886</v>
      </c>
      <c r="Y23" s="1">
        <v>2.91</v>
      </c>
      <c r="Z23" s="1">
        <v>2.68</v>
      </c>
      <c r="AA23" s="1">
        <v>1.4</v>
      </c>
      <c r="AB23" s="1">
        <v>1.42</v>
      </c>
      <c r="AC23" s="1">
        <v>1.46</v>
      </c>
      <c r="AD23" s="1">
        <v>0.13</v>
      </c>
      <c r="AE23" s="1">
        <v>0</v>
      </c>
      <c r="AF23" s="1" t="s">
        <v>952</v>
      </c>
      <c r="AG23" s="1">
        <v>-25.27</v>
      </c>
      <c r="AH23" s="1" t="s">
        <v>1091</v>
      </c>
      <c r="AI23" s="1" t="s">
        <v>1363</v>
      </c>
      <c r="AJ23" s="1">
        <v>1.886</v>
      </c>
      <c r="AK23" s="1">
        <v>-1.05</v>
      </c>
      <c r="AY23" s="2">
        <f>HYPERLINK("https://vdatum.noaa.gov/vdatumweb/api/convert?s_x=-76.1133&amp;s_y=36.9667&amp;s_z=0.0&amp;region=chesapeak_delaware&amp;s_h_frame=NAD83_2011&amp;s_coor=geo&amp;s_v_frame=NAVD88&amp;s_v_unit=us_ft&amp;t_h_frame=IGS14&amp;t_coor=geo&amp;t_v_frame=MLLW&amp;t_v_unit=us_ft", "NAVD88 to MLLW")</f>
        <v>0</v>
      </c>
      <c r="AZ23" s="2">
        <f>HYPERLINK("https://vdatum.noaa.gov/vdatumweb/api/convert?s_x=-76.1133&amp;s_y=36.9667&amp;s_z=0.0&amp;region=chesapeak_delaware&amp;s_h_frame=NAD83_2011&amp;s_coor=geo&amp;s_v_frame=NAVD88&amp;s_v_unit=us_ft&amp;t_h_frame=IGS14&amp;t_coor=geo&amp;t_v_frame=MHHW&amp;t_v_unit=us_ft", "NAVD88 to MHHW")</f>
        <v>0</v>
      </c>
    </row>
    <row r="24" spans="1:52">
      <c r="A24" s="1" t="s">
        <v>48</v>
      </c>
      <c r="B24" s="1" t="s">
        <v>612</v>
      </c>
      <c r="D24" s="1" t="s">
        <v>652</v>
      </c>
      <c r="L24" s="1">
        <v>-76.08329999999999</v>
      </c>
      <c r="M24" s="1">
        <v>37.0329</v>
      </c>
      <c r="N24" s="1">
        <v>8638901</v>
      </c>
      <c r="O24" s="1" t="s">
        <v>860</v>
      </c>
      <c r="P24" s="1" t="s">
        <v>866</v>
      </c>
      <c r="Q24" s="2">
        <f>HYPERLINK("https://tidesandcurrents.noaa.gov/stationhome.html?id=8638901", "Station Info")</f>
        <v>0</v>
      </c>
      <c r="R24" s="2">
        <f>HYPERLINK("https://tidesandcurrents.noaa.gov/datums.html?datum=MLLW&amp;units=0&amp;epoch=0&amp;id=8638901", "Datum Info")</f>
        <v>0</v>
      </c>
      <c r="S24" s="2">
        <f>HYPERLINK("https://api.tidesandcurrents.noaa.gov/mdapi/prod/webapi/stations/8638901.json", "More Info")</f>
        <v>0</v>
      </c>
      <c r="T24" s="1">
        <v>5675926</v>
      </c>
      <c r="U24" s="1">
        <v>-0.444</v>
      </c>
      <c r="V24" s="1" t="s">
        <v>869</v>
      </c>
      <c r="W24" s="1" t="s">
        <v>873</v>
      </c>
      <c r="X24" s="1" t="s">
        <v>886</v>
      </c>
      <c r="Y24" s="1">
        <v>3.01</v>
      </c>
      <c r="Z24" s="1">
        <v>2.77</v>
      </c>
      <c r="AA24" s="1">
        <v>1.44</v>
      </c>
      <c r="AB24" s="1">
        <v>1.47</v>
      </c>
      <c r="AC24" s="1">
        <v>1.5</v>
      </c>
      <c r="AD24" s="1">
        <v>0.11</v>
      </c>
      <c r="AE24" s="1">
        <v>0</v>
      </c>
      <c r="AF24" s="1" t="s">
        <v>953</v>
      </c>
      <c r="AG24" s="1">
        <v>-4.45</v>
      </c>
      <c r="AH24" s="1" t="s">
        <v>1092</v>
      </c>
      <c r="AI24" s="1" t="s">
        <v>1364</v>
      </c>
      <c r="AJ24" s="1">
        <v>1.916</v>
      </c>
      <c r="AK24" s="1">
        <v>-1.099</v>
      </c>
      <c r="AY24" s="2">
        <f>HYPERLINK("https://vdatum.noaa.gov/vdatumweb/api/convert?s_x=-76.0833&amp;s_y=37.0329&amp;s_z=0.0&amp;region=chesapeak_delaware&amp;s_h_frame=NAD83_2011&amp;s_coor=geo&amp;s_v_frame=NAVD88&amp;s_v_unit=us_ft&amp;t_h_frame=IGS14&amp;t_coor=geo&amp;t_v_frame=MLLW&amp;t_v_unit=us_ft", "NAVD88 to MLLW")</f>
        <v>0</v>
      </c>
      <c r="AZ24" s="2">
        <f>HYPERLINK("https://vdatum.noaa.gov/vdatumweb/api/convert?s_x=-76.0833&amp;s_y=37.0329&amp;s_z=0.0&amp;region=chesapeak_delaware&amp;s_h_frame=NAD83_2011&amp;s_coor=geo&amp;s_v_frame=NAVD88&amp;s_v_unit=us_ft&amp;t_h_frame=IGS14&amp;t_coor=geo&amp;t_v_frame=MHHW&amp;t_v_unit=us_ft", "NAVD88 to MHHW")</f>
        <v>0</v>
      </c>
    </row>
    <row r="25" spans="1:52">
      <c r="A25" s="1" t="s">
        <v>49</v>
      </c>
      <c r="B25" s="1" t="s">
        <v>612</v>
      </c>
      <c r="C25" s="1" t="s">
        <v>644</v>
      </c>
      <c r="D25" s="1" t="s">
        <v>652</v>
      </c>
      <c r="E25" s="1" t="s">
        <v>666</v>
      </c>
      <c r="F25" s="1" t="s">
        <v>831</v>
      </c>
      <c r="G25" s="1" t="s">
        <v>854</v>
      </c>
      <c r="L25" s="1">
        <v>-76.3017</v>
      </c>
      <c r="M25" s="1">
        <v>36.77831</v>
      </c>
      <c r="N25" s="1">
        <v>8639348</v>
      </c>
      <c r="O25" s="1" t="s">
        <v>860</v>
      </c>
      <c r="P25" s="1" t="s">
        <v>866</v>
      </c>
      <c r="Q25" s="2">
        <f>HYPERLINK("https://tidesandcurrents.noaa.gov/stationhome.html?id=8639348", "Station Info")</f>
        <v>0</v>
      </c>
      <c r="R25" s="2">
        <f>HYPERLINK("https://tidesandcurrents.noaa.gov/datums.html?datum=MLLW&amp;units=0&amp;epoch=0&amp;id=8639348", "Datum Info")</f>
        <v>0</v>
      </c>
      <c r="S25" s="2">
        <f>HYPERLINK("https://api.tidesandcurrents.noaa.gov/mdapi/prod/webapi/stations/8639348.json", "More Info")</f>
        <v>0</v>
      </c>
      <c r="T25" s="1">
        <v>7771155</v>
      </c>
      <c r="U25" s="1">
        <v>-0.393</v>
      </c>
      <c r="V25" s="1" t="s">
        <v>869</v>
      </c>
      <c r="W25" s="1" t="s">
        <v>873</v>
      </c>
      <c r="X25" s="1" t="s">
        <v>886</v>
      </c>
      <c r="Y25" s="1">
        <v>3.2</v>
      </c>
      <c r="Z25" s="1">
        <v>2.99</v>
      </c>
      <c r="AA25" s="1">
        <v>1.57</v>
      </c>
      <c r="AB25" s="1">
        <v>1.57</v>
      </c>
      <c r="AC25" s="1">
        <v>1.6</v>
      </c>
      <c r="AD25" s="1">
        <v>0.14</v>
      </c>
      <c r="AE25" s="1">
        <v>0</v>
      </c>
      <c r="AF25" s="1" t="s">
        <v>954</v>
      </c>
      <c r="AG25" s="1">
        <v>-21.6</v>
      </c>
      <c r="AH25" s="1" t="s">
        <v>1093</v>
      </c>
      <c r="AI25" s="1" t="s">
        <v>1365</v>
      </c>
      <c r="AJ25" s="1">
        <v>1.818</v>
      </c>
      <c r="AK25" s="1">
        <v>-1.385</v>
      </c>
      <c r="AY25" s="2">
        <f>HYPERLINK("https://vdatum.noaa.gov/vdatumweb/api/convert?s_x=-76.3017&amp;s_y=36.77831&amp;s_z=0.0&amp;region=chesapeak_delaware&amp;s_h_frame=NAD83_2011&amp;s_coor=geo&amp;s_v_frame=NAVD88&amp;s_v_unit=us_ft&amp;t_h_frame=IGS14&amp;t_coor=geo&amp;t_v_frame=MLLW&amp;t_v_unit=us_ft", "NAVD88 to MLLW")</f>
        <v>0</v>
      </c>
      <c r="AZ25" s="2">
        <f>HYPERLINK("https://vdatum.noaa.gov/vdatumweb/api/convert?s_x=-76.3017&amp;s_y=36.77831&amp;s_z=0.0&amp;region=chesapeak_delaware&amp;s_h_frame=NAD83_2011&amp;s_coor=geo&amp;s_v_frame=NAVD88&amp;s_v_unit=us_ft&amp;t_h_frame=IGS14&amp;t_coor=geo&amp;t_v_frame=MHHW&amp;t_v_unit=us_ft", "NAVD88 to MHHW")</f>
        <v>0</v>
      </c>
    </row>
    <row r="26" spans="1:52">
      <c r="A26" s="1" t="s">
        <v>50</v>
      </c>
      <c r="B26" s="1" t="s">
        <v>612</v>
      </c>
      <c r="C26" s="1" t="s">
        <v>644</v>
      </c>
      <c r="D26" s="1" t="s">
        <v>652</v>
      </c>
      <c r="E26" s="1" t="s">
        <v>665</v>
      </c>
      <c r="F26" s="1" t="s">
        <v>831</v>
      </c>
      <c r="G26" s="1" t="s">
        <v>854</v>
      </c>
      <c r="L26" s="1">
        <v>-76.3</v>
      </c>
      <c r="M26" s="1">
        <v>37.09</v>
      </c>
      <c r="N26" s="1" t="s">
        <v>859</v>
      </c>
      <c r="O26" s="1" t="s">
        <v>861</v>
      </c>
      <c r="P26" s="1" t="s">
        <v>859</v>
      </c>
      <c r="T26" s="1">
        <v>8697166</v>
      </c>
      <c r="U26" s="1">
        <v>0</v>
      </c>
      <c r="V26" s="1" t="s">
        <v>869</v>
      </c>
      <c r="W26" s="1" t="s">
        <v>873</v>
      </c>
      <c r="AJ26" s="1">
        <v>1.437</v>
      </c>
      <c r="AK26" s="1">
        <v>-0.961</v>
      </c>
      <c r="AY26" s="2">
        <f>HYPERLINK("https://vdatum.noaa.gov/vdatumweb/api/convert?s_x=-76.3&amp;s_y=37.09&amp;s_z=0.0&amp;region=chesapeak_delaware&amp;s_h_frame=NAD83_2011&amp;s_coor=geo&amp;s_v_frame=NAVD88&amp;s_v_unit=us_ft&amp;t_h_frame=IGS14&amp;t_coor=geo&amp;t_v_frame=MLLW&amp;t_v_unit=us_ft", "NAVD88 to MLLW")</f>
        <v>0</v>
      </c>
      <c r="AZ26" s="2">
        <f>HYPERLINK("https://vdatum.noaa.gov/vdatumweb/api/convert?s_x=-76.3&amp;s_y=37.09&amp;s_z=0.0&amp;region=chesapeak_delaware&amp;s_h_frame=NAD83_2011&amp;s_coor=geo&amp;s_v_frame=NAVD88&amp;s_v_unit=us_ft&amp;t_h_frame=IGS14&amp;t_coor=geo&amp;t_v_frame=MHHW&amp;t_v_unit=us_ft", "NAVD88 to MHHW")</f>
        <v>0</v>
      </c>
    </row>
    <row r="27" spans="1:52">
      <c r="A27" s="1" t="s">
        <v>51</v>
      </c>
      <c r="B27" s="1" t="s">
        <v>612</v>
      </c>
      <c r="C27" s="1" t="s">
        <v>645</v>
      </c>
      <c r="D27" s="1" t="s">
        <v>652</v>
      </c>
      <c r="E27" s="1" t="s">
        <v>669</v>
      </c>
      <c r="F27" s="1" t="s">
        <v>832</v>
      </c>
      <c r="G27" s="1" t="s">
        <v>854</v>
      </c>
      <c r="L27" s="1">
        <v>-76.22</v>
      </c>
      <c r="M27" s="1">
        <v>36.3</v>
      </c>
      <c r="N27" s="1" t="s">
        <v>859</v>
      </c>
      <c r="O27" s="1" t="s">
        <v>860</v>
      </c>
      <c r="P27" s="1" t="s">
        <v>859</v>
      </c>
      <c r="T27" s="1">
        <v>8273151</v>
      </c>
      <c r="U27" s="1">
        <v>0</v>
      </c>
      <c r="V27" s="1" t="s">
        <v>869</v>
      </c>
      <c r="W27" s="1" t="s">
        <v>874</v>
      </c>
      <c r="AJ27" s="1">
        <v>-0.019</v>
      </c>
      <c r="AK27" s="1">
        <v>-0.019</v>
      </c>
      <c r="AY27" s="2">
        <f>HYPERLINK("https://vdatum.noaa.gov/vdatumweb/api/convert?s_x=-76.22&amp;s_y=36.3&amp;s_z=0.0&amp;region=contiguous&amp;s_h_frame=NAD83_2011&amp;s_coor=geo&amp;s_v_frame=NAVD88&amp;s_v_unit=us_ft&amp;t_h_frame=NAD83_2011&amp;t_coor=geo&amp;t_v_frame=MLLW&amp;t_v_unit=us_ft", "NAVD88 to MLLW")</f>
        <v>0</v>
      </c>
      <c r="AZ27" s="2">
        <f>HYPERLINK("https://vdatum.noaa.gov/vdatumweb/api/convert?s_x=-76.22&amp;s_y=36.3&amp;s_z=0.0&amp;region=contiguous&amp;s_h_frame=NAD83_2011&amp;s_coor=geo&amp;s_v_frame=NAVD88&amp;s_v_unit=us_ft&amp;t_h_frame=NAD83_2011&amp;t_coor=geo&amp;t_v_frame=MHHW&amp;t_v_unit=us_ft", "NAVD88 to MHHW")</f>
        <v>0</v>
      </c>
    </row>
    <row r="28" spans="1:52">
      <c r="A28" s="1" t="s">
        <v>52</v>
      </c>
      <c r="B28" s="1" t="s">
        <v>612</v>
      </c>
      <c r="C28" s="1" t="s">
        <v>645</v>
      </c>
      <c r="D28" s="1" t="s">
        <v>652</v>
      </c>
      <c r="E28" s="1" t="s">
        <v>670</v>
      </c>
      <c r="F28" s="1" t="s">
        <v>832</v>
      </c>
      <c r="G28" s="1" t="s">
        <v>854</v>
      </c>
      <c r="L28" s="1">
        <v>-76.61056000000001</v>
      </c>
      <c r="M28" s="1">
        <v>36.05639</v>
      </c>
      <c r="N28" s="1" t="s">
        <v>859</v>
      </c>
      <c r="O28" s="1" t="s">
        <v>860</v>
      </c>
      <c r="P28" s="1" t="s">
        <v>859</v>
      </c>
      <c r="T28" s="1">
        <v>7326821</v>
      </c>
      <c r="U28" s="1">
        <v>0</v>
      </c>
      <c r="V28" s="1" t="s">
        <v>869</v>
      </c>
      <c r="W28" s="1" t="s">
        <v>874</v>
      </c>
      <c r="AJ28" s="1">
        <v>0.115</v>
      </c>
      <c r="AK28" s="1">
        <v>0.115</v>
      </c>
      <c r="AY28" s="2">
        <f>HYPERLINK("https://vdatum.noaa.gov/vdatumweb/api/convert?s_x=-76.61056&amp;s_y=36.05639&amp;s_z=0.0&amp;region=contiguous&amp;s_h_frame=NAD83_2011&amp;s_coor=geo&amp;s_v_frame=NAVD88&amp;s_v_unit=us_ft&amp;t_h_frame=NAD83_2011&amp;t_coor=geo&amp;t_v_frame=MLLW&amp;t_v_unit=us_ft", "NAVD88 to MLLW")</f>
        <v>0</v>
      </c>
      <c r="AZ28" s="2">
        <f>HYPERLINK("https://vdatum.noaa.gov/vdatumweb/api/convert?s_x=-76.61056&amp;s_y=36.05639&amp;s_z=0.0&amp;region=contiguous&amp;s_h_frame=NAD83_2011&amp;s_coor=geo&amp;s_v_frame=NAVD88&amp;s_v_unit=us_ft&amp;t_h_frame=NAD83_2011&amp;t_coor=geo&amp;t_v_frame=MHHW&amp;t_v_unit=us_ft", "NAVD88 to MHHW")</f>
        <v>0</v>
      </c>
    </row>
    <row r="29" spans="1:52">
      <c r="A29" s="1" t="s">
        <v>53</v>
      </c>
      <c r="B29" s="1" t="s">
        <v>612</v>
      </c>
      <c r="C29" s="1" t="s">
        <v>645</v>
      </c>
      <c r="D29" s="1" t="s">
        <v>652</v>
      </c>
      <c r="E29" s="1" t="s">
        <v>671</v>
      </c>
      <c r="F29" s="1" t="s">
        <v>832</v>
      </c>
      <c r="G29" s="1" t="s">
        <v>854</v>
      </c>
      <c r="L29" s="1">
        <v>-75.98999999999999</v>
      </c>
      <c r="M29" s="1">
        <v>36.53</v>
      </c>
      <c r="N29" s="1" t="s">
        <v>859</v>
      </c>
      <c r="O29" s="1" t="s">
        <v>860</v>
      </c>
      <c r="P29" s="1" t="s">
        <v>859</v>
      </c>
      <c r="T29" s="1">
        <v>8329116</v>
      </c>
      <c r="U29" s="1">
        <v>0</v>
      </c>
      <c r="V29" s="1" t="s">
        <v>869</v>
      </c>
      <c r="W29" s="1" t="s">
        <v>874</v>
      </c>
      <c r="AJ29" s="1">
        <v>0.18</v>
      </c>
      <c r="AK29" s="1">
        <v>0.18</v>
      </c>
      <c r="AY29" s="2">
        <f>HYPERLINK("https://vdatum.noaa.gov/vdatumweb/api/convert?s_x=-75.99&amp;s_y=36.53&amp;s_z=0.0&amp;region=contiguous&amp;s_h_frame=NAD83_2011&amp;s_coor=geo&amp;s_v_frame=NAVD88&amp;s_v_unit=us_ft&amp;t_h_frame=NAD83_2011&amp;t_coor=geo&amp;t_v_frame=MLLW&amp;t_v_unit=us_ft", "NAVD88 to MLLW")</f>
        <v>0</v>
      </c>
      <c r="AZ29" s="2">
        <f>HYPERLINK("https://vdatum.noaa.gov/vdatumweb/api/convert?s_x=-75.99&amp;s_y=36.53&amp;s_z=0.0&amp;region=contiguous&amp;s_h_frame=NAD83_2011&amp;s_coor=geo&amp;s_v_frame=NAVD88&amp;s_v_unit=us_ft&amp;t_h_frame=NAD83_2011&amp;t_coor=geo&amp;t_v_frame=MHHW&amp;t_v_unit=us_ft", "NAVD88 to MHHW")</f>
        <v>0</v>
      </c>
    </row>
    <row r="30" spans="1:52">
      <c r="A30" s="1" t="s">
        <v>54</v>
      </c>
      <c r="B30" s="1" t="s">
        <v>612</v>
      </c>
      <c r="C30" s="1" t="s">
        <v>644</v>
      </c>
      <c r="D30" s="1" t="s">
        <v>652</v>
      </c>
      <c r="E30" s="1" t="s">
        <v>662</v>
      </c>
      <c r="F30" s="1" t="s">
        <v>831</v>
      </c>
      <c r="G30" s="1" t="s">
        <v>854</v>
      </c>
      <c r="L30" s="1">
        <v>-76.4254444</v>
      </c>
      <c r="M30" s="1">
        <v>37.3793611</v>
      </c>
      <c r="N30" s="1" t="s">
        <v>2170</v>
      </c>
      <c r="O30" s="1" t="s">
        <v>860</v>
      </c>
      <c r="P30" s="1" t="s">
        <v>867</v>
      </c>
      <c r="Q30" s="2">
        <f>HYPERLINK("https://waterdata.usgs.gov/nwis/nwismap/?site_no=01670060&amp;agency_cd=USGS", "Station Info")</f>
        <v>0</v>
      </c>
      <c r="R30" s="2">
        <f>HYPERLINK("https://waterservices.usgs.gov/nwis/site/?site=01670060&amp;format=rdb", "Datum Info")</f>
        <v>0</v>
      </c>
      <c r="T30" s="1">
        <v>5902941</v>
      </c>
      <c r="U30" s="1">
        <v>0</v>
      </c>
      <c r="V30" s="1" t="s">
        <v>869</v>
      </c>
      <c r="W30" s="1" t="s">
        <v>873</v>
      </c>
      <c r="AJ30" s="1">
        <v>1.473</v>
      </c>
      <c r="AK30" s="1">
        <v>-1.007</v>
      </c>
      <c r="AY30" s="2">
        <f>HYPERLINK("https://vdatum.noaa.gov/vdatumweb/api/convert?s_x=-76.4254444&amp;s_y=37.3793611&amp;s_z=0.0&amp;region=chesapeak_delaware&amp;s_h_frame=NAD83_2011&amp;s_coor=geo&amp;s_v_frame=NAVD88&amp;s_v_unit=us_ft&amp;t_h_frame=IGS14&amp;t_coor=geo&amp;t_v_frame=MLLW&amp;t_v_unit=us_ft", "NAVD88 to MLLW")</f>
        <v>0</v>
      </c>
      <c r="AZ30" s="2">
        <f>HYPERLINK("https://vdatum.noaa.gov/vdatumweb/api/convert?s_x=-76.4254444&amp;s_y=37.3793611&amp;s_z=0.0&amp;region=chesapeak_delaware&amp;s_h_frame=NAD83_2011&amp;s_coor=geo&amp;s_v_frame=NAVD88&amp;s_v_unit=us_ft&amp;t_h_frame=IGS14&amp;t_coor=geo&amp;t_v_frame=MHHW&amp;t_v_unit=us_ft", "NAVD88 to MHHW")</f>
        <v>0</v>
      </c>
    </row>
    <row r="31" spans="1:52">
      <c r="A31" s="1" t="s">
        <v>55</v>
      </c>
      <c r="B31" s="1" t="s">
        <v>612</v>
      </c>
      <c r="C31" s="1" t="s">
        <v>644</v>
      </c>
      <c r="D31" s="1" t="s">
        <v>652</v>
      </c>
      <c r="E31" s="1" t="s">
        <v>672</v>
      </c>
      <c r="F31" s="1" t="s">
        <v>831</v>
      </c>
      <c r="G31" s="1" t="s">
        <v>854</v>
      </c>
      <c r="L31" s="1">
        <v>-76.38541669999999</v>
      </c>
      <c r="M31" s="1">
        <v>37.1049722</v>
      </c>
      <c r="N31" s="1" t="s">
        <v>2171</v>
      </c>
      <c r="O31" s="1" t="s">
        <v>860</v>
      </c>
      <c r="P31" s="1" t="s">
        <v>867</v>
      </c>
      <c r="Q31" s="2">
        <f>HYPERLINK("https://waterdata.usgs.gov/nwis/nwismap/?site_no=0167862550&amp;agency_cd=USGS", "Station Info")</f>
        <v>0</v>
      </c>
      <c r="R31" s="2">
        <f>HYPERLINK("https://waterservices.usgs.gov/nwis/site/?site=0167862550&amp;format=rdb", "Datum Info")</f>
        <v>0</v>
      </c>
      <c r="T31" s="1">
        <v>8696990</v>
      </c>
      <c r="U31" s="1">
        <v>0</v>
      </c>
      <c r="V31" s="1" t="s">
        <v>869</v>
      </c>
      <c r="W31" s="1" t="s">
        <v>873</v>
      </c>
      <c r="X31" s="1" t="s">
        <v>887</v>
      </c>
      <c r="AF31" s="1" t="s">
        <v>955</v>
      </c>
      <c r="AJ31" s="1">
        <v>-999999</v>
      </c>
      <c r="AK31" s="1">
        <v>-999999</v>
      </c>
      <c r="AY31" s="2">
        <f>HYPERLINK("https://vdatum.noaa.gov/vdatumweb/api/convert?s_x=-76.3854167&amp;s_y=37.1049722&amp;s_z=0.0&amp;region=chesapeak_delaware&amp;s_h_frame=NAD83_2011&amp;s_coor=geo&amp;s_v_frame=NAVD88&amp;s_v_unit=us_ft&amp;t_h_frame=IGS14&amp;t_coor=geo&amp;t_v_frame=MLLW&amp;t_v_unit=us_ft", "Missing")</f>
        <v>0</v>
      </c>
      <c r="AZ31" s="2">
        <f>HYPERLINK("https://vdatum.noaa.gov/vdatumweb/api/convert?s_x=-76.3854167&amp;s_y=37.1049722&amp;s_z=0.0&amp;region=chesapeak_delaware&amp;s_h_frame=NAD83_2011&amp;s_coor=geo&amp;s_v_frame=NAVD88&amp;s_v_unit=us_ft&amp;t_h_frame=IGS14&amp;t_coor=geo&amp;t_v_frame=MHHW&amp;t_v_unit=us_ft", "Missing")</f>
        <v>0</v>
      </c>
    </row>
    <row r="32" spans="1:52">
      <c r="A32" s="1" t="s">
        <v>56</v>
      </c>
      <c r="B32" s="1" t="s">
        <v>612</v>
      </c>
      <c r="C32" s="1" t="s">
        <v>644</v>
      </c>
      <c r="D32" s="1" t="s">
        <v>652</v>
      </c>
      <c r="E32" s="1" t="s">
        <v>665</v>
      </c>
      <c r="F32" s="1" t="s">
        <v>831</v>
      </c>
      <c r="G32" s="1" t="s">
        <v>854</v>
      </c>
      <c r="L32" s="1">
        <v>-76.36777778</v>
      </c>
      <c r="M32" s="1">
        <v>37.0449722</v>
      </c>
      <c r="N32" s="1" t="s">
        <v>2172</v>
      </c>
      <c r="O32" s="1" t="s">
        <v>860</v>
      </c>
      <c r="P32" s="1" t="s">
        <v>867</v>
      </c>
      <c r="Q32" s="2">
        <f>HYPERLINK("https://waterdata.usgs.gov/nwis/nwismap/?site_no=0167892964&amp;agency_cd=USGS", "Station Info")</f>
        <v>0</v>
      </c>
      <c r="R32" s="2">
        <f>HYPERLINK("https://waterservices.usgs.gov/nwis/site/?site=0167892964&amp;format=rdb", "Datum Info")</f>
        <v>0</v>
      </c>
      <c r="T32" s="1">
        <v>9157201</v>
      </c>
      <c r="U32" s="1">
        <v>0</v>
      </c>
      <c r="V32" s="1" t="s">
        <v>869</v>
      </c>
      <c r="W32" s="1" t="s">
        <v>873</v>
      </c>
      <c r="X32" s="1" t="s">
        <v>887</v>
      </c>
      <c r="AF32" s="1" t="s">
        <v>955</v>
      </c>
      <c r="AJ32" s="1">
        <v>1.424</v>
      </c>
      <c r="AK32" s="1">
        <v>-1.05</v>
      </c>
      <c r="AY32" s="2">
        <f>HYPERLINK("https://vdatum.noaa.gov/vdatumweb/api/convert?s_x=-76.36777778&amp;s_y=37.0449722&amp;s_z=0.0&amp;region=chesapeak_delaware&amp;s_h_frame=NAD83_2011&amp;s_coor=geo&amp;s_v_frame=NAVD88&amp;s_v_unit=us_ft&amp;t_h_frame=IGS14&amp;t_coor=geo&amp;t_v_frame=MLLW&amp;t_v_unit=us_ft", "NAVD88 to MLLW")</f>
        <v>0</v>
      </c>
      <c r="AZ32" s="2">
        <f>HYPERLINK("https://vdatum.noaa.gov/vdatumweb/api/convert?s_x=-76.36777778&amp;s_y=37.0449722&amp;s_z=0.0&amp;region=chesapeak_delaware&amp;s_h_frame=NAD83_2011&amp;s_coor=geo&amp;s_v_frame=NAVD88&amp;s_v_unit=us_ft&amp;t_h_frame=IGS14&amp;t_coor=geo&amp;t_v_frame=MHHW&amp;t_v_unit=us_ft", "NAVD88 to MHHW")</f>
        <v>0</v>
      </c>
    </row>
    <row r="33" spans="1:52">
      <c r="A33" s="1" t="s">
        <v>57</v>
      </c>
      <c r="B33" s="1" t="s">
        <v>612</v>
      </c>
      <c r="C33" s="1" t="s">
        <v>644</v>
      </c>
      <c r="D33" s="1" t="s">
        <v>652</v>
      </c>
      <c r="E33" s="1" t="s">
        <v>673</v>
      </c>
      <c r="F33" s="1" t="s">
        <v>831</v>
      </c>
      <c r="G33" s="1" t="s">
        <v>854</v>
      </c>
      <c r="H33" s="1" t="s">
        <v>1753</v>
      </c>
      <c r="I33" s="1" t="s">
        <v>1856</v>
      </c>
      <c r="J33" s="1" t="s">
        <v>1864</v>
      </c>
      <c r="K33" s="1" t="s">
        <v>2029</v>
      </c>
      <c r="L33" s="1">
        <v>-77.4208158</v>
      </c>
      <c r="M33" s="1">
        <v>37.52514666</v>
      </c>
      <c r="N33" s="1" t="s">
        <v>2173</v>
      </c>
      <c r="O33" s="1" t="s">
        <v>861</v>
      </c>
      <c r="P33" s="1" t="s">
        <v>867</v>
      </c>
      <c r="Q33" s="2">
        <f>HYPERLINK("https://waterdata.usgs.gov/nwis/nwismap/?site_no=02037705&amp;agency_cd=USGS", "Station Info")</f>
        <v>0</v>
      </c>
      <c r="R33" s="2">
        <f>HYPERLINK("https://waterservices.usgs.gov/nwis/site/?site=02037705&amp;format=rdb", "Datum Info")</f>
        <v>0</v>
      </c>
      <c r="T33" s="1">
        <v>3982078</v>
      </c>
      <c r="U33" s="1">
        <v>0</v>
      </c>
      <c r="V33" s="1" t="s">
        <v>869</v>
      </c>
      <c r="W33" s="1" t="s">
        <v>873</v>
      </c>
      <c r="X33" s="1" t="s">
        <v>887</v>
      </c>
      <c r="AF33" s="1" t="s">
        <v>956</v>
      </c>
      <c r="AJ33" s="1">
        <v>1.457</v>
      </c>
      <c r="AK33" s="1">
        <v>-2.172</v>
      </c>
      <c r="AL33" s="1" t="s">
        <v>1608</v>
      </c>
      <c r="AM33" s="1">
        <v>0</v>
      </c>
      <c r="AN33" s="1" t="s">
        <v>1617</v>
      </c>
      <c r="AS33" s="1">
        <v>6</v>
      </c>
      <c r="AT33" s="1">
        <v>8</v>
      </c>
      <c r="AU33" s="1">
        <v>19</v>
      </c>
      <c r="AV33" s="1">
        <v>28</v>
      </c>
      <c r="AW33" s="1" t="s">
        <v>1744</v>
      </c>
      <c r="AX33" s="2">
        <f>HYPERLINK("https://water.weather.gov/ahps2/hydrograph.php?wfo=akq&amp;gage=ricv2", "AHPS Data")</f>
        <v>0</v>
      </c>
      <c r="AY33" s="2">
        <f>HYPERLINK("https://vdatum.noaa.gov/vdatumweb/api/convert?s_x=-77.4208158&amp;s_y=37.52514666&amp;s_z=0.0&amp;region=chesapeak_delaware&amp;s_h_frame=NAD83_2011&amp;s_coor=geo&amp;s_v_frame=NAVD88&amp;s_v_unit=us_ft&amp;t_h_frame=IGS14&amp;t_coor=geo&amp;t_v_frame=MLLW&amp;t_v_unit=us_ft", "NAVD88 to MLLW")</f>
        <v>0</v>
      </c>
      <c r="AZ33" s="2">
        <f>HYPERLINK("https://vdatum.noaa.gov/vdatumweb/api/convert?s_x=-77.4208158&amp;s_y=37.52514666&amp;s_z=0.0&amp;region=chesapeak_delaware&amp;s_h_frame=NAD83_2011&amp;s_coor=geo&amp;s_v_frame=NAVD88&amp;s_v_unit=us_ft&amp;t_h_frame=IGS14&amp;t_coor=geo&amp;t_v_frame=MHHW&amp;t_v_unit=us_ft", "NAVD88 to MHHW")</f>
        <v>0</v>
      </c>
    </row>
    <row r="34" spans="1:52">
      <c r="A34" s="1" t="s">
        <v>58</v>
      </c>
      <c r="B34" s="1" t="s">
        <v>612</v>
      </c>
      <c r="D34" s="1" t="s">
        <v>652</v>
      </c>
      <c r="E34" s="1" t="s">
        <v>668</v>
      </c>
      <c r="F34" s="1" t="s">
        <v>831</v>
      </c>
      <c r="G34" s="1" t="s">
        <v>854</v>
      </c>
      <c r="L34" s="1">
        <v>-76.3095</v>
      </c>
      <c r="M34" s="1">
        <v>36.862</v>
      </c>
      <c r="N34" s="1" t="s">
        <v>2174</v>
      </c>
      <c r="O34" s="1" t="s">
        <v>860</v>
      </c>
      <c r="P34" s="1" t="s">
        <v>867</v>
      </c>
      <c r="Q34" s="2">
        <f>HYPERLINK("https://waterdata.usgs.gov/nwis/nwismap/?site_no=0204288831&amp;agency_cd=USGS", "Station Info")</f>
        <v>0</v>
      </c>
      <c r="R34" s="2">
        <f>HYPERLINK("https://waterservices.usgs.gov/nwis/site/?site=0204288831&amp;format=rdb", "Datum Info")</f>
        <v>0</v>
      </c>
      <c r="T34" s="1">
        <v>9321857</v>
      </c>
      <c r="U34" s="1">
        <v>0</v>
      </c>
      <c r="V34" s="1" t="s">
        <v>869</v>
      </c>
      <c r="W34" s="1" t="s">
        <v>873</v>
      </c>
      <c r="X34" s="1" t="s">
        <v>887</v>
      </c>
      <c r="AF34" s="1" t="s">
        <v>957</v>
      </c>
      <c r="AJ34" s="1">
        <v>1.706</v>
      </c>
      <c r="AK34" s="1">
        <v>-1.339</v>
      </c>
      <c r="AY34" s="2">
        <f>HYPERLINK("https://vdatum.noaa.gov/vdatumweb/api/convert?s_x=-76.3095&amp;s_y=36.862&amp;s_z=0.0&amp;region=chesapeak_delaware&amp;s_h_frame=NAD83_2011&amp;s_coor=geo&amp;s_v_frame=NAVD88&amp;s_v_unit=us_ft&amp;t_h_frame=IGS14&amp;t_coor=geo&amp;t_v_frame=MLLW&amp;t_v_unit=us_ft", "NAVD88 to MLLW")</f>
        <v>0</v>
      </c>
      <c r="AZ34" s="2">
        <f>HYPERLINK("https://vdatum.noaa.gov/vdatumweb/api/convert?s_x=-76.3095&amp;s_y=36.862&amp;s_z=0.0&amp;region=chesapeak_delaware&amp;s_h_frame=NAD83_2011&amp;s_coor=geo&amp;s_v_frame=NAVD88&amp;s_v_unit=us_ft&amp;t_h_frame=IGS14&amp;t_coor=geo&amp;t_v_frame=MHHW&amp;t_v_unit=us_ft", "NAVD88 to MHHW")</f>
        <v>0</v>
      </c>
    </row>
    <row r="35" spans="1:52">
      <c r="A35" s="1" t="s">
        <v>59</v>
      </c>
      <c r="B35" s="1" t="s">
        <v>612</v>
      </c>
      <c r="C35" s="1" t="s">
        <v>644</v>
      </c>
      <c r="D35" s="1" t="s">
        <v>652</v>
      </c>
      <c r="L35" s="1">
        <v>-76.33674999999999</v>
      </c>
      <c r="M35" s="1">
        <v>37.03238889</v>
      </c>
      <c r="N35" s="1" t="s">
        <v>2175</v>
      </c>
      <c r="O35" s="1" t="s">
        <v>860</v>
      </c>
      <c r="P35" s="1" t="s">
        <v>867</v>
      </c>
      <c r="Q35" s="2">
        <f>HYPERLINK("https://waterdata.usgs.gov/nwis/nwismap/?site_no=0204289985&amp;agency_cd=USGS", "Station Info")</f>
        <v>0</v>
      </c>
      <c r="R35" s="2">
        <f>HYPERLINK("https://waterservices.usgs.gov/nwis/site/?site=0204289985&amp;format=rdb", "Datum Info")</f>
        <v>0</v>
      </c>
      <c r="T35" s="1">
        <v>9120773</v>
      </c>
      <c r="U35" s="1">
        <v>0</v>
      </c>
      <c r="V35" s="1" t="s">
        <v>869</v>
      </c>
      <c r="W35" s="1" t="s">
        <v>873</v>
      </c>
      <c r="X35" s="1" t="s">
        <v>887</v>
      </c>
      <c r="AF35" s="1" t="s">
        <v>955</v>
      </c>
      <c r="AJ35" s="1">
        <v>1.604</v>
      </c>
      <c r="AK35" s="1">
        <v>-1.214</v>
      </c>
      <c r="AY35" s="2">
        <f>HYPERLINK("https://vdatum.noaa.gov/vdatumweb/api/convert?s_x=-76.33675&amp;s_y=37.03238889&amp;s_z=0.0&amp;region=chesapeak_delaware&amp;s_h_frame=NAD83_2011&amp;s_coor=geo&amp;s_v_frame=NAVD88&amp;s_v_unit=us_ft&amp;t_h_frame=IGS14&amp;t_coor=geo&amp;t_v_frame=MLLW&amp;t_v_unit=us_ft", "NAVD88 to MLLW")</f>
        <v>0</v>
      </c>
      <c r="AZ35" s="2">
        <f>HYPERLINK("https://vdatum.noaa.gov/vdatumweb/api/convert?s_x=-76.33675&amp;s_y=37.03238889&amp;s_z=0.0&amp;region=chesapeak_delaware&amp;s_h_frame=NAD83_2011&amp;s_coor=geo&amp;s_v_frame=NAVD88&amp;s_v_unit=us_ft&amp;t_h_frame=IGS14&amp;t_coor=geo&amp;t_v_frame=MHHW&amp;t_v_unit=us_ft", "NAVD88 to MHHW")</f>
        <v>0</v>
      </c>
    </row>
    <row r="36" spans="1:52">
      <c r="A36" s="1" t="s">
        <v>60</v>
      </c>
      <c r="B36" s="1" t="s">
        <v>612</v>
      </c>
      <c r="C36" s="1" t="s">
        <v>644</v>
      </c>
      <c r="D36" s="1" t="s">
        <v>652</v>
      </c>
      <c r="L36" s="1">
        <v>-76.0955833</v>
      </c>
      <c r="M36" s="1">
        <v>36.9066111</v>
      </c>
      <c r="N36" s="1" t="s">
        <v>2176</v>
      </c>
      <c r="O36" s="1" t="s">
        <v>860</v>
      </c>
      <c r="P36" s="1" t="s">
        <v>867</v>
      </c>
      <c r="Q36" s="2">
        <f>HYPERLINK("https://waterdata.usgs.gov/nwis/nwismap/?site_no=0204292275&amp;agency_cd=USGS", "Station Info")</f>
        <v>0</v>
      </c>
      <c r="R36" s="2">
        <f>HYPERLINK("https://waterservices.usgs.gov/nwis/site/?site=0204292275&amp;format=rdb", "Datum Info")</f>
        <v>0</v>
      </c>
      <c r="T36" s="1">
        <v>5895537</v>
      </c>
      <c r="U36" s="1">
        <v>0</v>
      </c>
      <c r="V36" s="1" t="s">
        <v>869</v>
      </c>
      <c r="W36" s="1" t="s">
        <v>873</v>
      </c>
      <c r="X36" s="1" t="s">
        <v>887</v>
      </c>
      <c r="AF36" s="1" t="s">
        <v>955</v>
      </c>
      <c r="AJ36" s="1">
        <v>1.798</v>
      </c>
      <c r="AK36" s="1">
        <v>-1.083</v>
      </c>
      <c r="AY36" s="2">
        <f>HYPERLINK("https://vdatum.noaa.gov/vdatumweb/api/convert?s_x=-76.0955833&amp;s_y=36.9066111&amp;s_z=0.0&amp;region=chesapeak_delaware&amp;s_h_frame=NAD83_2011&amp;s_coor=geo&amp;s_v_frame=NAVD88&amp;s_v_unit=us_ft&amp;t_h_frame=IGS14&amp;t_coor=geo&amp;t_v_frame=MLLW&amp;t_v_unit=us_ft", "NAVD88 to MLLW")</f>
        <v>0</v>
      </c>
      <c r="AZ36" s="2">
        <f>HYPERLINK("https://vdatum.noaa.gov/vdatumweb/api/convert?s_x=-76.0955833&amp;s_y=36.9066111&amp;s_z=0.0&amp;region=chesapeak_delaware&amp;s_h_frame=NAD83_2011&amp;s_coor=geo&amp;s_v_frame=NAVD88&amp;s_v_unit=us_ft&amp;t_h_frame=IGS14&amp;t_coor=geo&amp;t_v_frame=MHHW&amp;t_v_unit=us_ft", "NAVD88 to MHHW")</f>
        <v>0</v>
      </c>
    </row>
    <row r="37" spans="1:52">
      <c r="A37" s="1" t="s">
        <v>61</v>
      </c>
      <c r="B37" s="1" t="s">
        <v>612</v>
      </c>
      <c r="C37" s="1" t="s">
        <v>645</v>
      </c>
      <c r="D37" s="1" t="s">
        <v>652</v>
      </c>
      <c r="E37" s="1" t="s">
        <v>674</v>
      </c>
      <c r="F37" s="1" t="s">
        <v>831</v>
      </c>
      <c r="G37" s="1" t="s">
        <v>854</v>
      </c>
      <c r="L37" s="1">
        <v>-75.98399999999999</v>
      </c>
      <c r="M37" s="1">
        <v>36.67980556</v>
      </c>
      <c r="N37" s="1" t="s">
        <v>2177</v>
      </c>
      <c r="O37" s="1" t="s">
        <v>860</v>
      </c>
      <c r="P37" s="1" t="s">
        <v>867</v>
      </c>
      <c r="Q37" s="2">
        <f>HYPERLINK("https://waterdata.usgs.gov/nwis/nwismap/?site_no=0204300267&amp;agency_cd=USGS", "Station Info")</f>
        <v>0</v>
      </c>
      <c r="R37" s="2">
        <f>HYPERLINK("https://waterservices.usgs.gov/nwis/site/?site=0204300267&amp;format=rdb", "Datum Info")</f>
        <v>0</v>
      </c>
      <c r="T37" s="1">
        <v>6001152</v>
      </c>
      <c r="U37" s="1">
        <v>0</v>
      </c>
      <c r="V37" s="1" t="s">
        <v>869</v>
      </c>
      <c r="W37" s="1" t="s">
        <v>874</v>
      </c>
      <c r="X37" s="1" t="s">
        <v>887</v>
      </c>
      <c r="AF37" s="1" t="s">
        <v>956</v>
      </c>
      <c r="AJ37" s="1">
        <v>-999999</v>
      </c>
      <c r="AK37" s="1">
        <v>-999999</v>
      </c>
      <c r="AY37" s="2">
        <f>HYPERLINK("https://vdatum.noaa.gov/vdatumweb/api/convert?s_x=-75.984&amp;s_y=36.67980556&amp;s_z=0.0&amp;region=contiguous&amp;s_h_frame=NAD83_2011&amp;s_coor=geo&amp;s_v_frame=NAVD88&amp;s_v_unit=us_ft&amp;t_h_frame=NAD83_2011&amp;t_coor=geo&amp;t_v_frame=MLLW&amp;t_v_unit=us_ft", "Missing")</f>
        <v>0</v>
      </c>
      <c r="AZ37" s="2">
        <f>HYPERLINK("https://vdatum.noaa.gov/vdatumweb/api/convert?s_x=-75.984&amp;s_y=36.67980556&amp;s_z=0.0&amp;region=contiguous&amp;s_h_frame=NAD83_2011&amp;s_coor=geo&amp;s_v_frame=NAVD88&amp;s_v_unit=us_ft&amp;t_h_frame=NAD83_2011&amp;t_coor=geo&amp;t_v_frame=MHHW&amp;t_v_unit=us_ft", "Missing")</f>
        <v>0</v>
      </c>
    </row>
    <row r="38" spans="1:52">
      <c r="A38" s="1" t="s">
        <v>62</v>
      </c>
      <c r="B38" s="1" t="s">
        <v>612</v>
      </c>
      <c r="C38" s="1" t="s">
        <v>645</v>
      </c>
      <c r="D38" s="1" t="s">
        <v>652</v>
      </c>
      <c r="E38" s="1" t="s">
        <v>674</v>
      </c>
      <c r="F38" s="1" t="s">
        <v>831</v>
      </c>
      <c r="G38" s="1" t="s">
        <v>854</v>
      </c>
      <c r="L38" s="1">
        <v>-76.0463333</v>
      </c>
      <c r="M38" s="1">
        <v>36.61816667</v>
      </c>
      <c r="N38" s="1" t="s">
        <v>2178</v>
      </c>
      <c r="O38" s="1" t="s">
        <v>860</v>
      </c>
      <c r="P38" s="1" t="s">
        <v>867</v>
      </c>
      <c r="Q38" s="2">
        <f>HYPERLINK("https://waterdata.usgs.gov/nwis/nwismap/?site_no=02043269&amp;agency_cd=USGS", "Station Info")</f>
        <v>0</v>
      </c>
      <c r="R38" s="2">
        <f>HYPERLINK("https://waterservices.usgs.gov/nwis/site/?site=02043269&amp;format=rdb", "Datum Info")</f>
        <v>0</v>
      </c>
      <c r="T38" s="1">
        <v>8328996</v>
      </c>
      <c r="U38" s="1">
        <v>0</v>
      </c>
      <c r="V38" s="1" t="s">
        <v>869</v>
      </c>
      <c r="W38" s="1" t="s">
        <v>874</v>
      </c>
      <c r="X38" s="1" t="s">
        <v>887</v>
      </c>
      <c r="AF38" s="1" t="s">
        <v>956</v>
      </c>
      <c r="AJ38" s="1">
        <v>-999999</v>
      </c>
      <c r="AK38" s="1">
        <v>-999999</v>
      </c>
      <c r="AY38" s="2">
        <f>HYPERLINK("https://vdatum.noaa.gov/vdatumweb/api/convert?s_x=-76.0463333&amp;s_y=36.61816667&amp;s_z=0.0&amp;region=contiguous&amp;s_h_frame=NAD83_2011&amp;s_coor=geo&amp;s_v_frame=NAVD88&amp;s_v_unit=us_ft&amp;t_h_frame=NAD83_2011&amp;t_coor=geo&amp;t_v_frame=MLLW&amp;t_v_unit=us_ft", "Missing")</f>
        <v>0</v>
      </c>
      <c r="AZ38" s="2">
        <f>HYPERLINK("https://vdatum.noaa.gov/vdatumweb/api/convert?s_x=-76.0463333&amp;s_y=36.61816667&amp;s_z=0.0&amp;region=contiguous&amp;s_h_frame=NAD83_2011&amp;s_coor=geo&amp;s_v_frame=NAVD88&amp;s_v_unit=us_ft&amp;t_h_frame=NAD83_2011&amp;t_coor=geo&amp;t_v_frame=MHHW&amp;t_v_unit=us_ft", "Missing")</f>
        <v>0</v>
      </c>
    </row>
    <row r="39" spans="1:52">
      <c r="A39" s="1" t="s">
        <v>63</v>
      </c>
      <c r="B39" s="1" t="s">
        <v>612</v>
      </c>
      <c r="D39" s="1" t="s">
        <v>652</v>
      </c>
      <c r="H39" s="1" t="s">
        <v>1754</v>
      </c>
      <c r="I39" s="1" t="s">
        <v>1857</v>
      </c>
      <c r="J39" s="1" t="s">
        <v>1865</v>
      </c>
      <c r="K39" s="1" t="s">
        <v>2030</v>
      </c>
      <c r="L39" s="1">
        <v>-75.83444262</v>
      </c>
      <c r="M39" s="1">
        <v>36.37443714</v>
      </c>
      <c r="N39" s="1" t="s">
        <v>2179</v>
      </c>
      <c r="O39" s="1" t="s">
        <v>861</v>
      </c>
      <c r="P39" s="1" t="s">
        <v>867</v>
      </c>
      <c r="Q39" s="2">
        <f>HYPERLINK("https://waterdata.usgs.gov/nwis/nwismap/?site_no=02043433&amp;agency_cd=USGS", "Station Info")</f>
        <v>0</v>
      </c>
      <c r="R39" s="2">
        <f>HYPERLINK("https://waterservices.usgs.gov/nwis/site/?site=02043433&amp;format=rdb", "Datum Info")</f>
        <v>0</v>
      </c>
      <c r="T39" s="1">
        <v>3482721</v>
      </c>
      <c r="U39" s="1">
        <v>0</v>
      </c>
      <c r="V39" s="1" t="s">
        <v>869</v>
      </c>
      <c r="W39" s="1" t="s">
        <v>874</v>
      </c>
      <c r="X39" s="1" t="s">
        <v>887</v>
      </c>
      <c r="AF39" s="1" t="s">
        <v>958</v>
      </c>
      <c r="AJ39" s="1">
        <v>0.125</v>
      </c>
      <c r="AK39" s="1">
        <v>0.125</v>
      </c>
      <c r="AM39" s="1">
        <v>0</v>
      </c>
      <c r="AN39" s="1" t="s">
        <v>1427</v>
      </c>
      <c r="AS39" s="1">
        <v>0</v>
      </c>
      <c r="AT39" s="1">
        <v>0</v>
      </c>
      <c r="AU39" s="1">
        <v>0</v>
      </c>
      <c r="AV39" s="1">
        <v>0</v>
      </c>
      <c r="AW39" s="1" t="s">
        <v>1744</v>
      </c>
      <c r="AX39" s="2">
        <f>HYPERLINK("https://water.weather.gov/ahps2/hydrograph.php?wfo=akq&amp;gage=obcn7", "AHPS Data")</f>
        <v>0</v>
      </c>
      <c r="AY39" s="2">
        <f>HYPERLINK("https://vdatum.noaa.gov/vdatumweb/api/convert?s_x=-75.83444262&amp;s_y=36.37443714&amp;s_z=0.0&amp;region=contiguous&amp;s_h_frame=NAD83_2011&amp;s_coor=geo&amp;s_v_frame=NAVD88&amp;s_v_unit=us_ft&amp;t_h_frame=NAD83_2011&amp;t_coor=geo&amp;t_v_frame=MLLW&amp;t_v_unit=us_ft", "NAVD88 to MLLW")</f>
        <v>0</v>
      </c>
      <c r="AZ39" s="2">
        <f>HYPERLINK("https://vdatum.noaa.gov/vdatumweb/api/convert?s_x=-75.83444262&amp;s_y=36.37443714&amp;s_z=0.0&amp;region=contiguous&amp;s_h_frame=NAD83_2011&amp;s_coor=geo&amp;s_v_frame=NAVD88&amp;s_v_unit=us_ft&amp;t_h_frame=NAD83_2011&amp;t_coor=geo&amp;t_v_frame=MHHW&amp;t_v_unit=us_ft", "NAVD88 to MHHW")</f>
        <v>0</v>
      </c>
    </row>
    <row r="40" spans="1:52">
      <c r="A40" s="1" t="s">
        <v>64</v>
      </c>
      <c r="B40" s="1" t="s">
        <v>612</v>
      </c>
      <c r="C40" s="1" t="s">
        <v>645</v>
      </c>
      <c r="D40" s="1" t="s">
        <v>652</v>
      </c>
      <c r="E40" s="1" t="s">
        <v>675</v>
      </c>
      <c r="F40" s="1" t="s">
        <v>832</v>
      </c>
      <c r="G40" s="1" t="s">
        <v>854</v>
      </c>
      <c r="H40" s="1" t="s">
        <v>1755</v>
      </c>
      <c r="I40" s="1" t="s">
        <v>1857</v>
      </c>
      <c r="J40" s="1" t="s">
        <v>1866</v>
      </c>
      <c r="K40" s="1" t="s">
        <v>2031</v>
      </c>
      <c r="L40" s="1">
        <v>-76.72277575</v>
      </c>
      <c r="M40" s="1">
        <v>35.91499283</v>
      </c>
      <c r="N40" s="1" t="s">
        <v>2180</v>
      </c>
      <c r="O40" s="1" t="s">
        <v>861</v>
      </c>
      <c r="P40" s="1" t="s">
        <v>867</v>
      </c>
      <c r="Q40" s="2">
        <f>HYPERLINK("https://waterdata.usgs.gov/nwis/nwismap/?site_no=0208114150&amp;agency_cd=USGS", "Station Info")</f>
        <v>0</v>
      </c>
      <c r="R40" s="2">
        <f>HYPERLINK("https://waterservices.usgs.gov/nwis/site/?site=0208114150&amp;format=rdb", "Datum Info")</f>
        <v>0</v>
      </c>
      <c r="T40" s="1">
        <v>7161859</v>
      </c>
      <c r="U40" s="1">
        <v>-0.334</v>
      </c>
      <c r="V40" s="1" t="s">
        <v>869</v>
      </c>
      <c r="W40" s="1" t="s">
        <v>874</v>
      </c>
      <c r="X40" s="1" t="s">
        <v>887</v>
      </c>
      <c r="AF40" s="1" t="s">
        <v>959</v>
      </c>
      <c r="AJ40" s="1">
        <v>-999999</v>
      </c>
      <c r="AK40" s="1">
        <v>-999999</v>
      </c>
      <c r="AM40" s="1">
        <v>0</v>
      </c>
      <c r="AO40" s="1" t="s">
        <v>1427</v>
      </c>
      <c r="AR40" s="1" t="s">
        <v>1427</v>
      </c>
      <c r="AS40" s="1">
        <v>0</v>
      </c>
      <c r="AT40" s="1">
        <v>0</v>
      </c>
      <c r="AU40" s="1">
        <v>0</v>
      </c>
      <c r="AV40" s="1">
        <v>0</v>
      </c>
      <c r="AW40" s="1" t="s">
        <v>1744</v>
      </c>
      <c r="AX40" s="2">
        <f>HYPERLINK("https://water.weather.gov/ahps2/hydrograph.php?wfo=mhx&amp;gage=wesn7", "AHPS Data")</f>
        <v>0</v>
      </c>
      <c r="AY40" s="2">
        <f>HYPERLINK("https://vdatum.noaa.gov/vdatumweb/api/convert?s_x=-76.72277575&amp;s_y=35.91499283&amp;s_z=0.0&amp;region=contiguous&amp;s_h_frame=NAD83_2011&amp;s_coor=geo&amp;s_v_frame=NAVD88&amp;s_v_unit=us_ft&amp;t_h_frame=NAD83_2011&amp;t_coor=geo&amp;t_v_frame=MLLW&amp;t_v_unit=us_ft", "Missing")</f>
        <v>0</v>
      </c>
      <c r="AZ40" s="2">
        <f>HYPERLINK("https://vdatum.noaa.gov/vdatumweb/api/convert?s_x=-76.72277575&amp;s_y=35.91499283&amp;s_z=0.0&amp;region=contiguous&amp;s_h_frame=NAD83_2011&amp;s_coor=geo&amp;s_v_frame=NAVD88&amp;s_v_unit=us_ft&amp;t_h_frame=NAD83_2011&amp;t_coor=geo&amp;t_v_frame=MHHW&amp;t_v_unit=us_ft", "Missing")</f>
        <v>0</v>
      </c>
    </row>
    <row r="41" spans="1:52">
      <c r="A41" s="1" t="s">
        <v>65</v>
      </c>
      <c r="B41" s="1" t="s">
        <v>613</v>
      </c>
      <c r="C41" s="1" t="s">
        <v>646</v>
      </c>
      <c r="D41" s="1" t="s">
        <v>652</v>
      </c>
      <c r="E41" s="1" t="s">
        <v>676</v>
      </c>
      <c r="F41" s="1" t="s">
        <v>833</v>
      </c>
      <c r="G41" s="1" t="s">
        <v>854</v>
      </c>
      <c r="H41" s="1" t="s">
        <v>1756</v>
      </c>
      <c r="I41" s="1" t="s">
        <v>1856</v>
      </c>
      <c r="J41" s="1" t="s">
        <v>1867</v>
      </c>
      <c r="K41" s="1" t="s">
        <v>676</v>
      </c>
      <c r="L41" s="1">
        <v>-73.7475</v>
      </c>
      <c r="M41" s="1">
        <v>42.64788889</v>
      </c>
      <c r="N41" s="1" t="s">
        <v>2181</v>
      </c>
      <c r="O41" s="1" t="s">
        <v>861</v>
      </c>
      <c r="P41" s="1" t="s">
        <v>867</v>
      </c>
      <c r="Q41" s="2">
        <f>HYPERLINK("https://waterdata.usgs.gov/nwis/nwismap/?site_no=01359139&amp;agency_cd=USGS", "Station Info")</f>
        <v>0</v>
      </c>
      <c r="R41" s="2">
        <f>HYPERLINK("https://waterservices.usgs.gov/nwis/site/?site=01359139&amp;format=rdb", "Datum Info")</f>
        <v>0</v>
      </c>
      <c r="T41" s="1">
        <v>2220498</v>
      </c>
      <c r="U41" s="1">
        <v>-0.26</v>
      </c>
      <c r="V41" s="1" t="s">
        <v>869</v>
      </c>
      <c r="W41" s="1" t="s">
        <v>874</v>
      </c>
      <c r="X41" s="1" t="s">
        <v>889</v>
      </c>
      <c r="AH41" s="1" t="s">
        <v>958</v>
      </c>
      <c r="AJ41" s="1">
        <v>1.835</v>
      </c>
      <c r="AK41" s="1">
        <v>-3.808</v>
      </c>
      <c r="AL41" s="1" t="s">
        <v>1609</v>
      </c>
      <c r="AM41" s="1">
        <v>0</v>
      </c>
      <c r="AO41" s="1" t="s">
        <v>1617</v>
      </c>
      <c r="AR41" s="1" t="s">
        <v>1617</v>
      </c>
      <c r="AS41" s="1">
        <v>9</v>
      </c>
      <c r="AT41" s="1">
        <v>11</v>
      </c>
      <c r="AU41" s="1">
        <v>13</v>
      </c>
      <c r="AV41" s="1">
        <v>15</v>
      </c>
      <c r="AW41" s="1" t="s">
        <v>1744</v>
      </c>
      <c r="AX41" s="2">
        <f>HYPERLINK("https://water.weather.gov/ahps2/hydrograph.php?wfo=aly&amp;gage=albn6", "AHPS Data")</f>
        <v>0</v>
      </c>
      <c r="AY41" s="2">
        <f>HYPERLINK("https://vdatum.noaa.gov/vdatumweb/api/convert?s_x=-73.7475&amp;s_y=42.64788889&amp;s_z=0.0&amp;region=contiguous&amp;s_h_frame=NAD83_2011&amp;s_coor=geo&amp;s_v_frame=NAVD88&amp;s_v_unit=us_ft&amp;t_h_frame=NAD83_2011&amp;t_coor=geo&amp;t_v_frame=MLLW&amp;t_v_unit=us_ft", "NAVD88 to MLLW")</f>
        <v>0</v>
      </c>
      <c r="AZ41" s="2">
        <f>HYPERLINK("https://vdatum.noaa.gov/vdatumweb/api/convert?s_x=-73.7475&amp;s_y=42.64788889&amp;s_z=0.0&amp;region=contiguous&amp;s_h_frame=NAD83_2011&amp;s_coor=geo&amp;s_v_frame=NAVD88&amp;s_v_unit=us_ft&amp;t_h_frame=NAD83_2011&amp;t_coor=geo&amp;t_v_frame=MHHW&amp;t_v_unit=us_ft", "NAVD88 to MHHW")</f>
        <v>0</v>
      </c>
    </row>
    <row r="42" spans="1:52">
      <c r="A42" s="1" t="s">
        <v>66</v>
      </c>
      <c r="B42" s="1" t="s">
        <v>613</v>
      </c>
      <c r="C42" s="1" t="s">
        <v>646</v>
      </c>
      <c r="D42" s="1" t="s">
        <v>652</v>
      </c>
      <c r="E42" s="1" t="s">
        <v>677</v>
      </c>
      <c r="F42" s="1" t="s">
        <v>833</v>
      </c>
      <c r="G42" s="1" t="s">
        <v>854</v>
      </c>
      <c r="H42" s="1" t="s">
        <v>1756</v>
      </c>
      <c r="I42" s="1" t="s">
        <v>1856</v>
      </c>
      <c r="J42" s="1" t="s">
        <v>1868</v>
      </c>
      <c r="K42" s="1" t="s">
        <v>2032</v>
      </c>
      <c r="L42" s="1">
        <v>-73.94069299</v>
      </c>
      <c r="M42" s="1">
        <v>41.72176015</v>
      </c>
      <c r="N42" s="1" t="s">
        <v>2182</v>
      </c>
      <c r="O42" s="1" t="s">
        <v>861</v>
      </c>
      <c r="P42" s="1" t="s">
        <v>867</v>
      </c>
      <c r="Q42" s="2">
        <f>HYPERLINK("https://waterdata.usgs.gov/nwis/nwismap/?site_no=01372043&amp;agency_cd=USGS", "Station Info")</f>
        <v>0</v>
      </c>
      <c r="R42" s="2">
        <f>HYPERLINK("https://waterservices.usgs.gov/nwis/site/?site=01372043&amp;format=rdb", "Datum Info")</f>
        <v>0</v>
      </c>
      <c r="T42" s="1">
        <v>2415174</v>
      </c>
      <c r="U42" s="1">
        <v>-0.26</v>
      </c>
      <c r="V42" s="1" t="s">
        <v>869</v>
      </c>
      <c r="W42" s="1" t="s">
        <v>874</v>
      </c>
      <c r="AJ42" s="1">
        <v>1.685</v>
      </c>
      <c r="AK42" s="1">
        <v>-2.197</v>
      </c>
      <c r="AL42" s="1" t="s">
        <v>887</v>
      </c>
      <c r="AM42" s="1">
        <v>0</v>
      </c>
      <c r="AN42" s="1" t="s">
        <v>1427</v>
      </c>
      <c r="AS42" s="1">
        <v>3.5</v>
      </c>
      <c r="AT42" s="1">
        <v>4.2</v>
      </c>
      <c r="AU42" s="1">
        <v>6</v>
      </c>
      <c r="AV42" s="1">
        <v>8</v>
      </c>
      <c r="AW42" s="1" t="s">
        <v>1744</v>
      </c>
      <c r="AX42" s="2">
        <f>HYPERLINK("https://water.weather.gov/ahps2/hydrograph.php?wfo=aly&amp;gage=pkmn6", "AHPS Data")</f>
        <v>0</v>
      </c>
      <c r="AY42" s="2">
        <f>HYPERLINK("https://vdatum.noaa.gov/vdatumweb/api/convert?s_x=-73.94069299&amp;s_y=41.72176015&amp;s_z=0.0&amp;region=contiguous&amp;s_h_frame=NAD83_2011&amp;s_coor=geo&amp;s_v_frame=NAVD88&amp;s_v_unit=us_ft&amp;t_h_frame=NAD83_2011&amp;t_coor=geo&amp;t_v_frame=MLLW&amp;t_v_unit=us_ft", "NAVD88 to MLLW")</f>
        <v>0</v>
      </c>
      <c r="AZ42" s="2">
        <f>HYPERLINK("https://vdatum.noaa.gov/vdatumweb/api/convert?s_x=-73.94069299&amp;s_y=41.72176015&amp;s_z=0.0&amp;region=contiguous&amp;s_h_frame=NAD83_2011&amp;s_coor=geo&amp;s_v_frame=NAVD88&amp;s_v_unit=us_ft&amp;t_h_frame=NAD83_2011&amp;t_coor=geo&amp;t_v_frame=MHHW&amp;t_v_unit=us_ft", "NAVD88 to MHHW")</f>
        <v>0</v>
      </c>
    </row>
    <row r="43" spans="1:52">
      <c r="A43" s="1" t="s">
        <v>67</v>
      </c>
      <c r="B43" s="1" t="s">
        <v>614</v>
      </c>
      <c r="C43" s="1" t="s">
        <v>646</v>
      </c>
      <c r="D43" s="1" t="s">
        <v>652</v>
      </c>
      <c r="E43" s="1" t="s">
        <v>678</v>
      </c>
      <c r="F43" s="1" t="s">
        <v>834</v>
      </c>
      <c r="G43" s="1" t="s">
        <v>854</v>
      </c>
      <c r="H43" s="1" t="s">
        <v>1757</v>
      </c>
      <c r="I43" s="1" t="s">
        <v>1858</v>
      </c>
      <c r="J43" s="1" t="s">
        <v>1869</v>
      </c>
      <c r="K43" s="1" t="s">
        <v>2033</v>
      </c>
      <c r="L43" s="1">
        <v>-71.0767</v>
      </c>
      <c r="M43" s="1">
        <v>42.7633</v>
      </c>
      <c r="N43" s="1">
        <v>8440889</v>
      </c>
      <c r="O43" s="1" t="s">
        <v>861</v>
      </c>
      <c r="P43" s="1" t="s">
        <v>866</v>
      </c>
      <c r="Q43" s="2">
        <f>HYPERLINK("https://tidesandcurrents.noaa.gov/stationhome.html?id=8440889", "Station Info")</f>
        <v>0</v>
      </c>
      <c r="R43" s="2">
        <f>HYPERLINK("https://tidesandcurrents.noaa.gov/datums.html?datum=MLLW&amp;units=0&amp;epoch=0&amp;id=8440889", "Datum Info")</f>
        <v>0</v>
      </c>
      <c r="S43" s="2">
        <f>HYPERLINK("https://api.tidesandcurrents.noaa.gov/mdapi/prod/webapi/stations/8440889.json", "More Info")</f>
        <v>0</v>
      </c>
      <c r="T43" s="1">
        <v>3000936</v>
      </c>
      <c r="U43" s="1">
        <v>0</v>
      </c>
      <c r="V43" s="1" t="s">
        <v>869</v>
      </c>
      <c r="W43" s="1" t="s">
        <v>874</v>
      </c>
      <c r="X43" s="1" t="s">
        <v>886</v>
      </c>
      <c r="Y43" s="1">
        <v>6.3</v>
      </c>
      <c r="Z43" s="1">
        <v>5.84</v>
      </c>
      <c r="AA43" s="1">
        <v>2.98</v>
      </c>
      <c r="AB43" s="1">
        <v>2.78</v>
      </c>
      <c r="AC43" s="1">
        <v>3.15</v>
      </c>
      <c r="AD43" s="1">
        <v>0.12</v>
      </c>
      <c r="AE43" s="1">
        <v>0</v>
      </c>
      <c r="AF43" s="1">
        <v>1.38</v>
      </c>
      <c r="AG43" s="1">
        <v>-3.5</v>
      </c>
      <c r="AJ43" s="1">
        <v>-999999</v>
      </c>
      <c r="AK43" s="1">
        <v>-999999</v>
      </c>
      <c r="AL43" s="1" t="s">
        <v>889</v>
      </c>
      <c r="AM43" s="1">
        <v>0</v>
      </c>
      <c r="AN43" s="1" t="s">
        <v>1618</v>
      </c>
      <c r="AS43" s="1">
        <v>12</v>
      </c>
      <c r="AT43" s="1">
        <v>13</v>
      </c>
      <c r="AU43" s="1">
        <v>16</v>
      </c>
      <c r="AV43" s="1">
        <v>18</v>
      </c>
      <c r="AW43" s="1" t="s">
        <v>1744</v>
      </c>
      <c r="AX43" s="2">
        <f>HYPERLINK("https://water.weather.gov/ahps2/hydrograph.php?wfo=box&amp;gage=hvrm3", "AHPS Data")</f>
        <v>0</v>
      </c>
      <c r="AY43" s="2">
        <f>HYPERLINK("https://vdatum.noaa.gov/vdatumweb/api/convert?s_x=-71.0767&amp;s_y=42.7633&amp;s_z=0.0&amp;region=contiguous&amp;s_h_frame=NAD83_2011&amp;s_coor=geo&amp;s_v_frame=NAVD88&amp;s_v_unit=us_ft&amp;t_h_frame=NAD83_2011&amp;t_coor=geo&amp;t_v_frame=MLLW&amp;t_v_unit=us_ft", "Missing")</f>
        <v>0</v>
      </c>
      <c r="AZ43" s="2">
        <f>HYPERLINK("https://vdatum.noaa.gov/vdatumweb/api/convert?s_x=-71.0767&amp;s_y=42.7633&amp;s_z=0.0&amp;region=contiguous&amp;s_h_frame=NAD83_2011&amp;s_coor=geo&amp;s_v_frame=NAVD88&amp;s_v_unit=us_ft&amp;t_h_frame=NAD83_2011&amp;t_coor=geo&amp;t_v_frame=MHHW&amp;t_v_unit=us_ft", "Missing")</f>
        <v>0</v>
      </c>
    </row>
    <row r="44" spans="1:52">
      <c r="A44" s="1" t="s">
        <v>68</v>
      </c>
      <c r="B44" s="1" t="s">
        <v>614</v>
      </c>
      <c r="D44" s="1" t="s">
        <v>652</v>
      </c>
      <c r="L44" s="1">
        <v>-70.66</v>
      </c>
      <c r="M44" s="1">
        <v>42.61</v>
      </c>
      <c r="N44" s="1">
        <v>8441841</v>
      </c>
      <c r="O44" s="1" t="s">
        <v>860</v>
      </c>
      <c r="P44" s="1" t="s">
        <v>866</v>
      </c>
      <c r="Q44" s="2">
        <f>HYPERLINK("https://tidesandcurrents.noaa.gov/stationhome.html?id=8441841", "Station Info")</f>
        <v>0</v>
      </c>
      <c r="R44" s="2">
        <f>HYPERLINK("https://tidesandcurrents.noaa.gov/datums.html?datum=MLLW&amp;units=0&amp;epoch=0&amp;id=8441841", "Datum Info")</f>
        <v>0</v>
      </c>
      <c r="S44" s="2">
        <f>HYPERLINK("https://api.tidesandcurrents.noaa.gov/mdapi/prod/webapi/stations/8441841.json", "More Info")</f>
        <v>0</v>
      </c>
      <c r="T44" s="1">
        <v>5102912</v>
      </c>
      <c r="U44" s="1">
        <v>0</v>
      </c>
      <c r="V44" s="1" t="s">
        <v>869</v>
      </c>
      <c r="W44" s="1" t="s">
        <v>874</v>
      </c>
      <c r="X44" s="1" t="s">
        <v>886</v>
      </c>
      <c r="Y44" s="1">
        <v>9.57</v>
      </c>
      <c r="Z44" s="1">
        <v>9.130000000000001</v>
      </c>
      <c r="AA44" s="1">
        <v>4.73</v>
      </c>
      <c r="AB44" s="1">
        <v>4.77</v>
      </c>
      <c r="AC44" s="1">
        <v>4.79</v>
      </c>
      <c r="AD44" s="1">
        <v>0.33</v>
      </c>
      <c r="AE44" s="1">
        <v>0</v>
      </c>
      <c r="AF44" s="1" t="s">
        <v>960</v>
      </c>
      <c r="AG44" s="1">
        <v>-4.04</v>
      </c>
      <c r="AH44" s="1" t="s">
        <v>1094</v>
      </c>
      <c r="AI44" s="1" t="s">
        <v>1366</v>
      </c>
      <c r="AJ44" s="1">
        <v>4.936</v>
      </c>
      <c r="AK44" s="1">
        <v>-4.634</v>
      </c>
      <c r="AY44" s="2">
        <f>HYPERLINK("https://vdatum.noaa.gov/vdatumweb/api/convert?s_x=-70.66&amp;s_y=42.61&amp;s_z=0.0&amp;region=contiguous&amp;s_h_frame=NAD83_2011&amp;s_coor=geo&amp;s_v_frame=NAVD88&amp;s_v_unit=us_ft&amp;t_h_frame=NAD83_2011&amp;t_coor=geo&amp;t_v_frame=MLLW&amp;t_v_unit=us_ft", "NAVD88 to MLLW")</f>
        <v>0</v>
      </c>
      <c r="AZ44" s="2">
        <f>HYPERLINK("https://vdatum.noaa.gov/vdatumweb/api/convert?s_x=-70.66&amp;s_y=42.61&amp;s_z=0.0&amp;region=contiguous&amp;s_h_frame=NAD83_2011&amp;s_coor=geo&amp;s_v_frame=NAVD88&amp;s_v_unit=us_ft&amp;t_h_frame=NAD83_2011&amp;t_coor=geo&amp;t_v_frame=MHHW&amp;t_v_unit=us_ft", "NAVD88 to MHHW")</f>
        <v>0</v>
      </c>
    </row>
    <row r="45" spans="1:52">
      <c r="A45" s="1" t="s">
        <v>69</v>
      </c>
      <c r="B45" s="1" t="s">
        <v>614</v>
      </c>
      <c r="C45" s="1" t="s">
        <v>646</v>
      </c>
      <c r="D45" s="1" t="s">
        <v>652</v>
      </c>
      <c r="E45" s="1" t="s">
        <v>679</v>
      </c>
      <c r="F45" s="1" t="s">
        <v>834</v>
      </c>
      <c r="G45" s="1" t="s">
        <v>854</v>
      </c>
      <c r="J45" s="1" t="s">
        <v>1870</v>
      </c>
      <c r="L45" s="1">
        <v>-71.0767</v>
      </c>
      <c r="M45" s="1">
        <v>42.395</v>
      </c>
      <c r="N45" s="1">
        <v>8443662</v>
      </c>
      <c r="O45" s="1" t="s">
        <v>861</v>
      </c>
      <c r="P45" s="1" t="s">
        <v>866</v>
      </c>
      <c r="Q45" s="2">
        <f>HYPERLINK("https://tidesandcurrents.noaa.gov/stationhome.html?id=8443662", "Station Info")</f>
        <v>0</v>
      </c>
      <c r="R45" s="2">
        <f>HYPERLINK("https://tidesandcurrents.noaa.gov/datums.html?datum=MLLW&amp;units=0&amp;epoch=0&amp;id=8443662", "Datum Info")</f>
        <v>0</v>
      </c>
      <c r="S45" s="2">
        <f>HYPERLINK("https://api.tidesandcurrents.noaa.gov/mdapi/prod/webapi/stations/8443662.json", "More Info")</f>
        <v>0</v>
      </c>
      <c r="T45" s="1">
        <v>2818784</v>
      </c>
      <c r="U45" s="1">
        <v>-0.093</v>
      </c>
      <c r="V45" s="1" t="s">
        <v>869</v>
      </c>
      <c r="W45" s="1" t="s">
        <v>874</v>
      </c>
      <c r="X45" s="1" t="s">
        <v>886</v>
      </c>
      <c r="Y45" s="1">
        <v>10.33</v>
      </c>
      <c r="Z45" s="1">
        <v>9.890000000000001</v>
      </c>
      <c r="AA45" s="1">
        <v>5.11</v>
      </c>
      <c r="AB45" s="1">
        <v>5.24</v>
      </c>
      <c r="AC45" s="1">
        <v>5.16</v>
      </c>
      <c r="AD45" s="1">
        <v>0.33</v>
      </c>
      <c r="AE45" s="1">
        <v>0</v>
      </c>
      <c r="AF45" s="1" t="s">
        <v>961</v>
      </c>
      <c r="AG45" s="1">
        <v>-4.03</v>
      </c>
      <c r="AH45" s="1" t="s">
        <v>1095</v>
      </c>
      <c r="AI45" s="1" t="s">
        <v>1367</v>
      </c>
      <c r="AJ45" s="1">
        <v>5.547</v>
      </c>
      <c r="AK45" s="1">
        <v>-4.786</v>
      </c>
      <c r="AY45" s="2">
        <f>HYPERLINK("https://vdatum.noaa.gov/vdatumweb/api/convert?s_x=-71.0767&amp;s_y=42.395&amp;s_z=0.0&amp;region=contiguous&amp;s_h_frame=NAD83_2011&amp;s_coor=geo&amp;s_v_frame=NAVD88&amp;s_v_unit=us_ft&amp;t_h_frame=NAD83_2011&amp;t_coor=geo&amp;t_v_frame=MLLW&amp;t_v_unit=us_ft", "NAVD88 to MLLW")</f>
        <v>0</v>
      </c>
      <c r="AZ45" s="2">
        <f>HYPERLINK("https://vdatum.noaa.gov/vdatumweb/api/convert?s_x=-71.0767&amp;s_y=42.395&amp;s_z=0.0&amp;region=contiguous&amp;s_h_frame=NAD83_2011&amp;s_coor=geo&amp;s_v_frame=NAVD88&amp;s_v_unit=us_ft&amp;t_h_frame=NAD83_2011&amp;t_coor=geo&amp;t_v_frame=MHHW&amp;t_v_unit=us_ft", "NAVD88 to MHHW")</f>
        <v>0</v>
      </c>
    </row>
    <row r="46" spans="1:52">
      <c r="A46" s="1" t="s">
        <v>70</v>
      </c>
      <c r="B46" s="1" t="s">
        <v>614</v>
      </c>
      <c r="D46" s="1" t="s">
        <v>652</v>
      </c>
      <c r="L46" s="1">
        <v>-71.05029999999999</v>
      </c>
      <c r="M46" s="1">
        <v>42.3539</v>
      </c>
      <c r="N46" s="1">
        <v>8443970</v>
      </c>
      <c r="O46" s="1" t="s">
        <v>860</v>
      </c>
      <c r="P46" s="1" t="s">
        <v>866</v>
      </c>
      <c r="Q46" s="2">
        <f>HYPERLINK("https://tidesandcurrents.noaa.gov/stationhome.html?id=8443970", "Station Info")</f>
        <v>0</v>
      </c>
      <c r="R46" s="2">
        <f>HYPERLINK("https://tidesandcurrents.noaa.gov/datums.html?datum=MLLW&amp;units=0&amp;epoch=0&amp;id=8443970", "Datum Info")</f>
        <v>0</v>
      </c>
      <c r="S46" s="2">
        <f>HYPERLINK("https://api.tidesandcurrents.noaa.gov/mdapi/prod/webapi/stations/8443970.json", "More Info")</f>
        <v>0</v>
      </c>
      <c r="T46" s="1">
        <v>4441938</v>
      </c>
      <c r="U46" s="1">
        <v>0</v>
      </c>
      <c r="V46" s="1" t="s">
        <v>869</v>
      </c>
      <c r="W46" s="1" t="s">
        <v>874</v>
      </c>
      <c r="X46" s="1" t="s">
        <v>886</v>
      </c>
      <c r="Y46" s="1">
        <v>10.28</v>
      </c>
      <c r="Z46" s="1">
        <v>9.84</v>
      </c>
      <c r="AA46" s="1">
        <v>5.09</v>
      </c>
      <c r="AB46" s="1">
        <v>5.21</v>
      </c>
      <c r="AC46" s="1">
        <v>5.14</v>
      </c>
      <c r="AD46" s="1">
        <v>0.35</v>
      </c>
      <c r="AE46" s="1">
        <v>0</v>
      </c>
      <c r="AF46" s="1">
        <v>5.51</v>
      </c>
      <c r="AG46" s="1">
        <v>-3.52</v>
      </c>
      <c r="AH46" s="1" t="s">
        <v>1096</v>
      </c>
      <c r="AI46" s="1" t="s">
        <v>1368</v>
      </c>
      <c r="AJ46" s="1">
        <v>5.508</v>
      </c>
      <c r="AK46" s="1">
        <v>-4.762</v>
      </c>
      <c r="AY46" s="2">
        <f>HYPERLINK("https://vdatum.noaa.gov/vdatumweb/api/convert?s_x=-71.0503&amp;s_y=42.3539&amp;s_z=0.0&amp;region=contiguous&amp;s_h_frame=NAD83_2011&amp;s_coor=geo&amp;s_v_frame=NAVD88&amp;s_v_unit=us_ft&amp;t_h_frame=NAD83_2011&amp;t_coor=geo&amp;t_v_frame=MLLW&amp;t_v_unit=us_ft", "NAVD88 to MLLW")</f>
        <v>0</v>
      </c>
      <c r="AZ46" s="2">
        <f>HYPERLINK("https://vdatum.noaa.gov/vdatumweb/api/convert?s_x=-71.0503&amp;s_y=42.3539&amp;s_z=0.0&amp;region=contiguous&amp;s_h_frame=NAD83_2011&amp;s_coor=geo&amp;s_v_frame=NAVD88&amp;s_v_unit=us_ft&amp;t_h_frame=NAD83_2011&amp;t_coor=geo&amp;t_v_frame=MHHW&amp;t_v_unit=us_ft", "NAVD88 to MHHW")</f>
        <v>0</v>
      </c>
    </row>
    <row r="47" spans="1:52">
      <c r="A47" s="1" t="s">
        <v>71</v>
      </c>
      <c r="B47" s="1" t="s">
        <v>614</v>
      </c>
      <c r="C47" s="1" t="s">
        <v>646</v>
      </c>
      <c r="D47" s="1" t="s">
        <v>652</v>
      </c>
      <c r="E47" s="1" t="s">
        <v>680</v>
      </c>
      <c r="F47" s="1" t="s">
        <v>834</v>
      </c>
      <c r="G47" s="1" t="s">
        <v>854</v>
      </c>
      <c r="L47" s="1">
        <v>-70.72669999999999</v>
      </c>
      <c r="M47" s="1">
        <v>42.2017</v>
      </c>
      <c r="N47" s="1">
        <v>8445138</v>
      </c>
      <c r="O47" s="1" t="s">
        <v>860</v>
      </c>
      <c r="P47" s="1" t="s">
        <v>866</v>
      </c>
      <c r="Q47" s="2">
        <f>HYPERLINK("https://tidesandcurrents.noaa.gov/stationhome.html?id=8445138", "Station Info")</f>
        <v>0</v>
      </c>
      <c r="R47" s="2">
        <f>HYPERLINK("https://tidesandcurrents.noaa.gov/datums.html?datum=MLLW&amp;units=0&amp;epoch=0&amp;id=8445138", "Datum Info")</f>
        <v>0</v>
      </c>
      <c r="S47" s="2">
        <f>HYPERLINK("https://api.tidesandcurrents.noaa.gov/mdapi/prod/webapi/stations/8445138.json", "More Info")</f>
        <v>0</v>
      </c>
      <c r="T47" s="1">
        <v>3359748</v>
      </c>
      <c r="U47" s="1">
        <v>-0.153</v>
      </c>
      <c r="V47" s="1" t="s">
        <v>869</v>
      </c>
      <c r="W47" s="1" t="s">
        <v>874</v>
      </c>
      <c r="X47" s="1" t="s">
        <v>886</v>
      </c>
      <c r="Y47" s="1">
        <v>9.75</v>
      </c>
      <c r="Z47" s="1">
        <v>9.300000000000001</v>
      </c>
      <c r="AA47" s="1">
        <v>4.83</v>
      </c>
      <c r="AB47" s="1">
        <v>4.89</v>
      </c>
      <c r="AC47" s="1">
        <v>4.88</v>
      </c>
      <c r="AD47" s="1">
        <v>0.36</v>
      </c>
      <c r="AE47" s="1">
        <v>0</v>
      </c>
      <c r="AF47" s="1" t="s">
        <v>962</v>
      </c>
      <c r="AG47" s="1">
        <v>-2.96</v>
      </c>
      <c r="AH47" s="1" t="s">
        <v>1097</v>
      </c>
      <c r="AI47" s="1" t="s">
        <v>1369</v>
      </c>
      <c r="AJ47" s="1">
        <v>5.404</v>
      </c>
      <c r="AK47" s="1">
        <v>-4.339</v>
      </c>
      <c r="AY47" s="2">
        <f>HYPERLINK("https://vdatum.noaa.gov/vdatumweb/api/convert?s_x=-70.7267&amp;s_y=42.2017&amp;s_z=0.0&amp;region=contiguous&amp;s_h_frame=NAD83_2011&amp;s_coor=geo&amp;s_v_frame=NAVD88&amp;s_v_unit=us_ft&amp;t_h_frame=NAD83_2011&amp;t_coor=geo&amp;t_v_frame=MLLW&amp;t_v_unit=us_ft", "NAVD88 to MLLW")</f>
        <v>0</v>
      </c>
      <c r="AZ47" s="2">
        <f>HYPERLINK("https://vdatum.noaa.gov/vdatumweb/api/convert?s_x=-70.7267&amp;s_y=42.2017&amp;s_z=0.0&amp;region=contiguous&amp;s_h_frame=NAD83_2011&amp;s_coor=geo&amp;s_v_frame=NAVD88&amp;s_v_unit=us_ft&amp;t_h_frame=NAD83_2011&amp;t_coor=geo&amp;t_v_frame=MHHW&amp;t_v_unit=us_ft", "NAVD88 to MHHW")</f>
        <v>0</v>
      </c>
    </row>
    <row r="48" spans="1:52">
      <c r="A48" s="1" t="s">
        <v>72</v>
      </c>
      <c r="B48" s="1" t="s">
        <v>614</v>
      </c>
      <c r="C48" s="1" t="s">
        <v>646</v>
      </c>
      <c r="D48" s="1" t="s">
        <v>652</v>
      </c>
      <c r="H48" s="1" t="s">
        <v>1758</v>
      </c>
      <c r="I48" s="1" t="s">
        <v>1858</v>
      </c>
      <c r="J48" s="1" t="s">
        <v>1871</v>
      </c>
      <c r="K48" s="1" t="s">
        <v>2034</v>
      </c>
      <c r="L48" s="1">
        <v>-70.18219999999999</v>
      </c>
      <c r="M48" s="1">
        <v>42.04959</v>
      </c>
      <c r="N48" s="1">
        <v>8446121</v>
      </c>
      <c r="O48" s="1" t="s">
        <v>860</v>
      </c>
      <c r="P48" s="1" t="s">
        <v>866</v>
      </c>
      <c r="Q48" s="2">
        <f>HYPERLINK("https://tidesandcurrents.noaa.gov/stationhome.html?id=8446121", "Station Info")</f>
        <v>0</v>
      </c>
      <c r="R48" s="2">
        <f>HYPERLINK("https://tidesandcurrents.noaa.gov/datums.html?datum=MLLW&amp;units=0&amp;epoch=0&amp;id=8446121", "Datum Info")</f>
        <v>0</v>
      </c>
      <c r="S48" s="2">
        <f>HYPERLINK("https://api.tidesandcurrents.noaa.gov/mdapi/prod/webapi/stations/8446121.json", "More Info")</f>
        <v>0</v>
      </c>
      <c r="T48" s="1">
        <v>4581194</v>
      </c>
      <c r="U48" s="1">
        <v>-0.131</v>
      </c>
      <c r="V48" s="1" t="s">
        <v>869</v>
      </c>
      <c r="W48" s="1" t="s">
        <v>874</v>
      </c>
      <c r="X48" s="1" t="s">
        <v>886</v>
      </c>
      <c r="Y48" s="1">
        <v>10.08</v>
      </c>
      <c r="Z48" s="1">
        <v>9.619999999999999</v>
      </c>
      <c r="AA48" s="1">
        <v>4.98</v>
      </c>
      <c r="AB48" s="1">
        <v>5.03</v>
      </c>
      <c r="AC48" s="1">
        <v>5.04</v>
      </c>
      <c r="AD48" s="1">
        <v>0.33</v>
      </c>
      <c r="AE48" s="1">
        <v>0</v>
      </c>
      <c r="AF48" s="1" t="s">
        <v>963</v>
      </c>
      <c r="AG48" s="1">
        <v>-4.02</v>
      </c>
      <c r="AH48" s="1" t="s">
        <v>1098</v>
      </c>
      <c r="AI48" s="1" t="s">
        <v>1370</v>
      </c>
      <c r="AJ48" s="1">
        <v>5.463</v>
      </c>
      <c r="AK48" s="1">
        <v>-4.616</v>
      </c>
      <c r="AM48" s="1">
        <v>0</v>
      </c>
      <c r="AN48" s="1" t="s">
        <v>1619</v>
      </c>
      <c r="AQ48" s="1" t="s">
        <v>1427</v>
      </c>
      <c r="AS48" s="1">
        <v>11.5</v>
      </c>
      <c r="AT48" s="1">
        <v>13</v>
      </c>
      <c r="AU48" s="1">
        <v>14</v>
      </c>
      <c r="AV48" s="1">
        <v>15</v>
      </c>
      <c r="AW48" s="1" t="s">
        <v>1744</v>
      </c>
      <c r="AX48" s="2">
        <f>HYPERLINK("https://water.weather.gov/ahps2/hydrograph.php?wfo=box&amp;gage=pvhm3", "AHPS Data")</f>
        <v>0</v>
      </c>
      <c r="AY48" s="2">
        <f>HYPERLINK("https://vdatum.noaa.gov/vdatumweb/api/convert?s_x=-70.1822&amp;s_y=42.04959&amp;s_z=0.0&amp;region=contiguous&amp;s_h_frame=NAD83_2011&amp;s_coor=geo&amp;s_v_frame=NAVD88&amp;s_v_unit=us_ft&amp;t_h_frame=NAD83_2011&amp;t_coor=geo&amp;t_v_frame=MLLW&amp;t_v_unit=us_ft", "NAVD88 to MLLW")</f>
        <v>0</v>
      </c>
      <c r="AZ48" s="2">
        <f>HYPERLINK("https://vdatum.noaa.gov/vdatumweb/api/convert?s_x=-70.1822&amp;s_y=42.04959&amp;s_z=0.0&amp;region=contiguous&amp;s_h_frame=NAD83_2011&amp;s_coor=geo&amp;s_v_frame=NAVD88&amp;s_v_unit=us_ft&amp;t_h_frame=NAD83_2011&amp;t_coor=geo&amp;t_v_frame=MHHW&amp;t_v_unit=us_ft", "NAVD88 to MHHW")</f>
        <v>0</v>
      </c>
    </row>
    <row r="49" spans="1:52">
      <c r="A49" s="1" t="s">
        <v>73</v>
      </c>
      <c r="B49" s="1" t="s">
        <v>614</v>
      </c>
      <c r="C49" s="1" t="s">
        <v>646</v>
      </c>
      <c r="D49" s="1" t="s">
        <v>652</v>
      </c>
      <c r="E49" s="1" t="s">
        <v>681</v>
      </c>
      <c r="F49" s="1" t="s">
        <v>834</v>
      </c>
      <c r="G49" s="1" t="s">
        <v>854</v>
      </c>
      <c r="H49" s="1" t="s">
        <v>1758</v>
      </c>
      <c r="I49" s="1" t="s">
        <v>1858</v>
      </c>
      <c r="J49" s="1" t="s">
        <v>1872</v>
      </c>
      <c r="K49" s="1" t="s">
        <v>2035</v>
      </c>
      <c r="L49" s="1">
        <v>-70.155</v>
      </c>
      <c r="M49" s="1">
        <v>41.7517</v>
      </c>
      <c r="N49" s="1">
        <v>8447241</v>
      </c>
      <c r="O49" s="1" t="s">
        <v>860</v>
      </c>
      <c r="P49" s="1" t="s">
        <v>866</v>
      </c>
      <c r="Q49" s="2">
        <f>HYPERLINK("https://tidesandcurrents.noaa.gov/stationhome.html?id=8447241", "Station Info")</f>
        <v>0</v>
      </c>
      <c r="R49" s="2">
        <f>HYPERLINK("https://tidesandcurrents.noaa.gov/datums.html?datum=MLLW&amp;units=0&amp;epoch=0&amp;id=8447241", "Datum Info")</f>
        <v>0</v>
      </c>
      <c r="S49" s="2">
        <f>HYPERLINK("https://api.tidesandcurrents.noaa.gov/mdapi/prod/webapi/stations/8447241.json", "More Info")</f>
        <v>0</v>
      </c>
      <c r="T49" s="1">
        <v>4302206</v>
      </c>
      <c r="U49" s="1">
        <v>-0.165</v>
      </c>
      <c r="V49" s="1" t="s">
        <v>869</v>
      </c>
      <c r="W49" s="1" t="s">
        <v>874</v>
      </c>
      <c r="X49" s="1" t="s">
        <v>886</v>
      </c>
      <c r="Y49" s="1">
        <v>10.46</v>
      </c>
      <c r="Z49" s="1">
        <v>10</v>
      </c>
      <c r="AA49" s="1">
        <v>5.14</v>
      </c>
      <c r="AB49" s="1">
        <v>5.22</v>
      </c>
      <c r="AC49" s="1">
        <v>5.23</v>
      </c>
      <c r="AD49" s="1">
        <v>0.27</v>
      </c>
      <c r="AE49" s="1">
        <v>0</v>
      </c>
      <c r="AF49" s="1" t="s">
        <v>964</v>
      </c>
      <c r="AG49" s="1">
        <v>-2.36</v>
      </c>
      <c r="AH49" s="1" t="s">
        <v>1099</v>
      </c>
      <c r="AI49" s="1" t="s">
        <v>1371</v>
      </c>
      <c r="AJ49" s="1">
        <v>5.773</v>
      </c>
      <c r="AK49" s="1">
        <v>-4.693</v>
      </c>
      <c r="AM49" s="1">
        <v>0</v>
      </c>
      <c r="AN49" s="1" t="s">
        <v>1620</v>
      </c>
      <c r="AQ49" s="1" t="s">
        <v>1427</v>
      </c>
      <c r="AS49" s="1">
        <v>12</v>
      </c>
      <c r="AT49" s="1">
        <v>13</v>
      </c>
      <c r="AU49" s="1">
        <v>14.5</v>
      </c>
      <c r="AV49" s="1">
        <v>16</v>
      </c>
      <c r="AW49" s="1" t="s">
        <v>1744</v>
      </c>
      <c r="AX49" s="2">
        <f>HYPERLINK("https://water.weather.gov/ahps2/hydrograph.php?wfo=box&amp;gage=sesm3", "AHPS Data")</f>
        <v>0</v>
      </c>
      <c r="AY49" s="2">
        <f>HYPERLINK("https://vdatum.noaa.gov/vdatumweb/api/convert?s_x=-70.155&amp;s_y=41.7517&amp;s_z=0.0&amp;region=contiguous&amp;s_h_frame=NAD83_2011&amp;s_coor=geo&amp;s_v_frame=NAVD88&amp;s_v_unit=us_ft&amp;t_h_frame=NAD83_2011&amp;t_coor=geo&amp;t_v_frame=MLLW&amp;t_v_unit=us_ft", "NAVD88 to MLLW")</f>
        <v>0</v>
      </c>
      <c r="AZ49" s="2">
        <f>HYPERLINK("https://vdatum.noaa.gov/vdatumweb/api/convert?s_x=-70.155&amp;s_y=41.7517&amp;s_z=0.0&amp;region=contiguous&amp;s_h_frame=NAD83_2011&amp;s_coor=geo&amp;s_v_frame=NAVD88&amp;s_v_unit=us_ft&amp;t_h_frame=NAD83_2011&amp;t_coor=geo&amp;t_v_frame=MHHW&amp;t_v_unit=us_ft", "NAVD88 to MHHW")</f>
        <v>0</v>
      </c>
    </row>
    <row r="50" spans="1:52">
      <c r="A50" s="1" t="s">
        <v>74</v>
      </c>
      <c r="B50" s="1" t="s">
        <v>614</v>
      </c>
      <c r="D50" s="1" t="s">
        <v>652</v>
      </c>
      <c r="E50" s="1" t="s">
        <v>681</v>
      </c>
      <c r="F50" s="1" t="s">
        <v>834</v>
      </c>
      <c r="G50" s="1" t="s">
        <v>854</v>
      </c>
      <c r="L50" s="1">
        <v>-70.5933</v>
      </c>
      <c r="M50" s="1">
        <v>41.745</v>
      </c>
      <c r="N50" s="1">
        <v>8447259</v>
      </c>
      <c r="O50" s="1" t="s">
        <v>861</v>
      </c>
      <c r="P50" s="1" t="s">
        <v>866</v>
      </c>
      <c r="Q50" s="2">
        <f>HYPERLINK("https://tidesandcurrents.noaa.gov/stationhome.html?id=8447259", "Station Info")</f>
        <v>0</v>
      </c>
      <c r="R50" s="2">
        <f>HYPERLINK("https://tidesandcurrents.noaa.gov/datums.html?datum=MLLW&amp;units=0&amp;epoch=0&amp;id=8447259", "Datum Info")</f>
        <v>0</v>
      </c>
      <c r="S50" s="2">
        <f>HYPERLINK("https://api.tidesandcurrents.noaa.gov/mdapi/prod/webapi/stations/8447259.json", "More Info")</f>
        <v>0</v>
      </c>
      <c r="T50" s="1">
        <v>4582291</v>
      </c>
      <c r="U50" s="1">
        <v>-0.174</v>
      </c>
      <c r="V50" s="1" t="s">
        <v>869</v>
      </c>
      <c r="W50" s="1" t="s">
        <v>874</v>
      </c>
      <c r="X50" s="1" t="s">
        <v>886</v>
      </c>
      <c r="Y50" s="1">
        <v>4.95</v>
      </c>
      <c r="Z50" s="1">
        <v>4.56</v>
      </c>
      <c r="AA50" s="1">
        <v>2.42</v>
      </c>
      <c r="AB50" s="1">
        <v>2.49</v>
      </c>
      <c r="AC50" s="1">
        <v>2.48</v>
      </c>
      <c r="AD50" s="1">
        <v>0.27</v>
      </c>
      <c r="AE50" s="1">
        <v>0</v>
      </c>
      <c r="AF50" s="1" t="s">
        <v>965</v>
      </c>
      <c r="AG50" s="1">
        <v>-3.51</v>
      </c>
      <c r="AH50" s="1" t="s">
        <v>1100</v>
      </c>
      <c r="AI50" s="1" t="s">
        <v>1372</v>
      </c>
      <c r="AJ50" s="1">
        <v>3.064</v>
      </c>
      <c r="AK50" s="1">
        <v>-1.891</v>
      </c>
      <c r="AY50" s="2">
        <f>HYPERLINK("https://vdatum.noaa.gov/vdatumweb/api/convert?s_x=-70.5933&amp;s_y=41.745&amp;s_z=0.0&amp;region=contiguous&amp;s_h_frame=NAD83_2011&amp;s_coor=geo&amp;s_v_frame=NAVD88&amp;s_v_unit=us_ft&amp;t_h_frame=NAD83_2011&amp;t_coor=geo&amp;t_v_frame=MLLW&amp;t_v_unit=us_ft", "NAVD88 to MLLW")</f>
        <v>0</v>
      </c>
      <c r="AZ50" s="2">
        <f>HYPERLINK("https://vdatum.noaa.gov/vdatumweb/api/convert?s_x=-70.5933&amp;s_y=41.745&amp;s_z=0.0&amp;region=contiguous&amp;s_h_frame=NAD83_2011&amp;s_coor=geo&amp;s_v_frame=NAVD88&amp;s_v_unit=us_ft&amp;t_h_frame=NAD83_2011&amp;t_coor=geo&amp;t_v_frame=MHHW&amp;t_v_unit=us_ft", "NAVD88 to MHHW")</f>
        <v>0</v>
      </c>
    </row>
    <row r="51" spans="1:52">
      <c r="A51" s="1" t="s">
        <v>75</v>
      </c>
      <c r="B51" s="1" t="s">
        <v>614</v>
      </c>
      <c r="C51" s="1" t="s">
        <v>646</v>
      </c>
      <c r="D51" s="1" t="s">
        <v>652</v>
      </c>
      <c r="E51" s="1" t="s">
        <v>682</v>
      </c>
      <c r="F51" s="1" t="s">
        <v>834</v>
      </c>
      <c r="G51" s="1" t="s">
        <v>854</v>
      </c>
      <c r="L51" s="1">
        <v>-71.1641</v>
      </c>
      <c r="M51" s="1">
        <v>41.7043</v>
      </c>
      <c r="N51" s="1">
        <v>8447386</v>
      </c>
      <c r="O51" s="1" t="s">
        <v>860</v>
      </c>
      <c r="P51" s="1" t="s">
        <v>866</v>
      </c>
      <c r="Q51" s="2">
        <f>HYPERLINK("https://tidesandcurrents.noaa.gov/stationhome.html?id=8447386", "Station Info")</f>
        <v>0</v>
      </c>
      <c r="R51" s="2">
        <f>HYPERLINK("https://tidesandcurrents.noaa.gov/datums.html?datum=MLLW&amp;units=0&amp;epoch=0&amp;id=8447386", "Datum Info")</f>
        <v>0</v>
      </c>
      <c r="S51" s="2">
        <f>HYPERLINK("https://api.tidesandcurrents.noaa.gov/mdapi/prod/webapi/stations/8447386.json", "More Info")</f>
        <v>0</v>
      </c>
      <c r="T51" s="1">
        <v>2447756</v>
      </c>
      <c r="U51" s="1">
        <v>0</v>
      </c>
      <c r="V51" s="1" t="s">
        <v>869</v>
      </c>
      <c r="W51" s="1" t="s">
        <v>874</v>
      </c>
      <c r="X51" s="1" t="s">
        <v>886</v>
      </c>
      <c r="Y51" s="1">
        <v>4.77</v>
      </c>
      <c r="Z51" s="1">
        <v>4.53</v>
      </c>
      <c r="AA51" s="1">
        <v>2.35</v>
      </c>
      <c r="AB51" s="1">
        <v>2.2</v>
      </c>
      <c r="AC51" s="1">
        <v>2.38</v>
      </c>
      <c r="AD51" s="1">
        <v>0.17</v>
      </c>
      <c r="AE51" s="1">
        <v>0</v>
      </c>
      <c r="AF51" s="1">
        <v>2.43</v>
      </c>
      <c r="AG51" s="1">
        <v>-20.87</v>
      </c>
      <c r="AH51" s="1" t="s">
        <v>1101</v>
      </c>
      <c r="AI51" s="1" t="s">
        <v>1373</v>
      </c>
      <c r="AJ51" s="1">
        <v>2.424</v>
      </c>
      <c r="AK51" s="1">
        <v>-2.35</v>
      </c>
      <c r="AY51" s="2">
        <f>HYPERLINK("https://vdatum.noaa.gov/vdatumweb/api/convert?s_x=-71.1641&amp;s_y=41.7043&amp;s_z=0.0&amp;region=contiguous&amp;s_h_frame=NAD83_2011&amp;s_coor=geo&amp;s_v_frame=NAVD88&amp;s_v_unit=us_ft&amp;t_h_frame=NAD83_2011&amp;t_coor=geo&amp;t_v_frame=MLLW&amp;t_v_unit=us_ft", "NAVD88 to MLLW")</f>
        <v>0</v>
      </c>
      <c r="AZ51" s="2">
        <f>HYPERLINK("https://vdatum.noaa.gov/vdatumweb/api/convert?s_x=-71.1641&amp;s_y=41.7043&amp;s_z=0.0&amp;region=contiguous&amp;s_h_frame=NAD83_2011&amp;s_coor=geo&amp;s_v_frame=NAVD88&amp;s_v_unit=us_ft&amp;t_h_frame=NAD83_2011&amp;t_coor=geo&amp;t_v_frame=MHHW&amp;t_v_unit=us_ft", "NAVD88 to MHHW")</f>
        <v>0</v>
      </c>
    </row>
    <row r="52" spans="1:52">
      <c r="A52" s="1" t="s">
        <v>76</v>
      </c>
      <c r="B52" s="1" t="s">
        <v>614</v>
      </c>
      <c r="C52" s="1" t="s">
        <v>646</v>
      </c>
      <c r="D52" s="1" t="s">
        <v>652</v>
      </c>
      <c r="L52" s="1">
        <v>-69.9508</v>
      </c>
      <c r="M52" s="1">
        <v>41.68806</v>
      </c>
      <c r="N52" s="1">
        <v>8447435</v>
      </c>
      <c r="O52" s="1" t="s">
        <v>860</v>
      </c>
      <c r="P52" s="1" t="s">
        <v>866</v>
      </c>
      <c r="Q52" s="2">
        <f>HYPERLINK("https://tidesandcurrents.noaa.gov/stationhome.html?id=8447435", "Station Info")</f>
        <v>0</v>
      </c>
      <c r="R52" s="2">
        <f>HYPERLINK("https://tidesandcurrents.noaa.gov/datums.html?datum=MLLW&amp;units=0&amp;epoch=0&amp;id=8447435", "Datum Info")</f>
        <v>0</v>
      </c>
      <c r="S52" s="2">
        <f>HYPERLINK("https://api.tidesandcurrents.noaa.gov/mdapi/prod/webapi/stations/8447435.json", "More Info")</f>
        <v>0</v>
      </c>
      <c r="T52" s="1">
        <v>4582914</v>
      </c>
      <c r="U52" s="1">
        <v>0</v>
      </c>
      <c r="V52" s="1" t="s">
        <v>869</v>
      </c>
      <c r="W52" s="1" t="s">
        <v>874</v>
      </c>
      <c r="X52" s="1" t="s">
        <v>886</v>
      </c>
      <c r="Y52" s="1">
        <v>5.17</v>
      </c>
      <c r="Z52" s="1">
        <v>4.8</v>
      </c>
      <c r="AA52" s="1">
        <v>2.48</v>
      </c>
      <c r="AB52" s="1">
        <v>2.55</v>
      </c>
      <c r="AC52" s="1">
        <v>2.59</v>
      </c>
      <c r="AD52" s="1">
        <v>0.16</v>
      </c>
      <c r="AE52" s="1">
        <v>0</v>
      </c>
      <c r="AF52" s="1">
        <v>2.49</v>
      </c>
      <c r="AG52" s="1">
        <v>-4.19</v>
      </c>
      <c r="AH52" s="1" t="s">
        <v>1102</v>
      </c>
      <c r="AI52" s="1" t="s">
        <v>1374</v>
      </c>
      <c r="AJ52" s="1">
        <v>3.372</v>
      </c>
      <c r="AK52" s="1">
        <v>-3.102</v>
      </c>
      <c r="AY52" s="2">
        <f>HYPERLINK("https://vdatum.noaa.gov/vdatumweb/api/convert?s_x=-69.9508&amp;s_y=41.68806&amp;s_z=0.0&amp;region=contiguous&amp;s_h_frame=NAD83_2011&amp;s_coor=geo&amp;s_v_frame=NAVD88&amp;s_v_unit=us_ft&amp;t_h_frame=NAD83_2011&amp;t_coor=geo&amp;t_v_frame=MLLW&amp;t_v_unit=us_ft", "NAVD88 to MLLW")</f>
        <v>0</v>
      </c>
      <c r="AZ52" s="2">
        <f>HYPERLINK("https://vdatum.noaa.gov/vdatumweb/api/convert?s_x=-69.9508&amp;s_y=41.68806&amp;s_z=0.0&amp;region=contiguous&amp;s_h_frame=NAD83_2011&amp;s_coor=geo&amp;s_v_frame=NAVD88&amp;s_v_unit=us_ft&amp;t_h_frame=NAD83_2011&amp;t_coor=geo&amp;t_v_frame=MHHW&amp;t_v_unit=us_ft", "NAVD88 to MHHW")</f>
        <v>0</v>
      </c>
    </row>
    <row r="53" spans="1:52">
      <c r="A53" s="1" t="s">
        <v>77</v>
      </c>
      <c r="B53" s="1" t="s">
        <v>614</v>
      </c>
      <c r="D53" s="1" t="s">
        <v>652</v>
      </c>
      <c r="E53" s="1" t="s">
        <v>682</v>
      </c>
      <c r="F53" s="1" t="s">
        <v>834</v>
      </c>
      <c r="G53" s="1" t="s">
        <v>854</v>
      </c>
      <c r="L53" s="1">
        <v>-70.90000000000001</v>
      </c>
      <c r="M53" s="1">
        <v>41.5933</v>
      </c>
      <c r="N53" s="1">
        <v>8447712</v>
      </c>
      <c r="O53" s="1" t="s">
        <v>860</v>
      </c>
      <c r="P53" s="1" t="s">
        <v>866</v>
      </c>
      <c r="Q53" s="2">
        <f>HYPERLINK("https://tidesandcurrents.noaa.gov/stationhome.html?id=8447712", "Station Info")</f>
        <v>0</v>
      </c>
      <c r="R53" s="2">
        <f>HYPERLINK("https://tidesandcurrents.noaa.gov/datums.html?datum=MLLW&amp;units=0&amp;epoch=0&amp;id=8447712", "Datum Info")</f>
        <v>0</v>
      </c>
      <c r="S53" s="2">
        <f>HYPERLINK("https://api.tidesandcurrents.noaa.gov/mdapi/prod/webapi/stations/8447712.json", "More Info")</f>
        <v>0</v>
      </c>
      <c r="T53" s="1">
        <v>5583331</v>
      </c>
      <c r="U53" s="1">
        <v>0</v>
      </c>
      <c r="V53" s="1" t="s">
        <v>869</v>
      </c>
      <c r="W53" s="1" t="s">
        <v>874</v>
      </c>
      <c r="X53" s="1" t="s">
        <v>886</v>
      </c>
      <c r="Y53" s="1">
        <v>3.96</v>
      </c>
      <c r="Z53" s="1">
        <v>3.71</v>
      </c>
      <c r="AA53" s="1">
        <v>1.93</v>
      </c>
      <c r="AB53" s="1">
        <v>1.68</v>
      </c>
      <c r="AC53" s="1">
        <v>1.98</v>
      </c>
      <c r="AD53" s="1">
        <v>0.15</v>
      </c>
      <c r="AE53" s="1">
        <v>0</v>
      </c>
      <c r="AF53" s="1" t="s">
        <v>952</v>
      </c>
      <c r="AG53" s="1">
        <v>-2.49</v>
      </c>
      <c r="AH53" s="1" t="s">
        <v>1103</v>
      </c>
      <c r="AI53" s="1" t="s">
        <v>1375</v>
      </c>
      <c r="AJ53" s="1">
        <v>1.965</v>
      </c>
      <c r="AK53" s="1">
        <v>-1.99</v>
      </c>
      <c r="AY53" s="2">
        <f>HYPERLINK("https://vdatum.noaa.gov/vdatumweb/api/convert?s_x=-70.9&amp;s_y=41.5933&amp;s_z=0.0&amp;region=contiguous&amp;s_h_frame=NAD83_2011&amp;s_coor=geo&amp;s_v_frame=NAVD88&amp;s_v_unit=us_ft&amp;t_h_frame=NAD83_2011&amp;t_coor=geo&amp;t_v_frame=MLLW&amp;t_v_unit=us_ft", "NAVD88 to MLLW")</f>
        <v>0</v>
      </c>
      <c r="AZ53" s="2">
        <f>HYPERLINK("https://vdatum.noaa.gov/vdatumweb/api/convert?s_x=-70.9&amp;s_y=41.5933&amp;s_z=0.0&amp;region=contiguous&amp;s_h_frame=NAD83_2011&amp;s_coor=geo&amp;s_v_frame=NAVD88&amp;s_v_unit=us_ft&amp;t_h_frame=NAD83_2011&amp;t_coor=geo&amp;t_v_frame=MHHW&amp;t_v_unit=us_ft", "NAVD88 to MHHW")</f>
        <v>0</v>
      </c>
    </row>
    <row r="54" spans="1:52">
      <c r="A54" s="1" t="s">
        <v>78</v>
      </c>
      <c r="B54" s="1" t="s">
        <v>614</v>
      </c>
      <c r="C54" s="1" t="s">
        <v>646</v>
      </c>
      <c r="D54" s="1" t="s">
        <v>652</v>
      </c>
      <c r="J54" s="1" t="s">
        <v>1873</v>
      </c>
      <c r="L54" s="1">
        <v>-70.46333</v>
      </c>
      <c r="M54" s="1">
        <v>41.586666</v>
      </c>
      <c r="N54" s="1">
        <v>8447742</v>
      </c>
      <c r="O54" s="1" t="s">
        <v>862</v>
      </c>
      <c r="P54" s="1" t="s">
        <v>866</v>
      </c>
      <c r="Q54" s="2">
        <f>HYPERLINK("https://tidesandcurrents.noaa.gov/stationhome.html?id=8447742", "Station Info")</f>
        <v>0</v>
      </c>
      <c r="R54" s="2">
        <f>HYPERLINK("https://tidesandcurrents.noaa.gov/datums.html?datum=MLLW&amp;units=0&amp;epoch=0&amp;id=8447742", "Datum Info")</f>
        <v>0</v>
      </c>
      <c r="S54" s="2">
        <f>HYPERLINK("https://api.tidesandcurrents.noaa.gov/mdapi/prod/webapi/stations/8447742.json", "More Info")</f>
        <v>0</v>
      </c>
      <c r="T54" s="1">
        <v>7417905</v>
      </c>
      <c r="U54" s="1">
        <v>0</v>
      </c>
      <c r="V54" s="1" t="s">
        <v>869</v>
      </c>
      <c r="W54" s="1" t="s">
        <v>874</v>
      </c>
      <c r="AJ54" s="1">
        <v>1.881</v>
      </c>
      <c r="AK54" s="1">
        <v>-1.293</v>
      </c>
      <c r="AY54" s="2">
        <f>HYPERLINK("https://vdatum.noaa.gov/vdatumweb/api/convert?s_x=-70.46333&amp;s_y=41.586666&amp;s_z=0.0&amp;region=contiguous&amp;s_h_frame=NAD83_2011&amp;s_coor=geo&amp;s_v_frame=NAVD88&amp;s_v_unit=us_ft&amp;t_h_frame=NAD83_2011&amp;t_coor=geo&amp;t_v_frame=MLLW&amp;t_v_unit=us_ft", "NAVD88 to MLLW")</f>
        <v>0</v>
      </c>
      <c r="AZ54" s="2">
        <f>HYPERLINK("https://vdatum.noaa.gov/vdatumweb/api/convert?s_x=-70.46333&amp;s_y=41.586666&amp;s_z=0.0&amp;region=contiguous&amp;s_h_frame=NAD83_2011&amp;s_coor=geo&amp;s_v_frame=NAVD88&amp;s_v_unit=us_ft&amp;t_h_frame=NAD83_2011&amp;t_coor=geo&amp;t_v_frame=MHHW&amp;t_v_unit=us_ft", "NAVD88 to MHHW")</f>
        <v>0</v>
      </c>
    </row>
    <row r="55" spans="1:52">
      <c r="A55" s="1" t="s">
        <v>79</v>
      </c>
      <c r="B55" s="1" t="s">
        <v>614</v>
      </c>
      <c r="C55" s="1" t="s">
        <v>646</v>
      </c>
      <c r="D55" s="1" t="s">
        <v>652</v>
      </c>
      <c r="L55" s="1">
        <v>-70.6711</v>
      </c>
      <c r="M55" s="1">
        <v>41.52361</v>
      </c>
      <c r="N55" s="1">
        <v>8447930</v>
      </c>
      <c r="O55" s="1" t="s">
        <v>860</v>
      </c>
      <c r="P55" s="1" t="s">
        <v>866</v>
      </c>
      <c r="Q55" s="2">
        <f>HYPERLINK("https://tidesandcurrents.noaa.gov/stationhome.html?id=8447930", "Station Info")</f>
        <v>0</v>
      </c>
      <c r="R55" s="2">
        <f>HYPERLINK("https://tidesandcurrents.noaa.gov/datums.html?datum=MLLW&amp;units=0&amp;epoch=0&amp;id=8447930", "Datum Info")</f>
        <v>0</v>
      </c>
      <c r="S55" s="2">
        <f>HYPERLINK("https://api.tidesandcurrents.noaa.gov/mdapi/prod/webapi/stations/8447930.json", "More Info")</f>
        <v>0</v>
      </c>
      <c r="T55" s="1">
        <v>7417219</v>
      </c>
      <c r="U55" s="1">
        <v>0</v>
      </c>
      <c r="V55" s="1" t="s">
        <v>869</v>
      </c>
      <c r="W55" s="1" t="s">
        <v>874</v>
      </c>
      <c r="X55" s="1" t="s">
        <v>886</v>
      </c>
      <c r="Y55" s="1">
        <v>2.2</v>
      </c>
      <c r="Z55" s="1">
        <v>1.92</v>
      </c>
      <c r="AA55" s="1">
        <v>1.03</v>
      </c>
      <c r="AB55" s="1">
        <v>0.98</v>
      </c>
      <c r="AC55" s="1">
        <v>1.1</v>
      </c>
      <c r="AD55" s="1">
        <v>0.13</v>
      </c>
      <c r="AE55" s="1">
        <v>0</v>
      </c>
      <c r="AF55" s="1">
        <v>1.36</v>
      </c>
      <c r="AG55" s="1">
        <v>-2.62</v>
      </c>
      <c r="AH55" s="1" t="s">
        <v>1104</v>
      </c>
      <c r="AI55" s="1" t="s">
        <v>1376</v>
      </c>
      <c r="AJ55" s="1">
        <v>1.359</v>
      </c>
      <c r="AK55" s="1">
        <v>-0.848</v>
      </c>
      <c r="AY55" s="2">
        <f>HYPERLINK("https://vdatum.noaa.gov/vdatumweb/api/convert?s_x=-70.6711&amp;s_y=41.52361&amp;s_z=0.0&amp;region=contiguous&amp;s_h_frame=NAD83_2011&amp;s_coor=geo&amp;s_v_frame=NAVD88&amp;s_v_unit=us_ft&amp;t_h_frame=NAD83_2011&amp;t_coor=geo&amp;t_v_frame=MLLW&amp;t_v_unit=us_ft", "NAVD88 to MLLW")</f>
        <v>0</v>
      </c>
      <c r="AZ55" s="2">
        <f>HYPERLINK("https://vdatum.noaa.gov/vdatumweb/api/convert?s_x=-70.6711&amp;s_y=41.52361&amp;s_z=0.0&amp;region=contiguous&amp;s_h_frame=NAD83_2011&amp;s_coor=geo&amp;s_v_frame=NAVD88&amp;s_v_unit=us_ft&amp;t_h_frame=NAD83_2011&amp;t_coor=geo&amp;t_v_frame=MHHW&amp;t_v_unit=us_ft", "NAVD88 to MHHW")</f>
        <v>0</v>
      </c>
    </row>
    <row r="56" spans="1:52">
      <c r="A56" s="1" t="s">
        <v>80</v>
      </c>
      <c r="B56" s="1" t="s">
        <v>614</v>
      </c>
      <c r="D56" s="1" t="s">
        <v>652</v>
      </c>
      <c r="E56" s="1" t="s">
        <v>683</v>
      </c>
      <c r="F56" s="1" t="s">
        <v>835</v>
      </c>
      <c r="G56" s="1" t="s">
        <v>854</v>
      </c>
      <c r="L56" s="1">
        <v>-71.3261</v>
      </c>
      <c r="M56" s="1">
        <v>41.50433</v>
      </c>
      <c r="N56" s="1">
        <v>8452660</v>
      </c>
      <c r="O56" s="1" t="s">
        <v>860</v>
      </c>
      <c r="P56" s="1" t="s">
        <v>866</v>
      </c>
      <c r="Q56" s="2">
        <f>HYPERLINK("https://tidesandcurrents.noaa.gov/stationhome.html?id=8452660", "Station Info")</f>
        <v>0</v>
      </c>
      <c r="R56" s="2">
        <f>HYPERLINK("https://tidesandcurrents.noaa.gov/datums.html?datum=MLLW&amp;units=0&amp;epoch=0&amp;id=8452660", "Datum Info")</f>
        <v>0</v>
      </c>
      <c r="S56" s="2">
        <f>HYPERLINK("https://api.tidesandcurrents.noaa.gov/mdapi/prod/webapi/stations/8452660.json", "More Info")</f>
        <v>0</v>
      </c>
      <c r="T56" s="1">
        <v>6592594</v>
      </c>
      <c r="U56" s="1">
        <v>0</v>
      </c>
      <c r="V56" s="1" t="s">
        <v>869</v>
      </c>
      <c r="W56" s="1" t="s">
        <v>874</v>
      </c>
      <c r="X56" s="1" t="s">
        <v>886</v>
      </c>
      <c r="Y56" s="1">
        <v>3.85</v>
      </c>
      <c r="Z56" s="1">
        <v>3.61</v>
      </c>
      <c r="AA56" s="1">
        <v>1.88</v>
      </c>
      <c r="AB56" s="1">
        <v>1.74</v>
      </c>
      <c r="AC56" s="1">
        <v>1.93</v>
      </c>
      <c r="AD56" s="1">
        <v>0.14</v>
      </c>
      <c r="AE56" s="1">
        <v>0</v>
      </c>
      <c r="AF56" s="1">
        <v>2.04</v>
      </c>
      <c r="AG56" s="1">
        <v>-1.89</v>
      </c>
      <c r="AH56" s="1" t="s">
        <v>1105</v>
      </c>
      <c r="AI56" s="1" t="s">
        <v>1377</v>
      </c>
      <c r="AJ56" s="1">
        <v>2.038</v>
      </c>
      <c r="AK56" s="1">
        <v>-1.806</v>
      </c>
      <c r="AY56" s="2">
        <f>HYPERLINK("https://vdatum.noaa.gov/vdatumweb/api/convert?s_x=-71.3261&amp;s_y=41.50433&amp;s_z=0.0&amp;region=contiguous&amp;s_h_frame=NAD83_2011&amp;s_coor=geo&amp;s_v_frame=NAVD88&amp;s_v_unit=us_ft&amp;t_h_frame=NAD83_2011&amp;t_coor=geo&amp;t_v_frame=MLLW&amp;t_v_unit=us_ft", "NAVD88 to MLLW")</f>
        <v>0</v>
      </c>
      <c r="AZ56" s="2">
        <f>HYPERLINK("https://vdatum.noaa.gov/vdatumweb/api/convert?s_x=-71.3261&amp;s_y=41.50433&amp;s_z=0.0&amp;region=contiguous&amp;s_h_frame=NAD83_2011&amp;s_coor=geo&amp;s_v_frame=NAVD88&amp;s_v_unit=us_ft&amp;t_h_frame=NAD83_2011&amp;t_coor=geo&amp;t_v_frame=MHHW&amp;t_v_unit=us_ft", "NAVD88 to MHHW")</f>
        <v>0</v>
      </c>
    </row>
    <row r="57" spans="1:52">
      <c r="A57" s="1" t="s">
        <v>81</v>
      </c>
      <c r="B57" s="1" t="s">
        <v>614</v>
      </c>
      <c r="D57" s="1" t="s">
        <v>652</v>
      </c>
      <c r="L57" s="1">
        <v>-71.3433</v>
      </c>
      <c r="M57" s="1">
        <v>41.7167</v>
      </c>
      <c r="N57" s="1">
        <v>8452944</v>
      </c>
      <c r="O57" s="1" t="s">
        <v>860</v>
      </c>
      <c r="P57" s="1" t="s">
        <v>866</v>
      </c>
      <c r="Q57" s="2">
        <f>HYPERLINK("https://tidesandcurrents.noaa.gov/stationhome.html?id=8452944", "Station Info")</f>
        <v>0</v>
      </c>
      <c r="R57" s="2">
        <f>HYPERLINK("https://tidesandcurrents.noaa.gov/datums.html?datum=MLLW&amp;units=0&amp;epoch=0&amp;id=8452944", "Datum Info")</f>
        <v>0</v>
      </c>
      <c r="S57" s="2">
        <f>HYPERLINK("https://api.tidesandcurrents.noaa.gov/mdapi/prod/webapi/stations/8452944.json", "More Info")</f>
        <v>0</v>
      </c>
      <c r="T57" s="1">
        <v>4851690</v>
      </c>
      <c r="U57" s="1">
        <v>-0.08599999999999999</v>
      </c>
      <c r="V57" s="1" t="s">
        <v>869</v>
      </c>
      <c r="W57" s="1" t="s">
        <v>874</v>
      </c>
      <c r="X57" s="1" t="s">
        <v>886</v>
      </c>
      <c r="Y57" s="1">
        <v>4.58</v>
      </c>
      <c r="Z57" s="1">
        <v>4.33</v>
      </c>
      <c r="AA57" s="1">
        <v>2.25</v>
      </c>
      <c r="AB57" s="1">
        <v>2.1</v>
      </c>
      <c r="AC57" s="1">
        <v>2.29</v>
      </c>
      <c r="AD57" s="1">
        <v>0.17</v>
      </c>
      <c r="AE57" s="1">
        <v>0</v>
      </c>
      <c r="AF57" s="1" t="s">
        <v>966</v>
      </c>
      <c r="AG57" s="1">
        <v>-18.54</v>
      </c>
      <c r="AH57" s="1" t="s">
        <v>1106</v>
      </c>
      <c r="AI57" s="1" t="s">
        <v>1378</v>
      </c>
      <c r="AJ57" s="1">
        <v>2.392</v>
      </c>
      <c r="AK57" s="1">
        <v>-2.197</v>
      </c>
      <c r="AY57" s="2">
        <f>HYPERLINK("https://vdatum.noaa.gov/vdatumweb/api/convert?s_x=-71.3433&amp;s_y=41.7167&amp;s_z=0.0&amp;region=contiguous&amp;s_h_frame=NAD83_2011&amp;s_coor=geo&amp;s_v_frame=NAVD88&amp;s_v_unit=us_ft&amp;t_h_frame=NAD83_2011&amp;t_coor=geo&amp;t_v_frame=MLLW&amp;t_v_unit=us_ft", "NAVD88 to MLLW")</f>
        <v>0</v>
      </c>
      <c r="AZ57" s="2">
        <f>HYPERLINK("https://vdatum.noaa.gov/vdatumweb/api/convert?s_x=-71.3433&amp;s_y=41.7167&amp;s_z=0.0&amp;region=contiguous&amp;s_h_frame=NAD83_2011&amp;s_coor=geo&amp;s_v_frame=NAVD88&amp;s_v_unit=us_ft&amp;t_h_frame=NAD83_2011&amp;t_coor=geo&amp;t_v_frame=MHHW&amp;t_v_unit=us_ft", "NAVD88 to MHHW")</f>
        <v>0</v>
      </c>
    </row>
    <row r="58" spans="1:52">
      <c r="A58" s="1" t="s">
        <v>82</v>
      </c>
      <c r="B58" s="1" t="s">
        <v>614</v>
      </c>
      <c r="C58" s="1" t="s">
        <v>646</v>
      </c>
      <c r="D58" s="1" t="s">
        <v>652</v>
      </c>
      <c r="E58" s="1" t="s">
        <v>684</v>
      </c>
      <c r="F58" s="1" t="s">
        <v>835</v>
      </c>
      <c r="G58" s="1" t="s">
        <v>854</v>
      </c>
      <c r="L58" s="1">
        <v>-71.4012</v>
      </c>
      <c r="M58" s="1">
        <v>41.8071</v>
      </c>
      <c r="N58" s="1">
        <v>8454000</v>
      </c>
      <c r="O58" s="1" t="s">
        <v>860</v>
      </c>
      <c r="P58" s="1" t="s">
        <v>866</v>
      </c>
      <c r="Q58" s="2">
        <f>HYPERLINK("https://tidesandcurrents.noaa.gov/stationhome.html?id=8454000", "Station Info")</f>
        <v>0</v>
      </c>
      <c r="R58" s="2">
        <f>HYPERLINK("https://tidesandcurrents.noaa.gov/datums.html?datum=MLLW&amp;units=0&amp;epoch=0&amp;id=8454000", "Datum Info")</f>
        <v>0</v>
      </c>
      <c r="S58" s="2">
        <f>HYPERLINK("https://api.tidesandcurrents.noaa.gov/mdapi/prod/webapi/stations/8454000.json", "More Info")</f>
        <v>0</v>
      </c>
      <c r="T58" s="1">
        <v>2446534</v>
      </c>
      <c r="U58" s="1">
        <v>0</v>
      </c>
      <c r="V58" s="1" t="s">
        <v>869</v>
      </c>
      <c r="W58" s="1" t="s">
        <v>874</v>
      </c>
      <c r="X58" s="1" t="s">
        <v>886</v>
      </c>
      <c r="Y58" s="1">
        <v>4.84</v>
      </c>
      <c r="Z58" s="1">
        <v>4.59</v>
      </c>
      <c r="AA58" s="1">
        <v>2.39</v>
      </c>
      <c r="AB58" s="1">
        <v>2.25</v>
      </c>
      <c r="AC58" s="1">
        <v>2.42</v>
      </c>
      <c r="AD58" s="1">
        <v>0.18</v>
      </c>
      <c r="AE58" s="1">
        <v>0</v>
      </c>
      <c r="AF58" s="1">
        <v>2.47</v>
      </c>
      <c r="AG58" s="1">
        <v>-3.49</v>
      </c>
      <c r="AH58" s="1" t="s">
        <v>1107</v>
      </c>
      <c r="AI58" s="1" t="s">
        <v>1379</v>
      </c>
      <c r="AJ58" s="1">
        <v>2.472</v>
      </c>
      <c r="AK58" s="1">
        <v>-2.37</v>
      </c>
      <c r="AY58" s="2">
        <f>HYPERLINK("https://vdatum.noaa.gov/vdatumweb/api/convert?s_x=-71.4012&amp;s_y=41.8071&amp;s_z=0.0&amp;region=contiguous&amp;s_h_frame=NAD83_2011&amp;s_coor=geo&amp;s_v_frame=NAVD88&amp;s_v_unit=us_ft&amp;t_h_frame=NAD83_2011&amp;t_coor=geo&amp;t_v_frame=MLLW&amp;t_v_unit=us_ft", "NAVD88 to MLLW")</f>
        <v>0</v>
      </c>
      <c r="AZ58" s="2">
        <f>HYPERLINK("https://vdatum.noaa.gov/vdatumweb/api/convert?s_x=-71.4012&amp;s_y=41.8071&amp;s_z=0.0&amp;region=contiguous&amp;s_h_frame=NAD83_2011&amp;s_coor=geo&amp;s_v_frame=NAVD88&amp;s_v_unit=us_ft&amp;t_h_frame=NAD83_2011&amp;t_coor=geo&amp;t_v_frame=MHHW&amp;t_v_unit=us_ft", "NAVD88 to MHHW")</f>
        <v>0</v>
      </c>
    </row>
    <row r="59" spans="1:52">
      <c r="A59" s="1" t="s">
        <v>83</v>
      </c>
      <c r="B59" s="1" t="s">
        <v>614</v>
      </c>
      <c r="D59" s="1" t="s">
        <v>652</v>
      </c>
      <c r="L59" s="1">
        <v>-71.41</v>
      </c>
      <c r="M59" s="1">
        <v>41.58694</v>
      </c>
      <c r="N59" s="1">
        <v>8454049</v>
      </c>
      <c r="O59" s="1" t="s">
        <v>860</v>
      </c>
      <c r="P59" s="1" t="s">
        <v>866</v>
      </c>
      <c r="Q59" s="2">
        <f>HYPERLINK("https://tidesandcurrents.noaa.gov/stationhome.html?id=8454049", "Station Info")</f>
        <v>0</v>
      </c>
      <c r="R59" s="2">
        <f>HYPERLINK("https://tidesandcurrents.noaa.gov/datums.html?datum=MLLW&amp;units=0&amp;epoch=0&amp;id=8454049", "Datum Info")</f>
        <v>0</v>
      </c>
      <c r="S59" s="2">
        <f>HYPERLINK("https://api.tidesandcurrents.noaa.gov/mdapi/prod/webapi/stations/8454049.json", "More Info")</f>
        <v>0</v>
      </c>
      <c r="T59" s="1">
        <v>3692179</v>
      </c>
      <c r="U59" s="1">
        <v>0</v>
      </c>
      <c r="V59" s="1" t="s">
        <v>869</v>
      </c>
      <c r="W59" s="1" t="s">
        <v>874</v>
      </c>
      <c r="X59" s="1" t="s">
        <v>886</v>
      </c>
      <c r="Y59" s="1">
        <v>4.11</v>
      </c>
      <c r="Z59" s="1">
        <v>3.86</v>
      </c>
      <c r="AA59" s="1">
        <v>2.01</v>
      </c>
      <c r="AB59" s="1">
        <v>1.87</v>
      </c>
      <c r="AC59" s="1">
        <v>2.06</v>
      </c>
      <c r="AD59" s="1">
        <v>0.16</v>
      </c>
      <c r="AE59" s="1">
        <v>0</v>
      </c>
      <c r="AF59" s="1">
        <v>2.24</v>
      </c>
      <c r="AG59" s="1">
        <v>-23.01</v>
      </c>
      <c r="AH59" s="1" t="s">
        <v>1108</v>
      </c>
      <c r="AI59" s="1" t="s">
        <v>1380</v>
      </c>
      <c r="AJ59" s="1">
        <v>2.28</v>
      </c>
      <c r="AK59" s="1">
        <v>-1.85</v>
      </c>
      <c r="AY59" s="2">
        <f>HYPERLINK("https://vdatum.noaa.gov/vdatumweb/api/convert?s_x=-71.41&amp;s_y=41.58694&amp;s_z=0.0&amp;region=contiguous&amp;s_h_frame=NAD83_2011&amp;s_coor=geo&amp;s_v_frame=NAVD88&amp;s_v_unit=us_ft&amp;t_h_frame=NAD83_2011&amp;t_coor=geo&amp;t_v_frame=MLLW&amp;t_v_unit=us_ft", "NAVD88 to MLLW")</f>
        <v>0</v>
      </c>
      <c r="AZ59" s="2">
        <f>HYPERLINK("https://vdatum.noaa.gov/vdatumweb/api/convert?s_x=-71.41&amp;s_y=41.58694&amp;s_z=0.0&amp;region=contiguous&amp;s_h_frame=NAD83_2011&amp;s_coor=geo&amp;s_v_frame=NAVD88&amp;s_v_unit=us_ft&amp;t_h_frame=NAD83_2011&amp;t_coor=geo&amp;t_v_frame=MHHW&amp;t_v_unit=us_ft", "NAVD88 to MHHW")</f>
        <v>0</v>
      </c>
    </row>
    <row r="60" spans="1:52">
      <c r="A60" s="1" t="s">
        <v>84</v>
      </c>
      <c r="B60" s="1" t="s">
        <v>614</v>
      </c>
      <c r="D60" s="1" t="s">
        <v>652</v>
      </c>
      <c r="H60" s="1" t="s">
        <v>1758</v>
      </c>
      <c r="I60" s="1" t="s">
        <v>1858</v>
      </c>
      <c r="J60" s="1" t="s">
        <v>1874</v>
      </c>
      <c r="K60" s="1" t="s">
        <v>2036</v>
      </c>
      <c r="L60" s="1">
        <v>-71.86</v>
      </c>
      <c r="M60" s="1">
        <v>41.305</v>
      </c>
      <c r="N60" s="1">
        <v>8458694</v>
      </c>
      <c r="O60" s="1" t="s">
        <v>860</v>
      </c>
      <c r="P60" s="1" t="s">
        <v>866</v>
      </c>
      <c r="Q60" s="2">
        <f>HYPERLINK("https://tidesandcurrents.noaa.gov/stationhome.html?id=8458694", "Station Info")</f>
        <v>0</v>
      </c>
      <c r="R60" s="2">
        <f>HYPERLINK("https://tidesandcurrents.noaa.gov/datums.html?datum=MLLW&amp;units=0&amp;epoch=0&amp;id=8458694", "Datum Info")</f>
        <v>0</v>
      </c>
      <c r="S60" s="2">
        <f>HYPERLINK("https://api.tidesandcurrents.noaa.gov/mdapi/prod/webapi/stations/8458694.json", "More Info")</f>
        <v>0</v>
      </c>
      <c r="T60" s="1">
        <v>4011255</v>
      </c>
      <c r="U60" s="1">
        <v>0</v>
      </c>
      <c r="V60" s="1" t="s">
        <v>869</v>
      </c>
      <c r="W60" s="1" t="s">
        <v>874</v>
      </c>
      <c r="X60" s="1" t="s">
        <v>886</v>
      </c>
      <c r="Y60" s="1">
        <v>3</v>
      </c>
      <c r="Z60" s="1">
        <v>2.72</v>
      </c>
      <c r="AA60" s="1">
        <v>1.43</v>
      </c>
      <c r="AB60" s="1">
        <v>1.5</v>
      </c>
      <c r="AC60" s="1">
        <v>1.5</v>
      </c>
      <c r="AD60" s="1">
        <v>0.15</v>
      </c>
      <c r="AE60" s="1">
        <v>0</v>
      </c>
      <c r="AF60" s="1">
        <v>1.81</v>
      </c>
      <c r="AG60" s="1">
        <v>-2.46</v>
      </c>
      <c r="AH60" s="1" t="s">
        <v>1109</v>
      </c>
      <c r="AI60" s="1" t="s">
        <v>1381</v>
      </c>
      <c r="AJ60" s="1">
        <v>1.801</v>
      </c>
      <c r="AK60" s="1">
        <v>-1.202</v>
      </c>
      <c r="AL60" s="1" t="s">
        <v>887</v>
      </c>
      <c r="AM60" s="1">
        <v>0</v>
      </c>
      <c r="AN60" s="1" t="s">
        <v>1621</v>
      </c>
      <c r="AS60" s="1">
        <v>4.5</v>
      </c>
      <c r="AT60" s="1">
        <v>5</v>
      </c>
      <c r="AU60" s="1">
        <v>8</v>
      </c>
      <c r="AV60" s="1">
        <v>9.5</v>
      </c>
      <c r="AW60" s="1" t="s">
        <v>1744</v>
      </c>
      <c r="AX60" s="2">
        <f>HYPERLINK("https://water.weather.gov/ahps2/hydrograph.php?wfo=box&amp;gage=whlr1", "AHPS Data")</f>
        <v>0</v>
      </c>
      <c r="AY60" s="2">
        <f>HYPERLINK("https://vdatum.noaa.gov/vdatumweb/api/convert?s_x=-71.86&amp;s_y=41.305&amp;s_z=0.0&amp;region=contiguous&amp;s_h_frame=NAD83_2011&amp;s_coor=geo&amp;s_v_frame=NAVD88&amp;s_v_unit=us_ft&amp;t_h_frame=NAD83_2011&amp;t_coor=geo&amp;t_v_frame=MLLW&amp;t_v_unit=us_ft", "NAVD88 to MLLW")</f>
        <v>0</v>
      </c>
      <c r="AZ60" s="2">
        <f>HYPERLINK("https://vdatum.noaa.gov/vdatumweb/api/convert?s_x=-71.86&amp;s_y=41.305&amp;s_z=0.0&amp;region=contiguous&amp;s_h_frame=NAD83_2011&amp;s_coor=geo&amp;s_v_frame=NAVD88&amp;s_v_unit=us_ft&amp;t_h_frame=NAD83_2011&amp;t_coor=geo&amp;t_v_frame=MHHW&amp;t_v_unit=us_ft", "NAVD88 to MHHW")</f>
        <v>0</v>
      </c>
    </row>
    <row r="61" spans="1:52">
      <c r="A61" s="1" t="s">
        <v>85</v>
      </c>
      <c r="B61" s="1" t="s">
        <v>614</v>
      </c>
      <c r="C61" s="1" t="s">
        <v>646</v>
      </c>
      <c r="D61" s="1" t="s">
        <v>652</v>
      </c>
      <c r="E61" s="1" t="s">
        <v>678</v>
      </c>
      <c r="F61" s="1" t="s">
        <v>834</v>
      </c>
      <c r="G61" s="1" t="s">
        <v>854</v>
      </c>
      <c r="J61" s="1" t="s">
        <v>1875</v>
      </c>
      <c r="L61" s="1">
        <v>-70.87283001</v>
      </c>
      <c r="M61" s="1">
        <v>42.8156381</v>
      </c>
      <c r="N61" s="1" t="s">
        <v>2183</v>
      </c>
      <c r="O61" s="1" t="s">
        <v>861</v>
      </c>
      <c r="P61" s="1" t="s">
        <v>867</v>
      </c>
      <c r="Q61" s="2">
        <f>HYPERLINK("https://waterdata.usgs.gov/nwis/nwismap/?site_no=01100870&amp;agency_cd=USGS", "Station Info")</f>
        <v>0</v>
      </c>
      <c r="R61" s="2">
        <f>HYPERLINK("https://waterservices.usgs.gov/nwis/site/?site=01100870&amp;format=rdb", "Datum Info")</f>
        <v>0</v>
      </c>
      <c r="T61" s="1">
        <v>2421213</v>
      </c>
      <c r="U61" s="1">
        <v>0</v>
      </c>
      <c r="V61" s="1" t="s">
        <v>869</v>
      </c>
      <c r="W61" s="1" t="s">
        <v>874</v>
      </c>
      <c r="X61" s="1" t="s">
        <v>887</v>
      </c>
      <c r="AF61" s="1" t="s">
        <v>956</v>
      </c>
      <c r="AJ61" s="1">
        <v>4.219</v>
      </c>
      <c r="AK61" s="1">
        <v>-4.539</v>
      </c>
      <c r="AY61" s="2">
        <f>HYPERLINK("https://vdatum.noaa.gov/vdatumweb/api/convert?s_x=-70.87283001&amp;s_y=42.8156381&amp;s_z=0.0&amp;region=contiguous&amp;s_h_frame=NAD83_2011&amp;s_coor=geo&amp;s_v_frame=NAVD88&amp;s_v_unit=us_ft&amp;t_h_frame=NAD83_2011&amp;t_coor=geo&amp;t_v_frame=MLLW&amp;t_v_unit=us_ft", "NAVD88 to MLLW")</f>
        <v>0</v>
      </c>
      <c r="AZ61" s="2">
        <f>HYPERLINK("https://vdatum.noaa.gov/vdatumweb/api/convert?s_x=-70.87283001&amp;s_y=42.8156381&amp;s_z=0.0&amp;region=contiguous&amp;s_h_frame=NAD83_2011&amp;s_coor=geo&amp;s_v_frame=NAVD88&amp;s_v_unit=us_ft&amp;t_h_frame=NAD83_2011&amp;t_coor=geo&amp;t_v_frame=MHHW&amp;t_v_unit=us_ft", "NAVD88 to MHHW")</f>
        <v>0</v>
      </c>
    </row>
    <row r="62" spans="1:52">
      <c r="A62" s="1" t="s">
        <v>86</v>
      </c>
      <c r="B62" s="1" t="s">
        <v>614</v>
      </c>
      <c r="C62" s="1" t="s">
        <v>646</v>
      </c>
      <c r="D62" s="1" t="s">
        <v>652</v>
      </c>
      <c r="E62" s="1" t="s">
        <v>685</v>
      </c>
      <c r="F62" s="1" t="s">
        <v>835</v>
      </c>
      <c r="G62" s="1" t="s">
        <v>854</v>
      </c>
      <c r="H62" s="1" t="s">
        <v>1759</v>
      </c>
      <c r="I62" s="1" t="s">
        <v>1858</v>
      </c>
      <c r="J62" s="1" t="s">
        <v>1876</v>
      </c>
      <c r="K62" s="1" t="s">
        <v>2037</v>
      </c>
      <c r="L62" s="1">
        <v>-71.83312391</v>
      </c>
      <c r="M62" s="1">
        <v>41.38370219</v>
      </c>
      <c r="N62" s="1" t="s">
        <v>2184</v>
      </c>
      <c r="O62" s="1" t="s">
        <v>861</v>
      </c>
      <c r="P62" s="1" t="s">
        <v>867</v>
      </c>
      <c r="Q62" s="2">
        <f>HYPERLINK("https://waterdata.usgs.gov/nwis/nwismap/?site_no=01118500&amp;agency_cd=USGS", "Station Info")</f>
        <v>0</v>
      </c>
      <c r="R62" s="2">
        <f>HYPERLINK("https://waterservices.usgs.gov/nwis/site/?site=01118500&amp;format=rdb", "Datum Info")</f>
        <v>0</v>
      </c>
      <c r="T62" s="1">
        <v>2233516</v>
      </c>
      <c r="U62" s="1">
        <v>-0.82</v>
      </c>
      <c r="V62" s="1" t="s">
        <v>869</v>
      </c>
      <c r="W62" s="1" t="s">
        <v>874</v>
      </c>
      <c r="X62" s="1" t="s">
        <v>887</v>
      </c>
      <c r="AF62" s="1" t="s">
        <v>967</v>
      </c>
      <c r="AJ62" s="1">
        <v>1.848</v>
      </c>
      <c r="AK62" s="1">
        <v>-1.287</v>
      </c>
      <c r="AL62" s="1" t="s">
        <v>887</v>
      </c>
      <c r="AM62" s="1">
        <v>-2.68</v>
      </c>
      <c r="AN62" s="1" t="s">
        <v>1311</v>
      </c>
      <c r="AS62" s="1">
        <v>6</v>
      </c>
      <c r="AT62" s="1">
        <v>7</v>
      </c>
      <c r="AU62" s="1">
        <v>9</v>
      </c>
      <c r="AV62" s="1">
        <v>11</v>
      </c>
      <c r="AW62" s="1" t="s">
        <v>1744</v>
      </c>
      <c r="AX62" s="2">
        <f>HYPERLINK("https://water.weather.gov/ahps2/hydrograph.php?wfo=box&amp;gage=wstr1", "AHPS Data")</f>
        <v>0</v>
      </c>
      <c r="AY62" s="2">
        <f>HYPERLINK("https://vdatum.noaa.gov/vdatumweb/api/convert?s_x=-71.83312391&amp;s_y=41.38370219&amp;s_z=0.0&amp;region=contiguous&amp;s_h_frame=NAD83_2011&amp;s_coor=geo&amp;s_v_frame=NAVD88&amp;s_v_unit=us_ft&amp;t_h_frame=NAD83_2011&amp;t_coor=geo&amp;t_v_frame=MLLW&amp;t_v_unit=us_ft", "NAVD88 to MLLW")</f>
        <v>0</v>
      </c>
      <c r="AZ62" s="2">
        <f>HYPERLINK("https://vdatum.noaa.gov/vdatumweb/api/convert?s_x=-71.83312391&amp;s_y=41.38370219&amp;s_z=0.0&amp;region=contiguous&amp;s_h_frame=NAD83_2011&amp;s_coor=geo&amp;s_v_frame=NAVD88&amp;s_v_unit=us_ft&amp;t_h_frame=NAD83_2011&amp;t_coor=geo&amp;t_v_frame=MHHW&amp;t_v_unit=us_ft", "NAVD88 to MHHW")</f>
        <v>0</v>
      </c>
    </row>
    <row r="63" spans="1:52">
      <c r="A63" s="1" t="s">
        <v>87</v>
      </c>
      <c r="B63" s="1" t="s">
        <v>615</v>
      </c>
      <c r="D63" s="1" t="s">
        <v>652</v>
      </c>
      <c r="L63" s="1">
        <v>-66.9829</v>
      </c>
      <c r="M63" s="1">
        <v>44.9046</v>
      </c>
      <c r="N63" s="1">
        <v>8410140</v>
      </c>
      <c r="O63" s="1" t="s">
        <v>860</v>
      </c>
      <c r="P63" s="1" t="s">
        <v>866</v>
      </c>
      <c r="Q63" s="2">
        <f>HYPERLINK("https://tidesandcurrents.noaa.gov/stationhome.html?id=8410140", "Station Info")</f>
        <v>0</v>
      </c>
      <c r="R63" s="2">
        <f>HYPERLINK("https://tidesandcurrents.noaa.gov/datums.html?datum=MLLW&amp;units=0&amp;epoch=0&amp;id=8410140", "Datum Info")</f>
        <v>0</v>
      </c>
      <c r="S63" s="2">
        <f>HYPERLINK("https://api.tidesandcurrents.noaa.gov/mdapi/prod/webapi/stations/8410140.json", "More Info")</f>
        <v>0</v>
      </c>
      <c r="T63" s="1">
        <v>3513131</v>
      </c>
      <c r="U63" s="1">
        <v>0</v>
      </c>
      <c r="V63" s="1" t="s">
        <v>869</v>
      </c>
      <c r="W63" s="1" t="s">
        <v>874</v>
      </c>
      <c r="X63" s="1" t="s">
        <v>886</v>
      </c>
      <c r="Y63" s="1">
        <v>19.27</v>
      </c>
      <c r="Z63" s="1">
        <v>18.79</v>
      </c>
      <c r="AA63" s="1">
        <v>9.619999999999999</v>
      </c>
      <c r="AB63" s="1">
        <v>9.699999999999999</v>
      </c>
      <c r="AC63" s="1">
        <v>9.630000000000001</v>
      </c>
      <c r="AD63" s="1">
        <v>0.44</v>
      </c>
      <c r="AE63" s="1">
        <v>0</v>
      </c>
      <c r="AF63" s="1">
        <v>9.93</v>
      </c>
      <c r="AG63" s="1">
        <v>-4.8</v>
      </c>
      <c r="AH63" s="1" t="s">
        <v>1110</v>
      </c>
      <c r="AI63" s="1" t="s">
        <v>1382</v>
      </c>
      <c r="AJ63" s="1">
        <v>9.933</v>
      </c>
      <c r="AK63" s="1">
        <v>-9.333</v>
      </c>
      <c r="AY63" s="2">
        <f>HYPERLINK("https://vdatum.noaa.gov/vdatumweb/api/convert?s_x=-66.9829&amp;s_y=44.9046&amp;s_z=0.0&amp;region=contiguous&amp;s_h_frame=NAD83_2011&amp;s_coor=geo&amp;s_v_frame=NAVD88&amp;s_v_unit=us_ft&amp;t_h_frame=NAD83_2011&amp;t_coor=geo&amp;t_v_frame=MLLW&amp;t_v_unit=us_ft", "NAVD88 to MLLW")</f>
        <v>0</v>
      </c>
      <c r="AZ63" s="2">
        <f>HYPERLINK("https://vdatum.noaa.gov/vdatumweb/api/convert?s_x=-66.9829&amp;s_y=44.9046&amp;s_z=0.0&amp;region=contiguous&amp;s_h_frame=NAD83_2011&amp;s_coor=geo&amp;s_v_frame=NAVD88&amp;s_v_unit=us_ft&amp;t_h_frame=NAD83_2011&amp;t_coor=geo&amp;t_v_frame=MHHW&amp;t_v_unit=us_ft", "NAVD88 to MHHW")</f>
        <v>0</v>
      </c>
    </row>
    <row r="64" spans="1:52">
      <c r="A64" s="1" t="s">
        <v>88</v>
      </c>
      <c r="B64" s="1" t="s">
        <v>615</v>
      </c>
      <c r="D64" s="1" t="s">
        <v>652</v>
      </c>
      <c r="E64" s="1" t="s">
        <v>685</v>
      </c>
      <c r="F64" s="1" t="s">
        <v>836</v>
      </c>
      <c r="G64" s="1" t="s">
        <v>854</v>
      </c>
      <c r="L64" s="1">
        <v>-67.1447</v>
      </c>
      <c r="M64" s="1">
        <v>45.1284</v>
      </c>
      <c r="N64" s="1">
        <v>8410834</v>
      </c>
      <c r="O64" s="1" t="s">
        <v>861</v>
      </c>
      <c r="P64" s="1" t="s">
        <v>866</v>
      </c>
      <c r="Q64" s="2">
        <f>HYPERLINK("https://tidesandcurrents.noaa.gov/stationhome.html?id=8410834", "Station Info")</f>
        <v>0</v>
      </c>
      <c r="R64" s="2">
        <f>HYPERLINK("https://tidesandcurrents.noaa.gov/datums.html?datum=MLLW&amp;units=0&amp;epoch=0&amp;id=8410834", "Datum Info")</f>
        <v>0</v>
      </c>
      <c r="S64" s="2">
        <f>HYPERLINK("https://api.tidesandcurrents.noaa.gov/mdapi/prod/webapi/stations/8410834.json", "More Info")</f>
        <v>0</v>
      </c>
      <c r="T64" s="1">
        <v>2212482</v>
      </c>
      <c r="U64" s="1">
        <v>-3.96</v>
      </c>
      <c r="V64" s="1" t="s">
        <v>869</v>
      </c>
      <c r="W64" s="1" t="s">
        <v>874</v>
      </c>
      <c r="X64" s="1" t="s">
        <v>886</v>
      </c>
      <c r="Y64" s="1">
        <v>20.52</v>
      </c>
      <c r="Z64" s="1">
        <v>20.03</v>
      </c>
      <c r="AA64" s="1">
        <v>10.24</v>
      </c>
      <c r="AB64" s="1">
        <v>10.27</v>
      </c>
      <c r="AC64" s="1">
        <v>10.26</v>
      </c>
      <c r="AD64" s="1">
        <v>0.46</v>
      </c>
      <c r="AE64" s="1">
        <v>0</v>
      </c>
      <c r="AG64" s="1">
        <v>-7.89</v>
      </c>
      <c r="AJ64" s="1">
        <v>-999999</v>
      </c>
      <c r="AK64" s="1">
        <v>-999999</v>
      </c>
      <c r="AY64" s="2">
        <f>HYPERLINK("https://vdatum.noaa.gov/vdatumweb/api/convert?s_x=-67.1447&amp;s_y=45.1284&amp;s_z=0.0&amp;region=contiguous&amp;s_h_frame=NAD83_2011&amp;s_coor=geo&amp;s_v_frame=NAVD88&amp;s_v_unit=us_ft&amp;t_h_frame=NAD83_2011&amp;t_coor=geo&amp;t_v_frame=MLLW&amp;t_v_unit=us_ft", "Missing")</f>
        <v>0</v>
      </c>
      <c r="AZ64" s="2">
        <f>HYPERLINK("https://vdatum.noaa.gov/vdatumweb/api/convert?s_x=-67.1447&amp;s_y=45.1284&amp;s_z=0.0&amp;region=contiguous&amp;s_h_frame=NAD83_2011&amp;s_coor=geo&amp;s_v_frame=NAVD88&amp;s_v_unit=us_ft&amp;t_h_frame=NAD83_2011&amp;t_coor=geo&amp;t_v_frame=MHHW&amp;t_v_unit=us_ft", "Missing")</f>
        <v>0</v>
      </c>
    </row>
    <row r="65" spans="1:52">
      <c r="A65" s="1" t="s">
        <v>89</v>
      </c>
      <c r="B65" s="1" t="s">
        <v>615</v>
      </c>
      <c r="C65" s="1" t="s">
        <v>646</v>
      </c>
      <c r="D65" s="1" t="s">
        <v>652</v>
      </c>
      <c r="E65" s="1" t="s">
        <v>685</v>
      </c>
      <c r="F65" s="1" t="s">
        <v>836</v>
      </c>
      <c r="G65" s="1" t="s">
        <v>854</v>
      </c>
      <c r="L65" s="1">
        <v>-67.2047</v>
      </c>
      <c r="M65" s="1">
        <v>44.65703</v>
      </c>
      <c r="N65" s="1">
        <v>8411060</v>
      </c>
      <c r="O65" s="1" t="s">
        <v>860</v>
      </c>
      <c r="P65" s="1" t="s">
        <v>866</v>
      </c>
      <c r="Q65" s="2">
        <f>HYPERLINK("https://tidesandcurrents.noaa.gov/stationhome.html?id=8411060", "Station Info")</f>
        <v>0</v>
      </c>
      <c r="R65" s="2">
        <f>HYPERLINK("https://tidesandcurrents.noaa.gov/datums.html?datum=MLLW&amp;units=0&amp;epoch=0&amp;id=8411060", "Datum Info")</f>
        <v>0</v>
      </c>
      <c r="S65" s="2">
        <f>HYPERLINK("https://api.tidesandcurrents.noaa.gov/mdapi/prod/webapi/stations/8411060.json", "More Info")</f>
        <v>0</v>
      </c>
      <c r="T65" s="1">
        <v>2224322</v>
      </c>
      <c r="U65" s="1">
        <v>0</v>
      </c>
      <c r="V65" s="1" t="s">
        <v>869</v>
      </c>
      <c r="W65" s="1" t="s">
        <v>874</v>
      </c>
      <c r="X65" s="1" t="s">
        <v>886</v>
      </c>
      <c r="Y65" s="1">
        <v>14.56</v>
      </c>
      <c r="Z65" s="1">
        <v>14.11</v>
      </c>
      <c r="AA65" s="1">
        <v>7.25</v>
      </c>
      <c r="AB65" s="1">
        <v>7.19</v>
      </c>
      <c r="AC65" s="1">
        <v>7.28</v>
      </c>
      <c r="AD65" s="1">
        <v>0.4</v>
      </c>
      <c r="AE65" s="1">
        <v>0</v>
      </c>
      <c r="AF65" s="1">
        <v>7.52</v>
      </c>
      <c r="AG65" s="1">
        <v>-5.47</v>
      </c>
      <c r="AH65" s="1" t="s">
        <v>1111</v>
      </c>
      <c r="AI65" s="1" t="s">
        <v>1383</v>
      </c>
      <c r="AJ65" s="1">
        <v>7.692</v>
      </c>
      <c r="AK65" s="1">
        <v>-7.078</v>
      </c>
      <c r="AY65" s="2">
        <f>HYPERLINK("https://vdatum.noaa.gov/vdatumweb/api/convert?s_x=-67.2047&amp;s_y=44.65703&amp;s_z=0.0&amp;region=contiguous&amp;s_h_frame=NAD83_2011&amp;s_coor=geo&amp;s_v_frame=NAVD88&amp;s_v_unit=us_ft&amp;t_h_frame=NAD83_2011&amp;t_coor=geo&amp;t_v_frame=MLLW&amp;t_v_unit=us_ft", "NAVD88 to MLLW")</f>
        <v>0</v>
      </c>
      <c r="AZ65" s="2">
        <f>HYPERLINK("https://vdatum.noaa.gov/vdatumweb/api/convert?s_x=-67.2047&amp;s_y=44.65703&amp;s_z=0.0&amp;region=contiguous&amp;s_h_frame=NAD83_2011&amp;s_coor=geo&amp;s_v_frame=NAVD88&amp;s_v_unit=us_ft&amp;t_h_frame=NAD83_2011&amp;t_coor=geo&amp;t_v_frame=MHHW&amp;t_v_unit=us_ft", "NAVD88 to MHHW")</f>
        <v>0</v>
      </c>
    </row>
    <row r="66" spans="1:52">
      <c r="A66" s="1" t="s">
        <v>90</v>
      </c>
      <c r="B66" s="1" t="s">
        <v>615</v>
      </c>
      <c r="C66" s="1" t="s">
        <v>646</v>
      </c>
      <c r="D66" s="1" t="s">
        <v>652</v>
      </c>
      <c r="L66" s="1">
        <v>-67.4967</v>
      </c>
      <c r="M66" s="1">
        <v>44.615</v>
      </c>
      <c r="N66" s="1">
        <v>8411696</v>
      </c>
      <c r="O66" s="1" t="s">
        <v>861</v>
      </c>
      <c r="P66" s="1" t="s">
        <v>866</v>
      </c>
      <c r="Q66" s="2">
        <f>HYPERLINK("https://tidesandcurrents.noaa.gov/stationhome.html?id=8411696", "Station Info")</f>
        <v>0</v>
      </c>
      <c r="R66" s="2">
        <f>HYPERLINK("https://tidesandcurrents.noaa.gov/datums.html?datum=MLLW&amp;units=0&amp;epoch=0&amp;id=8411696", "Datum Info")</f>
        <v>0</v>
      </c>
      <c r="S66" s="2">
        <f>HYPERLINK("https://api.tidesandcurrents.noaa.gov/mdapi/prod/webapi/stations/8411696.json", "More Info")</f>
        <v>0</v>
      </c>
      <c r="T66" s="1">
        <v>3171646</v>
      </c>
      <c r="U66" s="1">
        <v>0</v>
      </c>
      <c r="V66" s="1" t="s">
        <v>869</v>
      </c>
      <c r="W66" s="1" t="s">
        <v>874</v>
      </c>
      <c r="AJ66" s="1">
        <v>6.809</v>
      </c>
      <c r="AK66" s="1">
        <v>-6.408</v>
      </c>
      <c r="AY66" s="2">
        <f>HYPERLINK("https://vdatum.noaa.gov/vdatumweb/api/convert?s_x=-67.4967&amp;s_y=44.615&amp;s_z=0.0&amp;region=contiguous&amp;s_h_frame=NAD83_2011&amp;s_coor=geo&amp;s_v_frame=NAVD88&amp;s_v_unit=us_ft&amp;t_h_frame=NAD83_2011&amp;t_coor=geo&amp;t_v_frame=MLLW&amp;t_v_unit=us_ft", "NAVD88 to MLLW")</f>
        <v>0</v>
      </c>
      <c r="AZ66" s="2">
        <f>HYPERLINK("https://vdatum.noaa.gov/vdatumweb/api/convert?s_x=-67.4967&amp;s_y=44.615&amp;s_z=0.0&amp;region=contiguous&amp;s_h_frame=NAD83_2011&amp;s_coor=geo&amp;s_v_frame=NAVD88&amp;s_v_unit=us_ft&amp;t_h_frame=NAD83_2011&amp;t_coor=geo&amp;t_v_frame=MHHW&amp;t_v_unit=us_ft", "NAVD88 to MHHW")</f>
        <v>0</v>
      </c>
    </row>
    <row r="67" spans="1:52">
      <c r="A67" s="1" t="s">
        <v>91</v>
      </c>
      <c r="B67" s="1" t="s">
        <v>615</v>
      </c>
      <c r="C67" s="1" t="s">
        <v>646</v>
      </c>
      <c r="D67" s="1" t="s">
        <v>652</v>
      </c>
      <c r="E67" s="1" t="s">
        <v>685</v>
      </c>
      <c r="F67" s="1" t="s">
        <v>836</v>
      </c>
      <c r="G67" s="1" t="s">
        <v>854</v>
      </c>
      <c r="L67" s="1">
        <v>-67.875</v>
      </c>
      <c r="M67" s="1">
        <v>44.54</v>
      </c>
      <c r="N67" s="1">
        <v>8412581</v>
      </c>
      <c r="O67" s="1" t="s">
        <v>861</v>
      </c>
      <c r="P67" s="1" t="s">
        <v>866</v>
      </c>
      <c r="Q67" s="2">
        <f>HYPERLINK("https://tidesandcurrents.noaa.gov/stationhome.html?id=8412581", "Station Info")</f>
        <v>0</v>
      </c>
      <c r="R67" s="2">
        <f>HYPERLINK("https://tidesandcurrents.noaa.gov/datums.html?datum=MLLW&amp;units=0&amp;epoch=0&amp;id=8412581", "Datum Info")</f>
        <v>0</v>
      </c>
      <c r="S67" s="2">
        <f>HYPERLINK("https://api.tidesandcurrents.noaa.gov/mdapi/prod/webapi/stations/8412581.json", "More Info")</f>
        <v>0</v>
      </c>
      <c r="T67" s="1">
        <v>2990394</v>
      </c>
      <c r="U67" s="1">
        <v>0</v>
      </c>
      <c r="V67" s="1" t="s">
        <v>869</v>
      </c>
      <c r="W67" s="1" t="s">
        <v>874</v>
      </c>
      <c r="X67" s="1" t="s">
        <v>886</v>
      </c>
      <c r="Y67" s="1">
        <v>12.12</v>
      </c>
      <c r="Z67" s="1">
        <v>11.69</v>
      </c>
      <c r="AA67" s="1">
        <v>6.03</v>
      </c>
      <c r="AB67" s="1">
        <v>6.08</v>
      </c>
      <c r="AC67" s="1">
        <v>6.06</v>
      </c>
      <c r="AD67" s="1">
        <v>0.38</v>
      </c>
      <c r="AE67" s="1">
        <v>0</v>
      </c>
      <c r="AF67" s="1">
        <v>6.26</v>
      </c>
      <c r="AG67" s="1">
        <v>-12.28</v>
      </c>
      <c r="AH67" s="1" t="s">
        <v>1112</v>
      </c>
      <c r="AI67" s="1" t="s">
        <v>1384</v>
      </c>
      <c r="AJ67" s="1">
        <v>6.253</v>
      </c>
      <c r="AK67" s="1">
        <v>-5.866</v>
      </c>
      <c r="AY67" s="2">
        <f>HYPERLINK("https://vdatum.noaa.gov/vdatumweb/api/convert?s_x=-67.875&amp;s_y=44.54&amp;s_z=0.0&amp;region=contiguous&amp;s_h_frame=NAD83_2011&amp;s_coor=geo&amp;s_v_frame=NAVD88&amp;s_v_unit=us_ft&amp;t_h_frame=NAD83_2011&amp;t_coor=geo&amp;t_v_frame=MLLW&amp;t_v_unit=us_ft", "NAVD88 to MLLW")</f>
        <v>0</v>
      </c>
      <c r="AZ67" s="2">
        <f>HYPERLINK("https://vdatum.noaa.gov/vdatumweb/api/convert?s_x=-67.875&amp;s_y=44.54&amp;s_z=0.0&amp;region=contiguous&amp;s_h_frame=NAD83_2011&amp;s_coor=geo&amp;s_v_frame=NAVD88&amp;s_v_unit=us_ft&amp;t_h_frame=NAD83_2011&amp;t_coor=geo&amp;t_v_frame=MHHW&amp;t_v_unit=us_ft", "NAVD88 to MHHW")</f>
        <v>0</v>
      </c>
    </row>
    <row r="68" spans="1:52">
      <c r="A68" s="1" t="s">
        <v>92</v>
      </c>
      <c r="B68" s="1" t="s">
        <v>615</v>
      </c>
      <c r="D68" s="1" t="s">
        <v>652</v>
      </c>
      <c r="L68" s="1">
        <v>-68.2043</v>
      </c>
      <c r="M68" s="1">
        <v>44.39219</v>
      </c>
      <c r="N68" s="1">
        <v>8413320</v>
      </c>
      <c r="O68" s="1" t="s">
        <v>860</v>
      </c>
      <c r="P68" s="1" t="s">
        <v>866</v>
      </c>
      <c r="Q68" s="2">
        <f>HYPERLINK("https://tidesandcurrents.noaa.gov/stationhome.html?id=8413320", "Station Info")</f>
        <v>0</v>
      </c>
      <c r="R68" s="2">
        <f>HYPERLINK("https://tidesandcurrents.noaa.gov/datums.html?datum=MLLW&amp;units=0&amp;epoch=0&amp;id=8413320", "Datum Info")</f>
        <v>0</v>
      </c>
      <c r="S68" s="2">
        <f>HYPERLINK("https://api.tidesandcurrents.noaa.gov/mdapi/prod/webapi/stations/8413320.json", "More Info")</f>
        <v>0</v>
      </c>
      <c r="T68" s="1">
        <v>6678151</v>
      </c>
      <c r="U68" s="1">
        <v>-0.08400000000000001</v>
      </c>
      <c r="V68" s="1" t="s">
        <v>869</v>
      </c>
      <c r="W68" s="1" t="s">
        <v>874</v>
      </c>
      <c r="X68" s="1" t="s">
        <v>886</v>
      </c>
      <c r="Y68" s="1">
        <v>11.37</v>
      </c>
      <c r="Z68" s="1">
        <v>10.95</v>
      </c>
      <c r="AA68" s="1">
        <v>5.66</v>
      </c>
      <c r="AB68" s="1">
        <v>5.67</v>
      </c>
      <c r="AC68" s="1">
        <v>5.69</v>
      </c>
      <c r="AD68" s="1">
        <v>0.38</v>
      </c>
      <c r="AE68" s="1">
        <v>0</v>
      </c>
      <c r="AF68" s="1" t="s">
        <v>968</v>
      </c>
      <c r="AG68" s="1">
        <v>-3.47</v>
      </c>
      <c r="AH68" s="1" t="s">
        <v>1113</v>
      </c>
      <c r="AI68" s="1" t="s">
        <v>1385</v>
      </c>
      <c r="AJ68" s="1">
        <v>5.945</v>
      </c>
      <c r="AK68" s="1">
        <v>-5.427</v>
      </c>
      <c r="AY68" s="2">
        <f>HYPERLINK("https://vdatum.noaa.gov/vdatumweb/api/convert?s_x=-68.2043&amp;s_y=44.39219&amp;s_z=0.0&amp;region=contiguous&amp;s_h_frame=NAD83_2011&amp;s_coor=geo&amp;s_v_frame=NAVD88&amp;s_v_unit=us_ft&amp;t_h_frame=NAD83_2011&amp;t_coor=geo&amp;t_v_frame=MLLW&amp;t_v_unit=us_ft", "NAVD88 to MLLW")</f>
        <v>0</v>
      </c>
      <c r="AZ68" s="2">
        <f>HYPERLINK("https://vdatum.noaa.gov/vdatumweb/api/convert?s_x=-68.2043&amp;s_y=44.39219&amp;s_z=0.0&amp;region=contiguous&amp;s_h_frame=NAD83_2011&amp;s_coor=geo&amp;s_v_frame=NAVD88&amp;s_v_unit=us_ft&amp;t_h_frame=NAD83_2011&amp;t_coor=geo&amp;t_v_frame=MHHW&amp;t_v_unit=us_ft", "NAVD88 to MHHW")</f>
        <v>0</v>
      </c>
    </row>
    <row r="69" spans="1:52">
      <c r="A69" s="1" t="s">
        <v>93</v>
      </c>
      <c r="B69" s="1" t="s">
        <v>615</v>
      </c>
      <c r="D69" s="1" t="s">
        <v>652</v>
      </c>
      <c r="L69" s="1">
        <v>-68.68000000000001</v>
      </c>
      <c r="M69" s="1">
        <v>44.28</v>
      </c>
      <c r="N69" s="1" t="s">
        <v>859</v>
      </c>
      <c r="O69" s="1" t="s">
        <v>861</v>
      </c>
      <c r="P69" s="1" t="s">
        <v>859</v>
      </c>
      <c r="T69" s="1">
        <v>4435239</v>
      </c>
      <c r="U69" s="1">
        <v>0</v>
      </c>
      <c r="V69" s="1" t="s">
        <v>869</v>
      </c>
      <c r="W69" s="1" t="s">
        <v>874</v>
      </c>
      <c r="AJ69" s="1">
        <v>5.774</v>
      </c>
      <c r="AK69" s="1">
        <v>-5.104</v>
      </c>
      <c r="AY69" s="2">
        <f>HYPERLINK("https://vdatum.noaa.gov/vdatumweb/api/convert?s_x=-68.68&amp;s_y=44.28&amp;s_z=0.0&amp;region=contiguous&amp;s_h_frame=NAD83_2011&amp;s_coor=geo&amp;s_v_frame=NAVD88&amp;s_v_unit=us_ft&amp;t_h_frame=NAD83_2011&amp;t_coor=geo&amp;t_v_frame=MLLW&amp;t_v_unit=us_ft", "NAVD88 to MLLW")</f>
        <v>0</v>
      </c>
      <c r="AZ69" s="2">
        <f>HYPERLINK("https://vdatum.noaa.gov/vdatumweb/api/convert?s_x=-68.68&amp;s_y=44.28&amp;s_z=0.0&amp;region=contiguous&amp;s_h_frame=NAD83_2011&amp;s_coor=geo&amp;s_v_frame=NAVD88&amp;s_v_unit=us_ft&amp;t_h_frame=NAD83_2011&amp;t_coor=geo&amp;t_v_frame=MHHW&amp;t_v_unit=us_ft", "NAVD88 to MHHW")</f>
        <v>0</v>
      </c>
    </row>
    <row r="70" spans="1:52">
      <c r="A70" s="1" t="s">
        <v>94</v>
      </c>
      <c r="B70" s="1" t="s">
        <v>615</v>
      </c>
      <c r="C70" s="1" t="s">
        <v>646</v>
      </c>
      <c r="D70" s="1" t="s">
        <v>652</v>
      </c>
      <c r="E70" s="1" t="s">
        <v>685</v>
      </c>
      <c r="F70" s="1" t="s">
        <v>836</v>
      </c>
      <c r="G70" s="1" t="s">
        <v>854</v>
      </c>
      <c r="L70" s="1">
        <v>-67.45</v>
      </c>
      <c r="M70" s="1">
        <v>44.72</v>
      </c>
      <c r="N70" s="1" t="s">
        <v>859</v>
      </c>
      <c r="O70" s="1" t="s">
        <v>861</v>
      </c>
      <c r="P70" s="1" t="s">
        <v>859</v>
      </c>
      <c r="T70" s="1">
        <v>2803550</v>
      </c>
      <c r="U70" s="1">
        <v>0</v>
      </c>
      <c r="V70" s="1" t="s">
        <v>869</v>
      </c>
      <c r="W70" s="1" t="s">
        <v>874</v>
      </c>
      <c r="AJ70" s="1">
        <v>-999999</v>
      </c>
      <c r="AK70" s="1">
        <v>-999999</v>
      </c>
      <c r="AY70" s="2">
        <f>HYPERLINK("https://vdatum.noaa.gov/vdatumweb/api/convert?s_x=-67.45&amp;s_y=44.72&amp;s_z=0.0&amp;region=contiguous&amp;s_h_frame=NAD83_2011&amp;s_coor=geo&amp;s_v_frame=NAVD88&amp;s_v_unit=us_ft&amp;t_h_frame=NAD83_2011&amp;t_coor=geo&amp;t_v_frame=MLLW&amp;t_v_unit=us_ft", "Missing")</f>
        <v>0</v>
      </c>
      <c r="AZ70" s="2">
        <f>HYPERLINK("https://vdatum.noaa.gov/vdatumweb/api/convert?s_x=-67.45&amp;s_y=44.72&amp;s_z=0.0&amp;region=contiguous&amp;s_h_frame=NAD83_2011&amp;s_coor=geo&amp;s_v_frame=NAVD88&amp;s_v_unit=us_ft&amp;t_h_frame=NAD83_2011&amp;t_coor=geo&amp;t_v_frame=MHHW&amp;t_v_unit=us_ft", "Missing")</f>
        <v>0</v>
      </c>
    </row>
    <row r="71" spans="1:52">
      <c r="A71" s="1" t="s">
        <v>95</v>
      </c>
      <c r="B71" s="1" t="s">
        <v>615</v>
      </c>
      <c r="C71" s="1" t="s">
        <v>646</v>
      </c>
      <c r="D71" s="1" t="s">
        <v>652</v>
      </c>
      <c r="E71" s="1" t="s">
        <v>686</v>
      </c>
      <c r="F71" s="1" t="s">
        <v>836</v>
      </c>
      <c r="G71" s="1" t="s">
        <v>854</v>
      </c>
      <c r="H71" s="1" t="s">
        <v>1760</v>
      </c>
      <c r="I71" s="1" t="s">
        <v>1858</v>
      </c>
      <c r="J71" s="1" t="s">
        <v>1877</v>
      </c>
      <c r="K71" s="1" t="s">
        <v>2038</v>
      </c>
      <c r="L71" s="1">
        <v>-68.76777781</v>
      </c>
      <c r="M71" s="1">
        <v>44.7963797</v>
      </c>
      <c r="N71" s="1" t="s">
        <v>2185</v>
      </c>
      <c r="O71" s="1" t="s">
        <v>861</v>
      </c>
      <c r="P71" s="1" t="s">
        <v>867</v>
      </c>
      <c r="Q71" s="2">
        <f>HYPERLINK("https://waterdata.usgs.gov/nwis/nwismap/?site_no=01037050&amp;agency_cd=USGS", "Station Info")</f>
        <v>0</v>
      </c>
      <c r="R71" s="2">
        <f>HYPERLINK("https://waterservices.usgs.gov/nwis/site/?site=01037050&amp;format=rdb", "Datum Info")</f>
        <v>0</v>
      </c>
      <c r="T71" s="1">
        <v>2223306</v>
      </c>
      <c r="U71" s="1">
        <v>0</v>
      </c>
      <c r="V71" s="1" t="s">
        <v>869</v>
      </c>
      <c r="W71" s="1" t="s">
        <v>874</v>
      </c>
      <c r="X71" s="1" t="s">
        <v>887</v>
      </c>
      <c r="AF71" s="1" t="s">
        <v>958</v>
      </c>
      <c r="AJ71" s="1">
        <v>-999999</v>
      </c>
      <c r="AK71" s="1">
        <v>-999999</v>
      </c>
      <c r="AL71" s="1" t="s">
        <v>887</v>
      </c>
      <c r="AM71" s="1">
        <v>0</v>
      </c>
      <c r="AN71" s="1" t="s">
        <v>1427</v>
      </c>
      <c r="AS71" s="1">
        <v>10</v>
      </c>
      <c r="AT71" s="1">
        <v>11.6</v>
      </c>
      <c r="AU71" s="1">
        <v>13</v>
      </c>
      <c r="AV71" s="1">
        <v>15</v>
      </c>
      <c r="AW71" s="1" t="s">
        <v>1744</v>
      </c>
      <c r="AX71" s="2">
        <f>HYPERLINK("https://water.weather.gov/ahps2/hydrograph.php?wfo=car&amp;gage=bprm1", "AHPS Data")</f>
        <v>0</v>
      </c>
      <c r="AY71" s="2">
        <f>HYPERLINK("https://vdatum.noaa.gov/vdatumweb/api/convert?s_x=-68.76777781&amp;s_y=44.7963797&amp;s_z=0.0&amp;region=contiguous&amp;s_h_frame=NAD83_2011&amp;s_coor=geo&amp;s_v_frame=NAVD88&amp;s_v_unit=us_ft&amp;t_h_frame=NAD83_2011&amp;t_coor=geo&amp;t_v_frame=MLLW&amp;t_v_unit=us_ft", "Missing")</f>
        <v>0</v>
      </c>
      <c r="AZ71" s="2">
        <f>HYPERLINK("https://vdatum.noaa.gov/vdatumweb/api/convert?s_x=-68.76777781&amp;s_y=44.7963797&amp;s_z=0.0&amp;region=contiguous&amp;s_h_frame=NAD83_2011&amp;s_coor=geo&amp;s_v_frame=NAVD88&amp;s_v_unit=us_ft&amp;t_h_frame=NAD83_2011&amp;t_coor=geo&amp;t_v_frame=MHHW&amp;t_v_unit=us_ft", "Missing")</f>
        <v>0</v>
      </c>
    </row>
    <row r="72" spans="1:52">
      <c r="A72" s="1" t="s">
        <v>96</v>
      </c>
      <c r="B72" s="1" t="s">
        <v>616</v>
      </c>
      <c r="D72" s="1" t="s">
        <v>652</v>
      </c>
      <c r="L72" s="1">
        <v>-79.92359999999999</v>
      </c>
      <c r="M72" s="1">
        <v>32.78083</v>
      </c>
      <c r="N72" s="1">
        <v>8665530</v>
      </c>
      <c r="O72" s="1" t="s">
        <v>860</v>
      </c>
      <c r="P72" s="1" t="s">
        <v>866</v>
      </c>
      <c r="Q72" s="2">
        <f>HYPERLINK("https://tidesandcurrents.noaa.gov/stationhome.html?id=8665530", "Station Info")</f>
        <v>0</v>
      </c>
      <c r="R72" s="2">
        <f>HYPERLINK("https://tidesandcurrents.noaa.gov/datums.html?datum=MLLW&amp;units=0&amp;epoch=0&amp;id=8665530", "Datum Info")</f>
        <v>0</v>
      </c>
      <c r="S72" s="2">
        <f>HYPERLINK("https://api.tidesandcurrents.noaa.gov/mdapi/prod/webapi/stations/8665530.json", "More Info")</f>
        <v>0</v>
      </c>
      <c r="T72" s="1">
        <v>8374863</v>
      </c>
      <c r="U72" s="1">
        <v>0</v>
      </c>
      <c r="V72" s="1" t="s">
        <v>869</v>
      </c>
      <c r="W72" s="1" t="s">
        <v>874</v>
      </c>
      <c r="X72" s="1" t="s">
        <v>886</v>
      </c>
      <c r="Y72" s="1">
        <v>5.76</v>
      </c>
      <c r="Z72" s="1">
        <v>5.4</v>
      </c>
      <c r="AA72" s="1">
        <v>2.79</v>
      </c>
      <c r="AB72" s="1">
        <v>2.92</v>
      </c>
      <c r="AC72" s="1">
        <v>2.88</v>
      </c>
      <c r="AD72" s="1">
        <v>0.18</v>
      </c>
      <c r="AE72" s="1">
        <v>0</v>
      </c>
      <c r="AF72" s="1">
        <v>3.14</v>
      </c>
      <c r="AG72" s="1">
        <v>-2.77</v>
      </c>
      <c r="AH72" s="1" t="s">
        <v>1114</v>
      </c>
      <c r="AI72" s="1" t="s">
        <v>1386</v>
      </c>
      <c r="AJ72" s="1">
        <v>3.144</v>
      </c>
      <c r="AK72" s="1">
        <v>-2.623</v>
      </c>
      <c r="AY72" s="2">
        <f>HYPERLINK("https://vdatum.noaa.gov/vdatumweb/api/convert?s_x=-79.9236&amp;s_y=32.78083&amp;s_z=0.0&amp;region=contiguous&amp;s_h_frame=NAD83_2011&amp;s_coor=geo&amp;s_v_frame=NAVD88&amp;s_v_unit=us_ft&amp;t_h_frame=NAD83_2011&amp;t_coor=geo&amp;t_v_frame=MLLW&amp;t_v_unit=us_ft", "NAVD88 to MLLW")</f>
        <v>0</v>
      </c>
      <c r="AZ72" s="2">
        <f>HYPERLINK("https://vdatum.noaa.gov/vdatumweb/api/convert?s_x=-79.9236&amp;s_y=32.78083&amp;s_z=0.0&amp;region=contiguous&amp;s_h_frame=NAD83_2011&amp;s_coor=geo&amp;s_v_frame=NAVD88&amp;s_v_unit=us_ft&amp;t_h_frame=NAD83_2011&amp;t_coor=geo&amp;t_v_frame=MHHW&amp;t_v_unit=us_ft", "NAVD88 to MHHW")</f>
        <v>0</v>
      </c>
    </row>
    <row r="73" spans="1:52">
      <c r="A73" s="1" t="s">
        <v>97</v>
      </c>
      <c r="B73" s="1" t="s">
        <v>616</v>
      </c>
      <c r="C73" s="1" t="s">
        <v>645</v>
      </c>
      <c r="D73" s="1" t="s">
        <v>652</v>
      </c>
      <c r="E73" s="1" t="s">
        <v>687</v>
      </c>
      <c r="F73" s="1" t="s">
        <v>837</v>
      </c>
      <c r="G73" s="1" t="s">
        <v>854</v>
      </c>
      <c r="L73" s="1">
        <v>-80.1317</v>
      </c>
      <c r="M73" s="1">
        <v>32.6033</v>
      </c>
      <c r="N73" s="1">
        <v>8667062</v>
      </c>
      <c r="O73" s="1" t="s">
        <v>860</v>
      </c>
      <c r="P73" s="1" t="s">
        <v>866</v>
      </c>
      <c r="Q73" s="2">
        <f>HYPERLINK("https://tidesandcurrents.noaa.gov/stationhome.html?id=8667062", "Station Info")</f>
        <v>0</v>
      </c>
      <c r="R73" s="2">
        <f>HYPERLINK("https://tidesandcurrents.noaa.gov/datums.html?datum=MLLW&amp;units=0&amp;epoch=0&amp;id=8667062", "Datum Info")</f>
        <v>0</v>
      </c>
      <c r="S73" s="2">
        <f>HYPERLINK("https://api.tidesandcurrents.noaa.gov/mdapi/prod/webapi/stations/8667062.json", "More Info")</f>
        <v>0</v>
      </c>
      <c r="T73" s="1">
        <v>3067092</v>
      </c>
      <c r="U73" s="1">
        <v>0</v>
      </c>
      <c r="V73" s="1" t="s">
        <v>869</v>
      </c>
      <c r="W73" s="1" t="s">
        <v>874</v>
      </c>
      <c r="X73" s="1" t="s">
        <v>886</v>
      </c>
      <c r="Y73" s="1">
        <v>6.16</v>
      </c>
      <c r="Z73" s="1">
        <v>5.77</v>
      </c>
      <c r="AA73" s="1">
        <v>2.97</v>
      </c>
      <c r="AB73" s="1">
        <v>3.09</v>
      </c>
      <c r="AC73" s="1">
        <v>3.08</v>
      </c>
      <c r="AD73" s="1">
        <v>0.18</v>
      </c>
      <c r="AE73" s="1">
        <v>0</v>
      </c>
      <c r="AF73" s="1">
        <v>3.28</v>
      </c>
      <c r="AG73" s="1">
        <v>-1.76</v>
      </c>
      <c r="AH73" s="1" t="s">
        <v>1115</v>
      </c>
      <c r="AI73" s="1" t="s">
        <v>1387</v>
      </c>
      <c r="AJ73" s="1">
        <v>3.273</v>
      </c>
      <c r="AK73" s="1">
        <v>-2.88</v>
      </c>
      <c r="AY73" s="2">
        <f>HYPERLINK("https://vdatum.noaa.gov/vdatumweb/api/convert?s_x=-80.1317&amp;s_y=32.6033&amp;s_z=0.0&amp;region=contiguous&amp;s_h_frame=NAD83_2011&amp;s_coor=geo&amp;s_v_frame=NAVD88&amp;s_v_unit=us_ft&amp;t_h_frame=NAD83_2011&amp;t_coor=geo&amp;t_v_frame=MLLW&amp;t_v_unit=us_ft", "NAVD88 to MLLW")</f>
        <v>0</v>
      </c>
      <c r="AZ73" s="2">
        <f>HYPERLINK("https://vdatum.noaa.gov/vdatumweb/api/convert?s_x=-80.1317&amp;s_y=32.6033&amp;s_z=0.0&amp;region=contiguous&amp;s_h_frame=NAD83_2011&amp;s_coor=geo&amp;s_v_frame=NAVD88&amp;s_v_unit=us_ft&amp;t_h_frame=NAD83_2011&amp;t_coor=geo&amp;t_v_frame=MHHW&amp;t_v_unit=us_ft", "NAVD88 to MHHW")</f>
        <v>0</v>
      </c>
    </row>
    <row r="74" spans="1:52">
      <c r="A74" s="1" t="s">
        <v>98</v>
      </c>
      <c r="B74" s="1" t="s">
        <v>616</v>
      </c>
      <c r="C74" s="1" t="s">
        <v>645</v>
      </c>
      <c r="D74" s="1" t="s">
        <v>652</v>
      </c>
      <c r="E74" s="1" t="s">
        <v>687</v>
      </c>
      <c r="F74" s="1" t="s">
        <v>837</v>
      </c>
      <c r="G74" s="1" t="s">
        <v>854</v>
      </c>
      <c r="L74" s="1">
        <v>-80.34</v>
      </c>
      <c r="M74" s="1">
        <v>32.54</v>
      </c>
      <c r="N74" s="1">
        <v>8667425</v>
      </c>
      <c r="O74" s="1" t="s">
        <v>860</v>
      </c>
      <c r="P74" s="1" t="s">
        <v>866</v>
      </c>
      <c r="Q74" s="2">
        <f>HYPERLINK("https://tidesandcurrents.noaa.gov/stationhome.html?id=8667425", "Station Info")</f>
        <v>0</v>
      </c>
      <c r="R74" s="2">
        <f>HYPERLINK("https://tidesandcurrents.noaa.gov/datums.html?datum=MLLW&amp;units=0&amp;epoch=0&amp;id=8667425", "Datum Info")</f>
        <v>0</v>
      </c>
      <c r="S74" s="2">
        <f>HYPERLINK("https://api.tidesandcurrents.noaa.gov/mdapi/prod/webapi/stations/8667425.json", "More Info")</f>
        <v>0</v>
      </c>
      <c r="T74" s="1">
        <v>6467635</v>
      </c>
      <c r="U74" s="1">
        <v>0</v>
      </c>
      <c r="V74" s="1" t="s">
        <v>869</v>
      </c>
      <c r="W74" s="1" t="s">
        <v>874</v>
      </c>
      <c r="X74" s="1" t="s">
        <v>886</v>
      </c>
      <c r="Y74" s="1">
        <v>6.66</v>
      </c>
      <c r="Z74" s="1">
        <v>6.29</v>
      </c>
      <c r="AA74" s="1">
        <v>3.25</v>
      </c>
      <c r="AB74" s="1">
        <v>3.53</v>
      </c>
      <c r="AC74" s="1">
        <v>3.33</v>
      </c>
      <c r="AD74" s="1">
        <v>0.21</v>
      </c>
      <c r="AE74" s="1">
        <v>0</v>
      </c>
      <c r="AF74" s="1">
        <v>3.65</v>
      </c>
      <c r="AG74" s="1">
        <v>-1.37</v>
      </c>
      <c r="AH74" s="1" t="s">
        <v>1116</v>
      </c>
      <c r="AI74" s="1" t="s">
        <v>1388</v>
      </c>
      <c r="AJ74" s="1">
        <v>3.652</v>
      </c>
      <c r="AK74" s="1">
        <v>-3.015</v>
      </c>
      <c r="AY74" s="2">
        <f>HYPERLINK("https://vdatum.noaa.gov/vdatumweb/api/convert?s_x=-80.34&amp;s_y=32.54&amp;s_z=0.0&amp;region=contiguous&amp;s_h_frame=NAD83_2011&amp;s_coor=geo&amp;s_v_frame=NAVD88&amp;s_v_unit=us_ft&amp;t_h_frame=NAD83_2011&amp;t_coor=geo&amp;t_v_frame=MLLW&amp;t_v_unit=us_ft", "NAVD88 to MLLW")</f>
        <v>0</v>
      </c>
      <c r="AZ74" s="2">
        <f>HYPERLINK("https://vdatum.noaa.gov/vdatumweb/api/convert?s_x=-80.34&amp;s_y=32.54&amp;s_z=0.0&amp;region=contiguous&amp;s_h_frame=NAD83_2011&amp;s_coor=geo&amp;s_v_frame=NAVD88&amp;s_v_unit=us_ft&amp;t_h_frame=NAD83_2011&amp;t_coor=geo&amp;t_v_frame=MHHW&amp;t_v_unit=us_ft", "NAVD88 to MHHW")</f>
        <v>0</v>
      </c>
    </row>
    <row r="75" spans="1:52">
      <c r="A75" s="1" t="s">
        <v>99</v>
      </c>
      <c r="B75" s="1" t="s">
        <v>616</v>
      </c>
      <c r="D75" s="1" t="s">
        <v>652</v>
      </c>
      <c r="E75" s="1" t="s">
        <v>688</v>
      </c>
      <c r="F75" s="1" t="s">
        <v>837</v>
      </c>
      <c r="G75" s="1" t="s">
        <v>854</v>
      </c>
      <c r="H75" s="1" t="s">
        <v>1761</v>
      </c>
      <c r="I75" s="1" t="s">
        <v>1857</v>
      </c>
      <c r="J75" s="1" t="s">
        <v>1878</v>
      </c>
      <c r="K75" s="1" t="s">
        <v>2039</v>
      </c>
      <c r="L75" s="1">
        <v>-80.7367</v>
      </c>
      <c r="M75" s="1">
        <v>32.2667</v>
      </c>
      <c r="N75" s="1">
        <v>8668918</v>
      </c>
      <c r="O75" s="1" t="s">
        <v>861</v>
      </c>
      <c r="P75" s="1" t="s">
        <v>866</v>
      </c>
      <c r="Q75" s="2">
        <f>HYPERLINK("https://tidesandcurrents.noaa.gov/stationhome.html?id=8668918", "Station Info")</f>
        <v>0</v>
      </c>
      <c r="R75" s="2">
        <f>HYPERLINK("https://tidesandcurrents.noaa.gov/datums.html?datum=MLLW&amp;units=0&amp;epoch=0&amp;id=8668918", "Datum Info")</f>
        <v>0</v>
      </c>
      <c r="S75" s="2">
        <f>HYPERLINK("https://api.tidesandcurrents.noaa.gov/mdapi/prod/webapi/stations/8668918.json", "More Info")</f>
        <v>0</v>
      </c>
      <c r="T75" s="1">
        <v>5637449</v>
      </c>
      <c r="U75" s="1">
        <v>0</v>
      </c>
      <c r="V75" s="1" t="s">
        <v>869</v>
      </c>
      <c r="W75" s="1" t="s">
        <v>874</v>
      </c>
      <c r="X75" s="1" t="s">
        <v>886</v>
      </c>
      <c r="Y75" s="1">
        <v>7.39</v>
      </c>
      <c r="Z75" s="1">
        <v>7.03</v>
      </c>
      <c r="AA75" s="1">
        <v>3.62</v>
      </c>
      <c r="AB75" s="1">
        <v>3.89</v>
      </c>
      <c r="AC75" s="1">
        <v>3.7</v>
      </c>
      <c r="AD75" s="1">
        <v>0.2</v>
      </c>
      <c r="AE75" s="1">
        <v>0</v>
      </c>
      <c r="AF75" s="1" t="s">
        <v>969</v>
      </c>
      <c r="AG75" s="1">
        <v>-2.06</v>
      </c>
      <c r="AH75" s="1" t="s">
        <v>1117</v>
      </c>
      <c r="AI75" s="1" t="s">
        <v>1094</v>
      </c>
      <c r="AJ75" s="1">
        <v>4.088</v>
      </c>
      <c r="AK75" s="1">
        <v>-3.301</v>
      </c>
      <c r="AL75" s="1" t="s">
        <v>886</v>
      </c>
      <c r="AM75" s="1">
        <v>0</v>
      </c>
      <c r="AN75" s="1" t="s">
        <v>1622</v>
      </c>
      <c r="AO75" s="1" t="s">
        <v>1683</v>
      </c>
      <c r="AP75" s="1" t="s">
        <v>1697</v>
      </c>
      <c r="AQ75" s="1" t="s">
        <v>1706</v>
      </c>
      <c r="AR75" s="1" t="s">
        <v>1683</v>
      </c>
      <c r="AS75" s="1">
        <v>0</v>
      </c>
      <c r="AT75" s="1">
        <v>0</v>
      </c>
      <c r="AU75" s="1">
        <v>0</v>
      </c>
      <c r="AV75" s="1">
        <v>0</v>
      </c>
      <c r="AW75" s="1" t="s">
        <v>1744</v>
      </c>
      <c r="AX75" s="2">
        <f>HYPERLINK("https://water.weather.gov/ahps2/hydrograph.php?wfo=chs&amp;gage=bfcs1", "AHPS Data")</f>
        <v>0</v>
      </c>
      <c r="AY75" s="2">
        <f>HYPERLINK("https://vdatum.noaa.gov/vdatumweb/api/convert?s_x=-80.7367&amp;s_y=32.2667&amp;s_z=0.0&amp;region=contiguous&amp;s_h_frame=NAD83_2011&amp;s_coor=geo&amp;s_v_frame=NAVD88&amp;s_v_unit=us_ft&amp;t_h_frame=NAD83_2011&amp;t_coor=geo&amp;t_v_frame=MLLW&amp;t_v_unit=us_ft", "NAVD88 to MLLW")</f>
        <v>0</v>
      </c>
      <c r="AZ75" s="2">
        <f>HYPERLINK("https://vdatum.noaa.gov/vdatumweb/api/convert?s_x=-80.7367&amp;s_y=32.2667&amp;s_z=0.0&amp;region=contiguous&amp;s_h_frame=NAD83_2011&amp;s_coor=geo&amp;s_v_frame=NAVD88&amp;s_v_unit=us_ft&amp;t_h_frame=NAD83_2011&amp;t_coor=geo&amp;t_v_frame=MHHW&amp;t_v_unit=us_ft", "NAVD88 to MHHW")</f>
        <v>0</v>
      </c>
    </row>
    <row r="76" spans="1:52">
      <c r="A76" s="1" t="s">
        <v>100</v>
      </c>
      <c r="B76" s="1" t="s">
        <v>616</v>
      </c>
      <c r="D76" s="1" t="s">
        <v>652</v>
      </c>
      <c r="E76" s="1" t="s">
        <v>689</v>
      </c>
      <c r="F76" s="1" t="s">
        <v>837</v>
      </c>
      <c r="G76" s="1" t="s">
        <v>854</v>
      </c>
      <c r="L76" s="1">
        <v>-80.90170000000001</v>
      </c>
      <c r="M76" s="1">
        <v>32.0367</v>
      </c>
      <c r="N76" s="1">
        <v>8670870</v>
      </c>
      <c r="O76" s="1" t="s">
        <v>860</v>
      </c>
      <c r="P76" s="1" t="s">
        <v>866</v>
      </c>
      <c r="Q76" s="2">
        <f>HYPERLINK("https://tidesandcurrents.noaa.gov/stationhome.html?id=8670870", "Station Info")</f>
        <v>0</v>
      </c>
      <c r="R76" s="2">
        <f>HYPERLINK("https://tidesandcurrents.noaa.gov/datums.html?datum=MLLW&amp;units=0&amp;epoch=0&amp;id=8670870", "Datum Info")</f>
        <v>0</v>
      </c>
      <c r="S76" s="2">
        <f>HYPERLINK("https://api.tidesandcurrents.noaa.gov/mdapi/prod/webapi/stations/8670870.json", "More Info")</f>
        <v>0</v>
      </c>
      <c r="T76" s="1">
        <v>5406555</v>
      </c>
      <c r="U76" s="1">
        <v>0</v>
      </c>
      <c r="V76" s="1" t="s">
        <v>869</v>
      </c>
      <c r="W76" s="1" t="s">
        <v>874</v>
      </c>
      <c r="X76" s="1" t="s">
        <v>886</v>
      </c>
      <c r="Y76" s="1">
        <v>7.5</v>
      </c>
      <c r="Z76" s="1">
        <v>7.13</v>
      </c>
      <c r="AA76" s="1">
        <v>3.67</v>
      </c>
      <c r="AB76" s="1">
        <v>3.82</v>
      </c>
      <c r="AC76" s="1">
        <v>3.75</v>
      </c>
      <c r="AD76" s="1">
        <v>0.21</v>
      </c>
      <c r="AE76" s="1">
        <v>0</v>
      </c>
      <c r="AF76" s="1">
        <v>4.05</v>
      </c>
      <c r="AG76" s="1">
        <v>-3.5</v>
      </c>
      <c r="AH76" s="1" t="s">
        <v>1118</v>
      </c>
      <c r="AI76" s="1" t="s">
        <v>1389</v>
      </c>
      <c r="AJ76" s="1">
        <v>4.049</v>
      </c>
      <c r="AK76" s="1">
        <v>-3.457</v>
      </c>
      <c r="AY76" s="2">
        <f>HYPERLINK("https://vdatum.noaa.gov/vdatumweb/api/convert?s_x=-80.9017&amp;s_y=32.0367&amp;s_z=0.0&amp;region=contiguous&amp;s_h_frame=NAD83_2011&amp;s_coor=geo&amp;s_v_frame=NAVD88&amp;s_v_unit=us_ft&amp;t_h_frame=NAD83_2011&amp;t_coor=geo&amp;t_v_frame=MLLW&amp;t_v_unit=us_ft", "NAVD88 to MLLW")</f>
        <v>0</v>
      </c>
      <c r="AZ76" s="2">
        <f>HYPERLINK("https://vdatum.noaa.gov/vdatumweb/api/convert?s_x=-80.9017&amp;s_y=32.0367&amp;s_z=0.0&amp;region=contiguous&amp;s_h_frame=NAD83_2011&amp;s_coor=geo&amp;s_v_frame=NAVD88&amp;s_v_unit=us_ft&amp;t_h_frame=NAD83_2011&amp;t_coor=geo&amp;t_v_frame=MHHW&amp;t_v_unit=us_ft", "NAVD88 to MHHW")</f>
        <v>0</v>
      </c>
    </row>
    <row r="77" spans="1:52">
      <c r="A77" s="1" t="s">
        <v>101</v>
      </c>
      <c r="B77" s="1" t="s">
        <v>616</v>
      </c>
      <c r="C77" s="1" t="s">
        <v>645</v>
      </c>
      <c r="D77" s="1" t="s">
        <v>652</v>
      </c>
      <c r="E77" s="1" t="s">
        <v>690</v>
      </c>
      <c r="F77" s="1" t="s">
        <v>838</v>
      </c>
      <c r="G77" s="1" t="s">
        <v>854</v>
      </c>
      <c r="H77" s="1" t="s">
        <v>1762</v>
      </c>
      <c r="I77" s="1" t="s">
        <v>1857</v>
      </c>
      <c r="J77" s="1" t="s">
        <v>1879</v>
      </c>
      <c r="K77" s="1" t="s">
        <v>2040</v>
      </c>
      <c r="L77" s="1">
        <v>-81.34332999999999</v>
      </c>
      <c r="M77" s="1">
        <v>31.44666</v>
      </c>
      <c r="N77" s="1">
        <v>8675245</v>
      </c>
      <c r="O77" s="1" t="s">
        <v>861</v>
      </c>
      <c r="P77" s="1" t="s">
        <v>866</v>
      </c>
      <c r="Q77" s="2">
        <f>HYPERLINK("https://tidesandcurrents.noaa.gov/stationhome.html?id=8675245", "Station Info")</f>
        <v>0</v>
      </c>
      <c r="R77" s="2">
        <f>HYPERLINK("https://tidesandcurrents.noaa.gov/datums.html?datum=MLLW&amp;units=0&amp;epoch=0&amp;id=8675245", "Datum Info")</f>
        <v>0</v>
      </c>
      <c r="S77" s="2">
        <f>HYPERLINK("https://api.tidesandcurrents.noaa.gov/mdapi/prod/webapi/stations/8675245.json", "More Info")</f>
        <v>0</v>
      </c>
      <c r="T77" s="1">
        <v>8315678</v>
      </c>
      <c r="U77" s="1">
        <v>0</v>
      </c>
      <c r="V77" s="1" t="s">
        <v>869</v>
      </c>
      <c r="W77" s="1" t="s">
        <v>874</v>
      </c>
      <c r="AJ77" s="1">
        <v>-999999</v>
      </c>
      <c r="AK77" s="1">
        <v>-999999</v>
      </c>
      <c r="AL77" s="1" t="s">
        <v>886</v>
      </c>
      <c r="AM77" s="1">
        <v>0</v>
      </c>
      <c r="AN77" s="1" t="s">
        <v>1623</v>
      </c>
      <c r="AO77" s="1" t="s">
        <v>1684</v>
      </c>
      <c r="AP77" s="1" t="s">
        <v>1698</v>
      </c>
      <c r="AQ77" s="1" t="s">
        <v>1707</v>
      </c>
      <c r="AR77" s="1" t="s">
        <v>1684</v>
      </c>
      <c r="AS77" s="1">
        <v>9.699999999999999</v>
      </c>
      <c r="AT77" s="1">
        <v>10.2</v>
      </c>
      <c r="AU77" s="1">
        <v>10.7</v>
      </c>
      <c r="AV77" s="1">
        <v>11.2</v>
      </c>
      <c r="AW77" s="1" t="s">
        <v>1744</v>
      </c>
      <c r="AX77" s="2">
        <f>HYPERLINK("https://water.weather.gov/ahps2/hydrograph.php?wfo=chs&amp;gage=merg1", "AHPS Data")</f>
        <v>0</v>
      </c>
      <c r="AY77" s="2">
        <f>HYPERLINK("https://vdatum.noaa.gov/vdatumweb/api/convert?s_x=-81.34333&amp;s_y=31.44666&amp;s_z=0.0&amp;region=contiguous&amp;s_h_frame=NAD83_2011&amp;s_coor=geo&amp;s_v_frame=NAVD88&amp;s_v_unit=us_ft&amp;t_h_frame=NAD83_2011&amp;t_coor=geo&amp;t_v_frame=MLLW&amp;t_v_unit=us_ft", "Missing")</f>
        <v>0</v>
      </c>
      <c r="AZ77" s="2">
        <f>HYPERLINK("https://vdatum.noaa.gov/vdatumweb/api/convert?s_x=-81.34333&amp;s_y=31.44666&amp;s_z=0.0&amp;region=contiguous&amp;s_h_frame=NAD83_2011&amp;s_coor=geo&amp;s_v_frame=NAVD88&amp;s_v_unit=us_ft&amp;t_h_frame=NAD83_2011&amp;t_coor=geo&amp;t_v_frame=MHHW&amp;t_v_unit=us_ft", "Missing")</f>
        <v>0</v>
      </c>
    </row>
    <row r="78" spans="1:52">
      <c r="A78" s="1" t="s">
        <v>102</v>
      </c>
      <c r="B78" s="1" t="s">
        <v>616</v>
      </c>
      <c r="C78" s="1" t="s">
        <v>645</v>
      </c>
      <c r="D78" s="1" t="s">
        <v>652</v>
      </c>
      <c r="E78" s="1" t="s">
        <v>690</v>
      </c>
      <c r="F78" s="1" t="s">
        <v>838</v>
      </c>
      <c r="G78" s="1" t="s">
        <v>854</v>
      </c>
      <c r="L78" s="1">
        <v>-81.29000000000001</v>
      </c>
      <c r="M78" s="1">
        <v>31.42</v>
      </c>
      <c r="N78" s="1">
        <v>8675365</v>
      </c>
      <c r="O78" s="1" t="s">
        <v>860</v>
      </c>
      <c r="P78" s="1" t="s">
        <v>866</v>
      </c>
      <c r="Q78" s="2">
        <f>HYPERLINK("https://tidesandcurrents.noaa.gov/stationhome.html?id=8675365", "Station Info")</f>
        <v>0</v>
      </c>
      <c r="R78" s="2">
        <f>HYPERLINK("https://tidesandcurrents.noaa.gov/datums.html?datum=MLLW&amp;units=0&amp;epoch=0&amp;id=8675365", "Datum Info")</f>
        <v>0</v>
      </c>
      <c r="S78" s="2">
        <f>HYPERLINK("https://api.tidesandcurrents.noaa.gov/mdapi/prod/webapi/stations/8675365.json", "More Info")</f>
        <v>0</v>
      </c>
      <c r="T78" s="1">
        <v>5288303</v>
      </c>
      <c r="U78" s="1">
        <v>0</v>
      </c>
      <c r="V78" s="1" t="s">
        <v>869</v>
      </c>
      <c r="W78" s="1" t="s">
        <v>874</v>
      </c>
      <c r="AJ78" s="1">
        <v>-999999</v>
      </c>
      <c r="AK78" s="1">
        <v>-999999</v>
      </c>
      <c r="AY78" s="2">
        <f>HYPERLINK("https://vdatum.noaa.gov/vdatumweb/api/convert?s_x=-81.29&amp;s_y=31.42&amp;s_z=0.0&amp;region=contiguous&amp;s_h_frame=NAD83_2011&amp;s_coor=geo&amp;s_v_frame=NAVD88&amp;s_v_unit=us_ft&amp;t_h_frame=NAD83_2011&amp;t_coor=geo&amp;t_v_frame=MLLW&amp;t_v_unit=us_ft", "Missing")</f>
        <v>0</v>
      </c>
      <c r="AZ78" s="2">
        <f>HYPERLINK("https://vdatum.noaa.gov/vdatumweb/api/convert?s_x=-81.29&amp;s_y=31.42&amp;s_z=0.0&amp;region=contiguous&amp;s_h_frame=NAD83_2011&amp;s_coor=geo&amp;s_v_frame=NAVD88&amp;s_v_unit=us_ft&amp;t_h_frame=NAD83_2011&amp;t_coor=geo&amp;t_v_frame=MHHW&amp;t_v_unit=us_ft", "Missing")</f>
        <v>0</v>
      </c>
    </row>
    <row r="79" spans="1:52">
      <c r="A79" s="1" t="s">
        <v>103</v>
      </c>
      <c r="B79" s="1" t="s">
        <v>616</v>
      </c>
      <c r="C79" s="1" t="s">
        <v>645</v>
      </c>
      <c r="D79" s="1" t="s">
        <v>652</v>
      </c>
      <c r="E79" s="1" t="s">
        <v>687</v>
      </c>
      <c r="F79" s="1" t="s">
        <v>837</v>
      </c>
      <c r="G79" s="1" t="s">
        <v>854</v>
      </c>
      <c r="H79" s="1" t="s">
        <v>1763</v>
      </c>
      <c r="I79" s="1" t="s">
        <v>1857</v>
      </c>
      <c r="J79" s="1" t="s">
        <v>1880</v>
      </c>
      <c r="K79" s="1" t="s">
        <v>2041</v>
      </c>
      <c r="L79" s="1">
        <v>-79.35422101</v>
      </c>
      <c r="M79" s="1">
        <v>33.15432787</v>
      </c>
      <c r="N79" s="1" t="s">
        <v>2186</v>
      </c>
      <c r="O79" s="1" t="s">
        <v>861</v>
      </c>
      <c r="P79" s="1" t="s">
        <v>867</v>
      </c>
      <c r="Q79" s="2">
        <f>HYPERLINK("https://waterdata.usgs.gov/nwis/nwismap/?site_no=02171905&amp;agency_cd=USGS", "Station Info")</f>
        <v>0</v>
      </c>
      <c r="R79" s="2">
        <f>HYPERLINK("https://waterservices.usgs.gov/nwis/site/?site=02171905&amp;format=rdb", "Datum Info")</f>
        <v>0</v>
      </c>
      <c r="T79" s="1">
        <v>5762888</v>
      </c>
      <c r="U79" s="1">
        <v>-6.52</v>
      </c>
      <c r="V79" s="1" t="s">
        <v>869</v>
      </c>
      <c r="W79" s="1" t="s">
        <v>874</v>
      </c>
      <c r="X79" s="1" t="s">
        <v>887</v>
      </c>
      <c r="Y79" s="1" t="s">
        <v>903</v>
      </c>
      <c r="Z79" s="1" t="s">
        <v>910</v>
      </c>
      <c r="AA79" s="1" t="s">
        <v>917</v>
      </c>
      <c r="AC79" s="1" t="s">
        <v>924</v>
      </c>
      <c r="AD79" s="1" t="s">
        <v>932</v>
      </c>
      <c r="AE79" s="1" t="s">
        <v>939</v>
      </c>
      <c r="AF79" s="1" t="s">
        <v>970</v>
      </c>
      <c r="AH79" s="1" t="s">
        <v>1119</v>
      </c>
      <c r="AI79" s="1" t="s">
        <v>1390</v>
      </c>
      <c r="AJ79" s="1">
        <v>2.404</v>
      </c>
      <c r="AK79" s="1">
        <v>-2.434</v>
      </c>
      <c r="AL79" s="1" t="s">
        <v>886</v>
      </c>
      <c r="AM79" s="1">
        <v>0</v>
      </c>
      <c r="AN79" s="1" t="s">
        <v>1624</v>
      </c>
      <c r="AO79" s="1" t="s">
        <v>1685</v>
      </c>
      <c r="AP79" s="1" t="s">
        <v>1699</v>
      </c>
      <c r="AQ79" s="1" t="s">
        <v>1708</v>
      </c>
      <c r="AR79" s="1" t="s">
        <v>1685</v>
      </c>
      <c r="AS79" s="1">
        <v>0</v>
      </c>
      <c r="AT79" s="1">
        <v>0</v>
      </c>
      <c r="AU79" s="1">
        <v>0</v>
      </c>
      <c r="AV79" s="1">
        <v>0</v>
      </c>
      <c r="AW79" s="1" t="s">
        <v>1744</v>
      </c>
      <c r="AX79" s="2">
        <f>HYPERLINK("https://water.weather.gov/ahps2/hydrograph.php?wfo=chs&amp;gage=ssns1", "AHPS Data")</f>
        <v>0</v>
      </c>
      <c r="AY79" s="2">
        <f>HYPERLINK("https://vdatum.noaa.gov/vdatumweb/api/convert?s_x=-79.35422101&amp;s_y=33.15432787&amp;s_z=0.0&amp;region=contiguous&amp;s_h_frame=NAD83_2011&amp;s_coor=geo&amp;s_v_frame=NAVD88&amp;s_v_unit=us_ft&amp;t_h_frame=NAD83_2011&amp;t_coor=geo&amp;t_v_frame=MLLW&amp;t_v_unit=us_ft", "NAVD88 to MLLW")</f>
        <v>0</v>
      </c>
      <c r="AZ79" s="2">
        <f>HYPERLINK("https://vdatum.noaa.gov/vdatumweb/api/convert?s_x=-79.35422101&amp;s_y=33.15432787&amp;s_z=0.0&amp;region=contiguous&amp;s_h_frame=NAD83_2011&amp;s_coor=geo&amp;s_v_frame=NAVD88&amp;s_v_unit=us_ft&amp;t_h_frame=NAD83_2011&amp;t_coor=geo&amp;t_v_frame=MHHW&amp;t_v_unit=us_ft", "NAVD88 to MHHW")</f>
        <v>0</v>
      </c>
    </row>
    <row r="80" spans="1:52">
      <c r="A80" s="1" t="s">
        <v>104</v>
      </c>
      <c r="B80" s="1" t="s">
        <v>616</v>
      </c>
      <c r="C80" s="1" t="s">
        <v>645</v>
      </c>
      <c r="D80" s="1" t="s">
        <v>652</v>
      </c>
      <c r="E80" s="1" t="s">
        <v>691</v>
      </c>
      <c r="F80" s="1" t="s">
        <v>837</v>
      </c>
      <c r="G80" s="1" t="s">
        <v>854</v>
      </c>
      <c r="H80" s="1" t="s">
        <v>1764</v>
      </c>
      <c r="I80" s="1" t="s">
        <v>1857</v>
      </c>
      <c r="J80" s="1" t="s">
        <v>1881</v>
      </c>
      <c r="K80" s="1" t="s">
        <v>2042</v>
      </c>
      <c r="L80" s="1">
        <v>-79.96286164</v>
      </c>
      <c r="M80" s="1">
        <v>32.89044588</v>
      </c>
      <c r="N80" s="1" t="s">
        <v>2187</v>
      </c>
      <c r="O80" s="1" t="s">
        <v>861</v>
      </c>
      <c r="P80" s="1" t="s">
        <v>867</v>
      </c>
      <c r="Q80" s="2">
        <f>HYPERLINK("https://waterdata.usgs.gov/nwis/nwismap/?site_no=021720677&amp;agency_cd=USGS", "Station Info")</f>
        <v>0</v>
      </c>
      <c r="R80" s="2">
        <f>HYPERLINK("https://waterservices.usgs.gov/nwis/site/?site=021720677&amp;format=rdb", "Datum Info")</f>
        <v>0</v>
      </c>
      <c r="T80" s="1">
        <v>7755989</v>
      </c>
      <c r="U80" s="1">
        <v>-3.21</v>
      </c>
      <c r="V80" s="1" t="s">
        <v>869</v>
      </c>
      <c r="W80" s="1" t="s">
        <v>874</v>
      </c>
      <c r="X80" s="1" t="s">
        <v>887</v>
      </c>
      <c r="AF80" s="1" t="s">
        <v>971</v>
      </c>
      <c r="AJ80" s="1">
        <v>3.027</v>
      </c>
      <c r="AK80" s="1">
        <v>-2.874</v>
      </c>
      <c r="AL80" s="1" t="s">
        <v>886</v>
      </c>
      <c r="AM80" s="1">
        <v>0</v>
      </c>
      <c r="AN80" s="1" t="s">
        <v>1625</v>
      </c>
      <c r="AO80" s="1" t="s">
        <v>1199</v>
      </c>
      <c r="AP80" s="1" t="s">
        <v>1700</v>
      </c>
      <c r="AQ80" s="1" t="s">
        <v>1709</v>
      </c>
      <c r="AR80" s="1" t="s">
        <v>1199</v>
      </c>
      <c r="AS80" s="1">
        <v>0</v>
      </c>
      <c r="AT80" s="1">
        <v>0</v>
      </c>
      <c r="AU80" s="1">
        <v>0</v>
      </c>
      <c r="AV80" s="1">
        <v>0</v>
      </c>
      <c r="AW80" s="1" t="s">
        <v>1744</v>
      </c>
      <c r="AX80" s="2">
        <f>HYPERLINK("https://water.weather.gov/ahps2/hydrograph.php?wfo=chs&amp;gage=cpfs1", "AHPS Data")</f>
        <v>0</v>
      </c>
      <c r="AY80" s="2">
        <f>HYPERLINK("https://vdatum.noaa.gov/vdatumweb/api/convert?s_x=-79.96286164&amp;s_y=32.89044588&amp;s_z=0.0&amp;region=contiguous&amp;s_h_frame=NAD83_2011&amp;s_coor=geo&amp;s_v_frame=NAVD88&amp;s_v_unit=us_ft&amp;t_h_frame=NAD83_2011&amp;t_coor=geo&amp;t_v_frame=MLLW&amp;t_v_unit=us_ft", "NAVD88 to MLLW")</f>
        <v>0</v>
      </c>
      <c r="AZ80" s="2">
        <f>HYPERLINK("https://vdatum.noaa.gov/vdatumweb/api/convert?s_x=-79.96286164&amp;s_y=32.89044588&amp;s_z=0.0&amp;region=contiguous&amp;s_h_frame=NAD83_2011&amp;s_coor=geo&amp;s_v_frame=NAVD88&amp;s_v_unit=us_ft&amp;t_h_frame=NAD83_2011&amp;t_coor=geo&amp;t_v_frame=MHHW&amp;t_v_unit=us_ft", "NAVD88 to MHHW")</f>
        <v>0</v>
      </c>
    </row>
    <row r="81" spans="1:52">
      <c r="A81" s="1" t="s">
        <v>105</v>
      </c>
      <c r="B81" s="1" t="s">
        <v>616</v>
      </c>
      <c r="D81" s="1" t="s">
        <v>652</v>
      </c>
      <c r="E81" s="1" t="s">
        <v>687</v>
      </c>
      <c r="F81" s="1" t="s">
        <v>837</v>
      </c>
      <c r="G81" s="1" t="s">
        <v>854</v>
      </c>
      <c r="H81" s="1" t="s">
        <v>1765</v>
      </c>
      <c r="I81" s="1" t="s">
        <v>1857</v>
      </c>
      <c r="J81" s="1" t="s">
        <v>1882</v>
      </c>
      <c r="K81" s="1" t="s">
        <v>2043</v>
      </c>
      <c r="L81" s="1">
        <v>-79.89619346000001</v>
      </c>
      <c r="M81" s="1">
        <v>32.85905741</v>
      </c>
      <c r="N81" s="1" t="s">
        <v>2188</v>
      </c>
      <c r="O81" s="1" t="s">
        <v>861</v>
      </c>
      <c r="P81" s="1" t="s">
        <v>867</v>
      </c>
      <c r="Q81" s="2">
        <f>HYPERLINK("https://waterdata.usgs.gov/nwis/nwismap/?site_no=021720698&amp;agency_cd=USGS", "Station Info")</f>
        <v>0</v>
      </c>
      <c r="R81" s="2">
        <f>HYPERLINK("https://waterservices.usgs.gov/nwis/site/?site=021720698&amp;format=rdb", "Datum Info")</f>
        <v>0</v>
      </c>
      <c r="T81" s="1">
        <v>7756052</v>
      </c>
      <c r="U81" s="1">
        <v>-5.54</v>
      </c>
      <c r="V81" s="1" t="s">
        <v>869</v>
      </c>
      <c r="W81" s="1" t="s">
        <v>874</v>
      </c>
      <c r="X81" s="1" t="s">
        <v>887</v>
      </c>
      <c r="Y81" s="1" t="s">
        <v>904</v>
      </c>
      <c r="Z81" s="1" t="s">
        <v>911</v>
      </c>
      <c r="AA81" s="1" t="s">
        <v>918</v>
      </c>
      <c r="AC81" s="1" t="s">
        <v>925</v>
      </c>
      <c r="AD81" s="1" t="s">
        <v>933</v>
      </c>
      <c r="AE81" s="1" t="s">
        <v>940</v>
      </c>
      <c r="AF81" s="1" t="s">
        <v>972</v>
      </c>
      <c r="AH81" s="1" t="s">
        <v>1120</v>
      </c>
      <c r="AI81" s="1" t="s">
        <v>1391</v>
      </c>
      <c r="AJ81" s="1">
        <v>3.223</v>
      </c>
      <c r="AK81" s="1">
        <v>-2.871</v>
      </c>
      <c r="AL81" s="1" t="s">
        <v>886</v>
      </c>
      <c r="AM81" s="1">
        <v>0</v>
      </c>
      <c r="AN81" s="1" t="s">
        <v>1626</v>
      </c>
      <c r="AO81" s="1" t="s">
        <v>1686</v>
      </c>
      <c r="AP81" s="1" t="s">
        <v>1701</v>
      </c>
      <c r="AQ81" s="1" t="s">
        <v>1710</v>
      </c>
      <c r="AR81" s="1" t="s">
        <v>1686</v>
      </c>
      <c r="AS81" s="1">
        <v>0</v>
      </c>
      <c r="AT81" s="1">
        <v>0</v>
      </c>
      <c r="AU81" s="1">
        <v>0</v>
      </c>
      <c r="AV81" s="1">
        <v>0</v>
      </c>
      <c r="AW81" s="1" t="s">
        <v>1744</v>
      </c>
      <c r="AX81" s="2">
        <f>HYPERLINK("https://water.weather.gov/ahps2/hydrograph.php?wfo=chs&amp;gage=wris1", "AHPS Data")</f>
        <v>0</v>
      </c>
      <c r="AY81" s="2">
        <f>HYPERLINK("https://vdatum.noaa.gov/vdatumweb/api/convert?s_x=-79.89619346&amp;s_y=32.85905741&amp;s_z=0.0&amp;region=contiguous&amp;s_h_frame=NAD83_2011&amp;s_coor=geo&amp;s_v_frame=NAVD88&amp;s_v_unit=us_ft&amp;t_h_frame=NAD83_2011&amp;t_coor=geo&amp;t_v_frame=MLLW&amp;t_v_unit=us_ft", "NAVD88 to MLLW")</f>
        <v>0</v>
      </c>
      <c r="AZ81" s="2">
        <f>HYPERLINK("https://vdatum.noaa.gov/vdatumweb/api/convert?s_x=-79.89619346&amp;s_y=32.85905741&amp;s_z=0.0&amp;region=contiguous&amp;s_h_frame=NAD83_2011&amp;s_coor=geo&amp;s_v_frame=NAVD88&amp;s_v_unit=us_ft&amp;t_h_frame=NAD83_2011&amp;t_coor=geo&amp;t_v_frame=MHHW&amp;t_v_unit=us_ft", "NAVD88 to MHHW")</f>
        <v>0</v>
      </c>
    </row>
    <row r="82" spans="1:52">
      <c r="A82" s="1" t="s">
        <v>106</v>
      </c>
      <c r="B82" s="1" t="s">
        <v>616</v>
      </c>
      <c r="D82" s="1" t="s">
        <v>652</v>
      </c>
      <c r="H82" s="1" t="s">
        <v>1764</v>
      </c>
      <c r="I82" s="1" t="s">
        <v>1857</v>
      </c>
      <c r="J82" s="1" t="s">
        <v>1883</v>
      </c>
      <c r="K82" s="1" t="s">
        <v>2044</v>
      </c>
      <c r="L82" s="1">
        <v>-79.91008406</v>
      </c>
      <c r="M82" s="1">
        <v>32.80239197</v>
      </c>
      <c r="N82" s="1" t="s">
        <v>2189</v>
      </c>
      <c r="O82" s="1" t="s">
        <v>861</v>
      </c>
      <c r="P82" s="1" t="s">
        <v>867</v>
      </c>
      <c r="Q82" s="2">
        <f>HYPERLINK("https://waterdata.usgs.gov/nwis/nwismap/?site_no=021720709&amp;agency_cd=USGS", "Station Info")</f>
        <v>0</v>
      </c>
      <c r="R82" s="2">
        <f>HYPERLINK("https://waterservices.usgs.gov/nwis/site/?site=021720709&amp;format=rdb", "Datum Info")</f>
        <v>0</v>
      </c>
      <c r="T82" s="1">
        <v>8374818</v>
      </c>
      <c r="U82" s="1">
        <v>-1.96</v>
      </c>
      <c r="V82" s="1" t="s">
        <v>869</v>
      </c>
      <c r="W82" s="1" t="s">
        <v>874</v>
      </c>
      <c r="X82" s="1" t="s">
        <v>887</v>
      </c>
      <c r="Y82" s="1" t="s">
        <v>905</v>
      </c>
      <c r="Z82" s="1" t="s">
        <v>912</v>
      </c>
      <c r="AA82" s="1" t="s">
        <v>919</v>
      </c>
      <c r="AC82" s="1" t="s">
        <v>926</v>
      </c>
      <c r="AD82" s="1" t="s">
        <v>934</v>
      </c>
      <c r="AE82" s="1" t="s">
        <v>941</v>
      </c>
      <c r="AF82" s="1" t="s">
        <v>973</v>
      </c>
      <c r="AH82" s="1" t="s">
        <v>1121</v>
      </c>
      <c r="AI82" s="1" t="s">
        <v>1392</v>
      </c>
      <c r="AJ82" s="1">
        <v>3.172</v>
      </c>
      <c r="AK82" s="1">
        <v>-2.684</v>
      </c>
      <c r="AL82" s="1" t="s">
        <v>886</v>
      </c>
      <c r="AM82" s="1">
        <v>0</v>
      </c>
      <c r="AN82" s="1" t="s">
        <v>1374</v>
      </c>
      <c r="AO82" s="1" t="s">
        <v>1687</v>
      </c>
      <c r="AP82" s="1" t="s">
        <v>1702</v>
      </c>
      <c r="AQ82" s="1" t="s">
        <v>1711</v>
      </c>
      <c r="AR82" s="1" t="s">
        <v>1687</v>
      </c>
      <c r="AS82" s="1">
        <v>0</v>
      </c>
      <c r="AT82" s="1">
        <v>0</v>
      </c>
      <c r="AU82" s="1">
        <v>0</v>
      </c>
      <c r="AV82" s="1">
        <v>0</v>
      </c>
      <c r="AW82" s="1" t="s">
        <v>1744</v>
      </c>
      <c r="AX82" s="2">
        <f>HYPERLINK("https://water.weather.gov/ahps2/hydrograph.php?wfo=chs&amp;gage=cpcs1", "AHPS Data")</f>
        <v>0</v>
      </c>
      <c r="AY82" s="2">
        <f>HYPERLINK("https://vdatum.noaa.gov/vdatumweb/api/convert?s_x=-79.91008406&amp;s_y=32.80239197&amp;s_z=0.0&amp;region=contiguous&amp;s_h_frame=NAD83_2011&amp;s_coor=geo&amp;s_v_frame=NAVD88&amp;s_v_unit=us_ft&amp;t_h_frame=NAD83_2011&amp;t_coor=geo&amp;t_v_frame=MLLW&amp;t_v_unit=us_ft", "NAVD88 to MLLW")</f>
        <v>0</v>
      </c>
      <c r="AZ82" s="2">
        <f>HYPERLINK("https://vdatum.noaa.gov/vdatumweb/api/convert?s_x=-79.91008406&amp;s_y=32.80239197&amp;s_z=0.0&amp;region=contiguous&amp;s_h_frame=NAD83_2011&amp;s_coor=geo&amp;s_v_frame=NAVD88&amp;s_v_unit=us_ft&amp;t_h_frame=NAD83_2011&amp;t_coor=geo&amp;t_v_frame=MHHW&amp;t_v_unit=us_ft", "NAVD88 to MHHW")</f>
        <v>0</v>
      </c>
    </row>
    <row r="83" spans="1:52">
      <c r="A83" s="1" t="s">
        <v>107</v>
      </c>
      <c r="B83" s="1" t="s">
        <v>616</v>
      </c>
      <c r="C83" s="1" t="s">
        <v>645</v>
      </c>
      <c r="D83" s="1" t="s">
        <v>652</v>
      </c>
      <c r="E83" s="1" t="s">
        <v>687</v>
      </c>
      <c r="F83" s="1" t="s">
        <v>837</v>
      </c>
      <c r="G83" s="1" t="s">
        <v>854</v>
      </c>
      <c r="H83" s="1" t="s">
        <v>1766</v>
      </c>
      <c r="I83" s="1" t="s">
        <v>1857</v>
      </c>
      <c r="J83" s="1" t="s">
        <v>1884</v>
      </c>
      <c r="K83" s="1" t="s">
        <v>2045</v>
      </c>
      <c r="L83" s="1">
        <v>-80.02369852</v>
      </c>
      <c r="M83" s="1">
        <v>32.83461372</v>
      </c>
      <c r="N83" s="1" t="s">
        <v>2190</v>
      </c>
      <c r="O83" s="1" t="s">
        <v>861</v>
      </c>
      <c r="P83" s="1" t="s">
        <v>867</v>
      </c>
      <c r="Q83" s="2">
        <f>HYPERLINK("https://waterdata.usgs.gov/nwis/nwismap/?site_no=021720869&amp;agency_cd=USGS", "Station Info")</f>
        <v>0</v>
      </c>
      <c r="R83" s="2">
        <f>HYPERLINK("https://waterservices.usgs.gov/nwis/site/?site=021720869&amp;format=rdb", "Datum Info")</f>
        <v>0</v>
      </c>
      <c r="T83" s="1">
        <v>8997121</v>
      </c>
      <c r="U83" s="1">
        <v>-2.61</v>
      </c>
      <c r="V83" s="1" t="s">
        <v>869</v>
      </c>
      <c r="W83" s="1" t="s">
        <v>874</v>
      </c>
      <c r="X83" s="1" t="s">
        <v>887</v>
      </c>
      <c r="Y83" s="1" t="s">
        <v>906</v>
      </c>
      <c r="Z83" s="1" t="s">
        <v>913</v>
      </c>
      <c r="AA83" s="1" t="s">
        <v>920</v>
      </c>
      <c r="AC83" s="1" t="s">
        <v>927</v>
      </c>
      <c r="AD83" s="1" t="s">
        <v>935</v>
      </c>
      <c r="AE83" s="1" t="s">
        <v>942</v>
      </c>
      <c r="AF83" s="1" t="s">
        <v>974</v>
      </c>
      <c r="AH83" s="1" t="s">
        <v>1122</v>
      </c>
      <c r="AI83" s="1" t="s">
        <v>1393</v>
      </c>
      <c r="AJ83" s="1">
        <v>3.412</v>
      </c>
      <c r="AK83" s="1">
        <v>-2.814</v>
      </c>
      <c r="AL83" s="1" t="s">
        <v>886</v>
      </c>
      <c r="AM83" s="1">
        <v>0</v>
      </c>
      <c r="AN83" s="1" t="s">
        <v>1627</v>
      </c>
      <c r="AO83" s="1" t="s">
        <v>1688</v>
      </c>
      <c r="AP83" s="1" t="s">
        <v>1703</v>
      </c>
      <c r="AQ83" s="1" t="s">
        <v>1392</v>
      </c>
      <c r="AR83" s="1" t="s">
        <v>1688</v>
      </c>
      <c r="AS83" s="1">
        <v>0</v>
      </c>
      <c r="AT83" s="1">
        <v>0</v>
      </c>
      <c r="AU83" s="1">
        <v>0</v>
      </c>
      <c r="AV83" s="1">
        <v>0</v>
      </c>
      <c r="AW83" s="1" t="s">
        <v>1744</v>
      </c>
      <c r="AX83" s="2">
        <f>HYPERLINK("https://water.weather.gov/ahps2/hydrograph.php?wfo=chs&amp;gage=asps1", "AHPS Data")</f>
        <v>0</v>
      </c>
      <c r="AY83" s="2">
        <f>HYPERLINK("https://vdatum.noaa.gov/vdatumweb/api/convert?s_x=-80.02369852&amp;s_y=32.83461372&amp;s_z=0.0&amp;region=contiguous&amp;s_h_frame=NAD83_2011&amp;s_coor=geo&amp;s_v_frame=NAVD88&amp;s_v_unit=us_ft&amp;t_h_frame=NAD83_2011&amp;t_coor=geo&amp;t_v_frame=MLLW&amp;t_v_unit=us_ft", "NAVD88 to MLLW")</f>
        <v>0</v>
      </c>
      <c r="AZ83" s="2">
        <f>HYPERLINK("https://vdatum.noaa.gov/vdatumweb/api/convert?s_x=-80.02369852&amp;s_y=32.83461372&amp;s_z=0.0&amp;region=contiguous&amp;s_h_frame=NAD83_2011&amp;s_coor=geo&amp;s_v_frame=NAVD88&amp;s_v_unit=us_ft&amp;t_h_frame=NAD83_2011&amp;t_coor=geo&amp;t_v_frame=MHHW&amp;t_v_unit=us_ft", "NAVD88 to MHHW")</f>
        <v>0</v>
      </c>
    </row>
    <row r="84" spans="1:52">
      <c r="A84" s="1" t="s">
        <v>108</v>
      </c>
      <c r="B84" s="1" t="s">
        <v>616</v>
      </c>
      <c r="C84" s="1" t="s">
        <v>645</v>
      </c>
      <c r="D84" s="1" t="s">
        <v>652</v>
      </c>
      <c r="E84" s="1" t="s">
        <v>692</v>
      </c>
      <c r="F84" s="1" t="s">
        <v>838</v>
      </c>
      <c r="G84" s="1" t="s">
        <v>854</v>
      </c>
      <c r="H84" s="1" t="s">
        <v>1767</v>
      </c>
      <c r="I84" s="1" t="s">
        <v>1857</v>
      </c>
      <c r="J84" s="1" t="s">
        <v>1885</v>
      </c>
      <c r="K84" s="1" t="s">
        <v>2046</v>
      </c>
      <c r="L84" s="1">
        <v>-81.08135794</v>
      </c>
      <c r="M84" s="1">
        <v>32.08041049</v>
      </c>
      <c r="N84" s="1" t="s">
        <v>2191</v>
      </c>
      <c r="O84" s="1" t="s">
        <v>861</v>
      </c>
      <c r="P84" s="1" t="s">
        <v>867</v>
      </c>
      <c r="Q84" s="2">
        <f>HYPERLINK("https://waterdata.usgs.gov/nwis/nwismap/?site_no=021989773&amp;agency_cd=USGS", "Station Info")</f>
        <v>0</v>
      </c>
      <c r="R84" s="2">
        <f>HYPERLINK("https://waterservices.usgs.gov/nwis/site/?site=021989773&amp;format=rdb", "Datum Info")</f>
        <v>0</v>
      </c>
      <c r="T84" s="1">
        <v>8427784</v>
      </c>
      <c r="U84" s="1">
        <v>0</v>
      </c>
      <c r="V84" s="1" t="s">
        <v>869</v>
      </c>
      <c r="W84" s="1" t="s">
        <v>874</v>
      </c>
      <c r="X84" s="1" t="s">
        <v>887</v>
      </c>
      <c r="AF84" s="1" t="s">
        <v>955</v>
      </c>
      <c r="AJ84" s="1">
        <v>4.265</v>
      </c>
      <c r="AK84" s="1">
        <v>-4.021</v>
      </c>
      <c r="AL84" s="1" t="s">
        <v>886</v>
      </c>
      <c r="AM84" s="1">
        <v>0</v>
      </c>
      <c r="AN84" s="1" t="s">
        <v>1628</v>
      </c>
      <c r="AO84" s="1" t="s">
        <v>1689</v>
      </c>
      <c r="AP84" s="1" t="s">
        <v>1704</v>
      </c>
      <c r="AQ84" s="1" t="s">
        <v>1712</v>
      </c>
      <c r="AR84" s="1" t="s">
        <v>1689</v>
      </c>
      <c r="AS84" s="1">
        <v>0</v>
      </c>
      <c r="AT84" s="1">
        <v>0</v>
      </c>
      <c r="AU84" s="1">
        <v>0</v>
      </c>
      <c r="AV84" s="1">
        <v>0</v>
      </c>
      <c r="AW84" s="1" t="s">
        <v>1744</v>
      </c>
      <c r="AX84" s="2">
        <f>HYPERLINK("https://water.weather.gov/ahps2/hydrograph.php?wfo=chs&amp;gage=svdg1", "AHPS Data")</f>
        <v>0</v>
      </c>
      <c r="AY84" s="2">
        <f>HYPERLINK("https://vdatum.noaa.gov/vdatumweb/api/convert?s_x=-81.08135794&amp;s_y=32.08041049&amp;s_z=0.0&amp;region=contiguous&amp;s_h_frame=NAD83_2011&amp;s_coor=geo&amp;s_v_frame=NAVD88&amp;s_v_unit=us_ft&amp;t_h_frame=NAD83_2011&amp;t_coor=geo&amp;t_v_frame=MLLW&amp;t_v_unit=us_ft", "NAVD88 to MLLW")</f>
        <v>0</v>
      </c>
      <c r="AZ84" s="2">
        <f>HYPERLINK("https://vdatum.noaa.gov/vdatumweb/api/convert?s_x=-81.08135794&amp;s_y=32.08041049&amp;s_z=0.0&amp;region=contiguous&amp;s_h_frame=NAD83_2011&amp;s_coor=geo&amp;s_v_frame=NAVD88&amp;s_v_unit=us_ft&amp;t_h_frame=NAD83_2011&amp;t_coor=geo&amp;t_v_frame=MHHW&amp;t_v_unit=us_ft", "NAVD88 to MHHW")</f>
        <v>0</v>
      </c>
    </row>
    <row r="85" spans="1:52">
      <c r="A85" s="1" t="s">
        <v>109</v>
      </c>
      <c r="B85" s="1" t="s">
        <v>616</v>
      </c>
      <c r="C85" s="1" t="s">
        <v>645</v>
      </c>
      <c r="D85" s="1" t="s">
        <v>652</v>
      </c>
      <c r="E85" s="1" t="s">
        <v>690</v>
      </c>
      <c r="F85" s="1" t="s">
        <v>838</v>
      </c>
      <c r="G85" s="1" t="s">
        <v>854</v>
      </c>
      <c r="H85" s="1" t="s">
        <v>1768</v>
      </c>
      <c r="I85" s="1" t="s">
        <v>1857</v>
      </c>
      <c r="J85" s="1" t="s">
        <v>1886</v>
      </c>
      <c r="K85" s="1" t="s">
        <v>2047</v>
      </c>
      <c r="L85" s="1">
        <v>-81.60510782</v>
      </c>
      <c r="M85" s="1">
        <v>31.42685509</v>
      </c>
      <c r="N85" s="1" t="s">
        <v>2192</v>
      </c>
      <c r="O85" s="1" t="s">
        <v>861</v>
      </c>
      <c r="P85" s="1" t="s">
        <v>867</v>
      </c>
      <c r="Q85" s="2">
        <f>HYPERLINK("https://waterdata.usgs.gov/nwis/nwismap/?site_no=02226160&amp;agency_cd=USGS", "Station Info")</f>
        <v>0</v>
      </c>
      <c r="R85" s="2">
        <f>HYPERLINK("https://waterservices.usgs.gov/nwis/site/?site=02226160&amp;format=rdb", "Datum Info")</f>
        <v>0</v>
      </c>
      <c r="T85" s="1">
        <v>7953329</v>
      </c>
      <c r="U85" s="1">
        <v>-1.18</v>
      </c>
      <c r="V85" s="1" t="s">
        <v>869</v>
      </c>
      <c r="W85" s="1" t="s">
        <v>874</v>
      </c>
      <c r="X85" s="1" t="s">
        <v>887</v>
      </c>
      <c r="AF85" s="1" t="s">
        <v>975</v>
      </c>
      <c r="AJ85" s="1">
        <v>-999999</v>
      </c>
      <c r="AK85" s="1">
        <v>-999999</v>
      </c>
      <c r="AL85" s="1" t="s">
        <v>889</v>
      </c>
      <c r="AM85" s="1">
        <v>-3.87</v>
      </c>
      <c r="AN85" s="1" t="s">
        <v>1629</v>
      </c>
      <c r="AS85" s="1">
        <v>10</v>
      </c>
      <c r="AT85" s="1">
        <v>13</v>
      </c>
      <c r="AU85" s="1">
        <v>14</v>
      </c>
      <c r="AV85" s="1">
        <v>17</v>
      </c>
      <c r="AW85" s="1" t="s">
        <v>1744</v>
      </c>
      <c r="AX85" s="2">
        <f>HYPERLINK("https://water.weather.gov/ahps2/hydrograph.php?wfo=jax&amp;gage=evrg1", "AHPS Data")</f>
        <v>0</v>
      </c>
      <c r="AY85" s="2">
        <f>HYPERLINK("https://vdatum.noaa.gov/vdatumweb/api/convert?s_x=-81.60510782&amp;s_y=31.42685509&amp;s_z=0.0&amp;region=contiguous&amp;s_h_frame=NAD83_2011&amp;s_coor=geo&amp;s_v_frame=NAVD88&amp;s_v_unit=us_ft&amp;t_h_frame=NAD83_2011&amp;t_coor=geo&amp;t_v_frame=MLLW&amp;t_v_unit=us_ft", "Missing")</f>
        <v>0</v>
      </c>
      <c r="AZ85" s="2">
        <f>HYPERLINK("https://vdatum.noaa.gov/vdatumweb/api/convert?s_x=-81.60510782&amp;s_y=31.42685509&amp;s_z=0.0&amp;region=contiguous&amp;s_h_frame=NAD83_2011&amp;s_coor=geo&amp;s_v_frame=NAVD88&amp;s_v_unit=us_ft&amp;t_h_frame=NAD83_2011&amp;t_coor=geo&amp;t_v_frame=MHHW&amp;t_v_unit=us_ft", "Missing")</f>
        <v>0</v>
      </c>
    </row>
    <row r="86" spans="1:52">
      <c r="A86" s="1" t="s">
        <v>110</v>
      </c>
      <c r="B86" s="1" t="s">
        <v>617</v>
      </c>
      <c r="C86" s="1" t="s">
        <v>646</v>
      </c>
      <c r="D86" s="1" t="s">
        <v>652</v>
      </c>
      <c r="L86" s="1">
        <v>-68.7967</v>
      </c>
      <c r="M86" s="1">
        <v>44.3867</v>
      </c>
      <c r="N86" s="1">
        <v>8414672</v>
      </c>
      <c r="O86" s="1" t="s">
        <v>861</v>
      </c>
      <c r="P86" s="1" t="s">
        <v>866</v>
      </c>
      <c r="Q86" s="2">
        <f>HYPERLINK("https://tidesandcurrents.noaa.gov/stationhome.html?id=8414672", "Station Info")</f>
        <v>0</v>
      </c>
      <c r="R86" s="2">
        <f>HYPERLINK("https://tidesandcurrents.noaa.gov/datums.html?datum=MLLW&amp;units=0&amp;epoch=0&amp;id=8414672", "Datum Info")</f>
        <v>0</v>
      </c>
      <c r="S86" s="2">
        <f>HYPERLINK("https://api.tidesandcurrents.noaa.gov/mdapi/prod/webapi/stations/8414672.json", "More Info")</f>
        <v>0</v>
      </c>
      <c r="T86" s="1">
        <v>4292024</v>
      </c>
      <c r="U86" s="1">
        <v>0</v>
      </c>
      <c r="V86" s="1" t="s">
        <v>869</v>
      </c>
      <c r="W86" s="1" t="s">
        <v>874</v>
      </c>
      <c r="AJ86" s="1">
        <v>5.816</v>
      </c>
      <c r="AK86" s="1">
        <v>-5.159</v>
      </c>
      <c r="AY86" s="2">
        <f>HYPERLINK("https://vdatum.noaa.gov/vdatumweb/api/convert?s_x=-68.7967&amp;s_y=44.3867&amp;s_z=0.0&amp;region=contiguous&amp;s_h_frame=NAD83_2011&amp;s_coor=geo&amp;s_v_frame=NAVD88&amp;s_v_unit=us_ft&amp;t_h_frame=NAD83_2011&amp;t_coor=geo&amp;t_v_frame=MLLW&amp;t_v_unit=us_ft", "NAVD88 to MLLW")</f>
        <v>0</v>
      </c>
      <c r="AZ86" s="2">
        <f>HYPERLINK("https://vdatum.noaa.gov/vdatumweb/api/convert?s_x=-68.7967&amp;s_y=44.3867&amp;s_z=0.0&amp;region=contiguous&amp;s_h_frame=NAD83_2011&amp;s_coor=geo&amp;s_v_frame=NAVD88&amp;s_v_unit=us_ft&amp;t_h_frame=NAD83_2011&amp;t_coor=geo&amp;t_v_frame=MHHW&amp;t_v_unit=us_ft", "NAVD88 to MHHW")</f>
        <v>0</v>
      </c>
    </row>
    <row r="87" spans="1:52">
      <c r="A87" s="1" t="s">
        <v>111</v>
      </c>
      <c r="B87" s="1" t="s">
        <v>617</v>
      </c>
      <c r="D87" s="1" t="s">
        <v>652</v>
      </c>
      <c r="L87" s="1">
        <v>-68.8133</v>
      </c>
      <c r="M87" s="1">
        <v>44.4717</v>
      </c>
      <c r="N87" s="1">
        <v>8414721</v>
      </c>
      <c r="O87" s="1" t="s">
        <v>861</v>
      </c>
      <c r="P87" s="1" t="s">
        <v>866</v>
      </c>
      <c r="Q87" s="2">
        <f>HYPERLINK("https://tidesandcurrents.noaa.gov/stationhome.html?id=8414721", "Station Info")</f>
        <v>0</v>
      </c>
      <c r="R87" s="2">
        <f>HYPERLINK("https://tidesandcurrents.noaa.gov/datums.html?datum=MLLW&amp;units=0&amp;epoch=0&amp;id=8414721", "Datum Info")</f>
        <v>0</v>
      </c>
      <c r="S87" s="2">
        <f>HYPERLINK("https://api.tidesandcurrents.noaa.gov/mdapi/prod/webapi/stations/8414721.json", "More Info")</f>
        <v>0</v>
      </c>
      <c r="T87" s="1">
        <v>3840907</v>
      </c>
      <c r="U87" s="1">
        <v>-0.081</v>
      </c>
      <c r="V87" s="1" t="s">
        <v>869</v>
      </c>
      <c r="W87" s="1" t="s">
        <v>874</v>
      </c>
      <c r="X87" s="1" t="s">
        <v>886</v>
      </c>
      <c r="Y87" s="1">
        <v>11.15</v>
      </c>
      <c r="Z87" s="1">
        <v>10.75</v>
      </c>
      <c r="AA87" s="1">
        <v>5.56</v>
      </c>
      <c r="AB87" s="1">
        <v>5.61</v>
      </c>
      <c r="AC87" s="1">
        <v>5.57</v>
      </c>
      <c r="AD87" s="1">
        <v>0.36</v>
      </c>
      <c r="AE87" s="1">
        <v>0</v>
      </c>
      <c r="AF87" s="1" t="s">
        <v>976</v>
      </c>
      <c r="AG87" s="1">
        <v>-19.11</v>
      </c>
      <c r="AH87" s="1" t="s">
        <v>1123</v>
      </c>
      <c r="AI87" s="1" t="s">
        <v>1394</v>
      </c>
      <c r="AJ87" s="1">
        <v>5.876</v>
      </c>
      <c r="AK87" s="1">
        <v>-5.269</v>
      </c>
      <c r="AY87" s="2">
        <f>HYPERLINK("https://vdatum.noaa.gov/vdatumweb/api/convert?s_x=-68.8133&amp;s_y=44.4717&amp;s_z=0.0&amp;region=contiguous&amp;s_h_frame=NAD83_2011&amp;s_coor=geo&amp;s_v_frame=NAVD88&amp;s_v_unit=us_ft&amp;t_h_frame=NAD83_2011&amp;t_coor=geo&amp;t_v_frame=MLLW&amp;t_v_unit=us_ft", "NAVD88 to MLLW")</f>
        <v>0</v>
      </c>
      <c r="AZ87" s="2">
        <f>HYPERLINK("https://vdatum.noaa.gov/vdatumweb/api/convert?s_x=-68.8133&amp;s_y=44.4717&amp;s_z=0.0&amp;region=contiguous&amp;s_h_frame=NAD83_2011&amp;s_coor=geo&amp;s_v_frame=NAVD88&amp;s_v_unit=us_ft&amp;t_h_frame=NAD83_2011&amp;t_coor=geo&amp;t_v_frame=MHHW&amp;t_v_unit=us_ft", "NAVD88 to MHHW")</f>
        <v>0</v>
      </c>
    </row>
    <row r="88" spans="1:52">
      <c r="A88" s="1" t="s">
        <v>112</v>
      </c>
      <c r="B88" s="1" t="s">
        <v>617</v>
      </c>
      <c r="D88" s="1" t="s">
        <v>652</v>
      </c>
      <c r="L88" s="1">
        <v>-68.8133</v>
      </c>
      <c r="M88" s="1">
        <v>44.4717</v>
      </c>
      <c r="N88" s="1">
        <v>8414721</v>
      </c>
      <c r="O88" s="1" t="s">
        <v>861</v>
      </c>
      <c r="P88" s="1" t="s">
        <v>866</v>
      </c>
      <c r="Q88" s="2">
        <f>HYPERLINK("https://tidesandcurrents.noaa.gov/stationhome.html?id=8414721", "Station Info")</f>
        <v>0</v>
      </c>
      <c r="R88" s="2">
        <f>HYPERLINK("https://tidesandcurrents.noaa.gov/datums.html?datum=MLLW&amp;units=0&amp;epoch=0&amp;id=8414721", "Datum Info")</f>
        <v>0</v>
      </c>
      <c r="S88" s="2">
        <f>HYPERLINK("https://api.tidesandcurrents.noaa.gov/mdapi/prod/webapi/stations/8414721.json", "More Info")</f>
        <v>0</v>
      </c>
      <c r="T88" s="1">
        <v>3840907</v>
      </c>
      <c r="U88" s="1">
        <v>-0.081</v>
      </c>
      <c r="V88" s="1" t="s">
        <v>869</v>
      </c>
      <c r="W88" s="1" t="s">
        <v>874</v>
      </c>
      <c r="X88" s="1" t="s">
        <v>886</v>
      </c>
      <c r="Y88" s="1">
        <v>11.15</v>
      </c>
      <c r="Z88" s="1">
        <v>10.75</v>
      </c>
      <c r="AA88" s="1">
        <v>5.56</v>
      </c>
      <c r="AB88" s="1">
        <v>5.61</v>
      </c>
      <c r="AC88" s="1">
        <v>5.57</v>
      </c>
      <c r="AD88" s="1">
        <v>0.36</v>
      </c>
      <c r="AE88" s="1">
        <v>0</v>
      </c>
      <c r="AF88" s="1" t="s">
        <v>976</v>
      </c>
      <c r="AG88" s="1">
        <v>-19.11</v>
      </c>
      <c r="AH88" s="1" t="s">
        <v>1123</v>
      </c>
      <c r="AI88" s="1" t="s">
        <v>1394</v>
      </c>
      <c r="AJ88" s="1">
        <v>5.876</v>
      </c>
      <c r="AK88" s="1">
        <v>-5.269</v>
      </c>
      <c r="AY88" s="2">
        <f>HYPERLINK("https://vdatum.noaa.gov/vdatumweb/api/convert?s_x=-68.8133&amp;s_y=44.4717&amp;s_z=0.0&amp;region=contiguous&amp;s_h_frame=NAD83_2011&amp;s_coor=geo&amp;s_v_frame=NAVD88&amp;s_v_unit=us_ft&amp;t_h_frame=NAD83_2011&amp;t_coor=geo&amp;t_v_frame=MLLW&amp;t_v_unit=us_ft", "NAVD88 to MLLW")</f>
        <v>0</v>
      </c>
      <c r="AZ88" s="2">
        <f>HYPERLINK("https://vdatum.noaa.gov/vdatumweb/api/convert?s_x=-68.8133&amp;s_y=44.4717&amp;s_z=0.0&amp;region=contiguous&amp;s_h_frame=NAD83_2011&amp;s_coor=geo&amp;s_v_frame=NAVD88&amp;s_v_unit=us_ft&amp;t_h_frame=NAD83_2011&amp;t_coor=geo&amp;t_v_frame=MHHW&amp;t_v_unit=us_ft", "NAVD88 to MHHW")</f>
        <v>0</v>
      </c>
    </row>
    <row r="89" spans="1:52">
      <c r="A89" s="1" t="s">
        <v>113</v>
      </c>
      <c r="B89" s="1" t="s">
        <v>617</v>
      </c>
      <c r="C89" s="1" t="s">
        <v>646</v>
      </c>
      <c r="D89" s="1" t="s">
        <v>652</v>
      </c>
      <c r="L89" s="1">
        <v>-68.8867</v>
      </c>
      <c r="M89" s="1">
        <v>44.1567</v>
      </c>
      <c r="N89" s="1">
        <v>8414888</v>
      </c>
      <c r="O89" s="1" t="s">
        <v>861</v>
      </c>
      <c r="P89" s="1" t="s">
        <v>866</v>
      </c>
      <c r="Q89" s="2">
        <f>HYPERLINK("https://tidesandcurrents.noaa.gov/stationhome.html?id=8414888", "Station Info")</f>
        <v>0</v>
      </c>
      <c r="R89" s="2">
        <f>HYPERLINK("https://tidesandcurrents.noaa.gov/datums.html?datum=MLLW&amp;units=0&amp;epoch=0&amp;id=8414888", "Datum Info")</f>
        <v>0</v>
      </c>
      <c r="S89" s="2">
        <f>HYPERLINK("https://api.tidesandcurrents.noaa.gov/mdapi/prod/webapi/stations/8414888.json", "More Info")</f>
        <v>0</v>
      </c>
      <c r="T89" s="1">
        <v>7415783</v>
      </c>
      <c r="U89" s="1">
        <v>-0.09</v>
      </c>
      <c r="V89" s="1" t="s">
        <v>869</v>
      </c>
      <c r="W89" s="1" t="s">
        <v>874</v>
      </c>
      <c r="X89" s="1" t="s">
        <v>886</v>
      </c>
      <c r="Y89" s="1">
        <v>10.64</v>
      </c>
      <c r="Z89" s="1">
        <v>10.21</v>
      </c>
      <c r="AA89" s="1">
        <v>5.29</v>
      </c>
      <c r="AB89" s="1">
        <v>5.36</v>
      </c>
      <c r="AC89" s="1">
        <v>5.32</v>
      </c>
      <c r="AD89" s="1">
        <v>0.37</v>
      </c>
      <c r="AE89" s="1">
        <v>0</v>
      </c>
      <c r="AF89" s="1" t="s">
        <v>977</v>
      </c>
      <c r="AG89" s="1">
        <v>-2.42</v>
      </c>
      <c r="AH89" s="1" t="s">
        <v>1124</v>
      </c>
      <c r="AI89" s="1" t="s">
        <v>1395</v>
      </c>
      <c r="AJ89" s="1">
        <v>5.652</v>
      </c>
      <c r="AK89" s="1">
        <v>-4.974</v>
      </c>
      <c r="AY89" s="2">
        <f>HYPERLINK("https://vdatum.noaa.gov/vdatumweb/api/convert?s_x=-68.8867&amp;s_y=44.1567&amp;s_z=0.0&amp;region=contiguous&amp;s_h_frame=NAD83_2011&amp;s_coor=geo&amp;s_v_frame=NAVD88&amp;s_v_unit=us_ft&amp;t_h_frame=NAD83_2011&amp;t_coor=geo&amp;t_v_frame=MLLW&amp;t_v_unit=us_ft", "NAVD88 to MLLW")</f>
        <v>0</v>
      </c>
      <c r="AZ89" s="2">
        <f>HYPERLINK("https://vdatum.noaa.gov/vdatumweb/api/convert?s_x=-68.8867&amp;s_y=44.1567&amp;s_z=0.0&amp;region=contiguous&amp;s_h_frame=NAD83_2011&amp;s_coor=geo&amp;s_v_frame=NAVD88&amp;s_v_unit=us_ft&amp;t_h_frame=NAD83_2011&amp;t_coor=geo&amp;t_v_frame=MHHW&amp;t_v_unit=us_ft", "NAVD88 to MHHW")</f>
        <v>0</v>
      </c>
    </row>
    <row r="90" spans="1:52">
      <c r="A90" s="1" t="s">
        <v>114</v>
      </c>
      <c r="B90" s="1" t="s">
        <v>617</v>
      </c>
      <c r="C90" s="1" t="s">
        <v>646</v>
      </c>
      <c r="D90" s="1" t="s">
        <v>652</v>
      </c>
      <c r="E90" s="1" t="s">
        <v>693</v>
      </c>
      <c r="F90" s="1" t="s">
        <v>836</v>
      </c>
      <c r="G90" s="1" t="s">
        <v>854</v>
      </c>
      <c r="L90" s="1">
        <v>-69.10169999999999</v>
      </c>
      <c r="M90" s="1">
        <v>44.105</v>
      </c>
      <c r="N90" s="1">
        <v>8415490</v>
      </c>
      <c r="O90" s="1" t="s">
        <v>861</v>
      </c>
      <c r="P90" s="1" t="s">
        <v>866</v>
      </c>
      <c r="Q90" s="2">
        <f>HYPERLINK("https://tidesandcurrents.noaa.gov/stationhome.html?id=8415490", "Station Info")</f>
        <v>0</v>
      </c>
      <c r="R90" s="2">
        <f>HYPERLINK("https://tidesandcurrents.noaa.gov/datums.html?datum=MLLW&amp;units=0&amp;epoch=0&amp;id=8415490", "Datum Info")</f>
        <v>0</v>
      </c>
      <c r="S90" s="2">
        <f>HYPERLINK("https://api.tidesandcurrents.noaa.gov/mdapi/prod/webapi/stations/8415490.json", "More Info")</f>
        <v>0</v>
      </c>
      <c r="T90" s="1">
        <v>3348722</v>
      </c>
      <c r="U90" s="1">
        <v>-0.123</v>
      </c>
      <c r="V90" s="1" t="s">
        <v>869</v>
      </c>
      <c r="W90" s="1" t="s">
        <v>874</v>
      </c>
      <c r="X90" s="1" t="s">
        <v>886</v>
      </c>
      <c r="Y90" s="1">
        <v>10.57</v>
      </c>
      <c r="Z90" s="1">
        <v>10.17</v>
      </c>
      <c r="AA90" s="1">
        <v>5.28</v>
      </c>
      <c r="AB90" s="1">
        <v>5.33</v>
      </c>
      <c r="AC90" s="1">
        <v>5.28</v>
      </c>
      <c r="AD90" s="1">
        <v>0.39</v>
      </c>
      <c r="AE90" s="1">
        <v>0</v>
      </c>
      <c r="AF90" s="1" t="s">
        <v>978</v>
      </c>
      <c r="AG90" s="1">
        <v>-3.62</v>
      </c>
      <c r="AH90" s="1" t="s">
        <v>1125</v>
      </c>
      <c r="AI90" s="1" t="s">
        <v>1396</v>
      </c>
      <c r="AJ90" s="1">
        <v>5.733</v>
      </c>
      <c r="AK90" s="1">
        <v>-4.842</v>
      </c>
      <c r="AY90" s="2">
        <f>HYPERLINK("https://vdatum.noaa.gov/vdatumweb/api/convert?s_x=-69.1017&amp;s_y=44.105&amp;s_z=0.0&amp;region=contiguous&amp;s_h_frame=NAD83_2011&amp;s_coor=geo&amp;s_v_frame=NAVD88&amp;s_v_unit=us_ft&amp;t_h_frame=NAD83_2011&amp;t_coor=geo&amp;t_v_frame=MLLW&amp;t_v_unit=us_ft", "NAVD88 to MLLW")</f>
        <v>0</v>
      </c>
      <c r="AZ90" s="2">
        <f>HYPERLINK("https://vdatum.noaa.gov/vdatumweb/api/convert?s_x=-69.1017&amp;s_y=44.105&amp;s_z=0.0&amp;region=contiguous&amp;s_h_frame=NAD83_2011&amp;s_coor=geo&amp;s_v_frame=NAVD88&amp;s_v_unit=us_ft&amp;t_h_frame=NAD83_2011&amp;t_coor=geo&amp;t_v_frame=MHHW&amp;t_v_unit=us_ft", "NAVD88 to MHHW")</f>
        <v>0</v>
      </c>
    </row>
    <row r="91" spans="1:52">
      <c r="A91" s="1" t="s">
        <v>115</v>
      </c>
      <c r="B91" s="1" t="s">
        <v>617</v>
      </c>
      <c r="D91" s="1" t="s">
        <v>652</v>
      </c>
      <c r="E91" s="1" t="s">
        <v>693</v>
      </c>
      <c r="F91" s="1" t="s">
        <v>836</v>
      </c>
      <c r="G91" s="1" t="s">
        <v>854</v>
      </c>
      <c r="L91" s="1">
        <v>-69.18170000000001</v>
      </c>
      <c r="M91" s="1">
        <v>44.0717</v>
      </c>
      <c r="N91" s="1">
        <v>8415709</v>
      </c>
      <c r="O91" s="1" t="s">
        <v>861</v>
      </c>
      <c r="P91" s="1" t="s">
        <v>866</v>
      </c>
      <c r="Q91" s="2">
        <f>HYPERLINK("https://tidesandcurrents.noaa.gov/stationhome.html?id=8415709", "Station Info")</f>
        <v>0</v>
      </c>
      <c r="R91" s="2">
        <f>HYPERLINK("https://tidesandcurrents.noaa.gov/datums.html?datum=MLLW&amp;units=0&amp;epoch=0&amp;id=8415709", "Datum Info")</f>
        <v>0</v>
      </c>
      <c r="S91" s="2">
        <f>HYPERLINK("https://api.tidesandcurrents.noaa.gov/mdapi/prod/webapi/stations/8415709.json", "More Info")</f>
        <v>0</v>
      </c>
      <c r="T91" s="1">
        <v>2429950</v>
      </c>
      <c r="U91" s="1">
        <v>0</v>
      </c>
      <c r="V91" s="1" t="s">
        <v>869</v>
      </c>
      <c r="W91" s="1" t="s">
        <v>874</v>
      </c>
      <c r="X91" s="1" t="s">
        <v>886</v>
      </c>
      <c r="Y91" s="1">
        <v>9.85</v>
      </c>
      <c r="Z91" s="1">
        <v>9.44</v>
      </c>
      <c r="AA91" s="1">
        <v>4.92</v>
      </c>
      <c r="AB91" s="1">
        <v>4.95</v>
      </c>
      <c r="AC91" s="1">
        <v>4.93</v>
      </c>
      <c r="AD91" s="1">
        <v>0.4</v>
      </c>
      <c r="AE91" s="1">
        <v>0</v>
      </c>
      <c r="AF91" s="1">
        <v>4.46</v>
      </c>
      <c r="AG91" s="1">
        <v>-19.12</v>
      </c>
      <c r="AH91" s="1" t="s">
        <v>1126</v>
      </c>
      <c r="AI91" s="1" t="s">
        <v>1397</v>
      </c>
      <c r="AJ91" s="1">
        <v>4.457</v>
      </c>
      <c r="AK91" s="1">
        <v>-5.388</v>
      </c>
      <c r="AY91" s="2">
        <f>HYPERLINK("https://vdatum.noaa.gov/vdatumweb/api/convert?s_x=-69.1817&amp;s_y=44.0717&amp;s_z=0.0&amp;region=contiguous&amp;s_h_frame=NAD83_2011&amp;s_coor=geo&amp;s_v_frame=NAVD88&amp;s_v_unit=us_ft&amp;t_h_frame=NAD83_2011&amp;t_coor=geo&amp;t_v_frame=MLLW&amp;t_v_unit=us_ft", "NAVD88 to MLLW")</f>
        <v>0</v>
      </c>
      <c r="AZ91" s="2">
        <f>HYPERLINK("https://vdatum.noaa.gov/vdatumweb/api/convert?s_x=-69.1817&amp;s_y=44.0717&amp;s_z=0.0&amp;region=contiguous&amp;s_h_frame=NAD83_2011&amp;s_coor=geo&amp;s_v_frame=NAVD88&amp;s_v_unit=us_ft&amp;t_h_frame=NAD83_2011&amp;t_coor=geo&amp;t_v_frame=MHHW&amp;t_v_unit=us_ft", "NAVD88 to MHHW")</f>
        <v>0</v>
      </c>
    </row>
    <row r="92" spans="1:52">
      <c r="A92" s="1" t="s">
        <v>116</v>
      </c>
      <c r="B92" s="1" t="s">
        <v>617</v>
      </c>
      <c r="D92" s="1" t="s">
        <v>652</v>
      </c>
      <c r="L92" s="1">
        <v>-69.58</v>
      </c>
      <c r="M92" s="1">
        <v>43.9333</v>
      </c>
      <c r="N92" s="1">
        <v>8416731</v>
      </c>
      <c r="O92" s="1" t="s">
        <v>861</v>
      </c>
      <c r="P92" s="1" t="s">
        <v>866</v>
      </c>
      <c r="Q92" s="2">
        <f>HYPERLINK("https://tidesandcurrents.noaa.gov/stationhome.html?id=8416731", "Station Info")</f>
        <v>0</v>
      </c>
      <c r="R92" s="2">
        <f>HYPERLINK("https://tidesandcurrents.noaa.gov/datums.html?datum=MLLW&amp;units=0&amp;epoch=0&amp;id=8416731", "Datum Info")</f>
        <v>0</v>
      </c>
      <c r="S92" s="2">
        <f>HYPERLINK("https://api.tidesandcurrents.noaa.gov/mdapi/prod/webapi/stations/8416731.json", "More Info")</f>
        <v>0</v>
      </c>
      <c r="T92" s="1">
        <v>3521069</v>
      </c>
      <c r="U92" s="1">
        <v>-0.234</v>
      </c>
      <c r="V92" s="1" t="s">
        <v>869</v>
      </c>
      <c r="W92" s="1" t="s">
        <v>874</v>
      </c>
      <c r="X92" s="1" t="s">
        <v>886</v>
      </c>
      <c r="Y92" s="1">
        <v>10.15</v>
      </c>
      <c r="Z92" s="1">
        <v>9.710000000000001</v>
      </c>
      <c r="AA92" s="1">
        <v>5.04</v>
      </c>
      <c r="AB92" s="1">
        <v>5.05</v>
      </c>
      <c r="AC92" s="1">
        <v>5.08</v>
      </c>
      <c r="AD92" s="1">
        <v>0.36</v>
      </c>
      <c r="AE92" s="1">
        <v>0</v>
      </c>
      <c r="AF92" s="1" t="s">
        <v>979</v>
      </c>
      <c r="AG92" s="1">
        <v>-3.35</v>
      </c>
      <c r="AH92" s="1" t="s">
        <v>1127</v>
      </c>
      <c r="AI92" s="1" t="s">
        <v>1398</v>
      </c>
      <c r="AJ92" s="1">
        <v>5.818</v>
      </c>
      <c r="AK92" s="1">
        <v>-4.331</v>
      </c>
      <c r="AY92" s="2">
        <f>HYPERLINK("https://vdatum.noaa.gov/vdatumweb/api/convert?s_x=-69.58&amp;s_y=43.9333&amp;s_z=0.0&amp;region=contiguous&amp;s_h_frame=NAD83_2011&amp;s_coor=geo&amp;s_v_frame=NAVD88&amp;s_v_unit=us_ft&amp;t_h_frame=NAD83_2011&amp;t_coor=geo&amp;t_v_frame=MLLW&amp;t_v_unit=us_ft", "NAVD88 to MLLW")</f>
        <v>0</v>
      </c>
      <c r="AZ92" s="2">
        <f>HYPERLINK("https://vdatum.noaa.gov/vdatumweb/api/convert?s_x=-69.58&amp;s_y=43.9333&amp;s_z=0.0&amp;region=contiguous&amp;s_h_frame=NAD83_2011&amp;s_coor=geo&amp;s_v_frame=NAVD88&amp;s_v_unit=us_ft&amp;t_h_frame=NAD83_2011&amp;t_coor=geo&amp;t_v_frame=MHHW&amp;t_v_unit=us_ft", "NAVD88 to MHHW")</f>
        <v>0</v>
      </c>
    </row>
    <row r="93" spans="1:52">
      <c r="A93" s="1" t="s">
        <v>117</v>
      </c>
      <c r="B93" s="1" t="s">
        <v>617</v>
      </c>
      <c r="D93" s="1" t="s">
        <v>652</v>
      </c>
      <c r="L93" s="1">
        <v>-69.58</v>
      </c>
      <c r="M93" s="1">
        <v>43.9333</v>
      </c>
      <c r="N93" s="1">
        <v>8416731</v>
      </c>
      <c r="O93" s="1" t="s">
        <v>861</v>
      </c>
      <c r="P93" s="1" t="s">
        <v>866</v>
      </c>
      <c r="Q93" s="2">
        <f>HYPERLINK("https://tidesandcurrents.noaa.gov/stationhome.html?id=8416731", "Station Info")</f>
        <v>0</v>
      </c>
      <c r="R93" s="2">
        <f>HYPERLINK("https://tidesandcurrents.noaa.gov/datums.html?datum=MLLW&amp;units=0&amp;epoch=0&amp;id=8416731", "Datum Info")</f>
        <v>0</v>
      </c>
      <c r="S93" s="2">
        <f>HYPERLINK("https://api.tidesandcurrents.noaa.gov/mdapi/prod/webapi/stations/8416731.json", "More Info")</f>
        <v>0</v>
      </c>
      <c r="T93" s="1">
        <v>3521069</v>
      </c>
      <c r="U93" s="1">
        <v>-0.234</v>
      </c>
      <c r="V93" s="1" t="s">
        <v>869</v>
      </c>
      <c r="W93" s="1" t="s">
        <v>874</v>
      </c>
      <c r="X93" s="1" t="s">
        <v>886</v>
      </c>
      <c r="Y93" s="1">
        <v>10.15</v>
      </c>
      <c r="Z93" s="1">
        <v>9.710000000000001</v>
      </c>
      <c r="AA93" s="1">
        <v>5.04</v>
      </c>
      <c r="AB93" s="1">
        <v>5.05</v>
      </c>
      <c r="AC93" s="1">
        <v>5.08</v>
      </c>
      <c r="AD93" s="1">
        <v>0.36</v>
      </c>
      <c r="AE93" s="1">
        <v>0</v>
      </c>
      <c r="AF93" s="1" t="s">
        <v>979</v>
      </c>
      <c r="AG93" s="1">
        <v>-3.35</v>
      </c>
      <c r="AH93" s="1" t="s">
        <v>1127</v>
      </c>
      <c r="AI93" s="1" t="s">
        <v>1398</v>
      </c>
      <c r="AJ93" s="1">
        <v>5.818</v>
      </c>
      <c r="AK93" s="1">
        <v>-4.331</v>
      </c>
      <c r="AY93" s="2">
        <f>HYPERLINK("https://vdatum.noaa.gov/vdatumweb/api/convert?s_x=-69.58&amp;s_y=43.9333&amp;s_z=0.0&amp;region=contiguous&amp;s_h_frame=NAD83_2011&amp;s_coor=geo&amp;s_v_frame=NAVD88&amp;s_v_unit=us_ft&amp;t_h_frame=NAD83_2011&amp;t_coor=geo&amp;t_v_frame=MLLW&amp;t_v_unit=us_ft", "NAVD88 to MLLW")</f>
        <v>0</v>
      </c>
      <c r="AZ93" s="2">
        <f>HYPERLINK("https://vdatum.noaa.gov/vdatumweb/api/convert?s_x=-69.58&amp;s_y=43.9333&amp;s_z=0.0&amp;region=contiguous&amp;s_h_frame=NAD83_2011&amp;s_coor=geo&amp;s_v_frame=NAVD88&amp;s_v_unit=us_ft&amp;t_h_frame=NAD83_2011&amp;t_coor=geo&amp;t_v_frame=MHHW&amp;t_v_unit=us_ft", "NAVD88 to MHHW")</f>
        <v>0</v>
      </c>
    </row>
    <row r="94" spans="1:52">
      <c r="A94" s="1" t="s">
        <v>118</v>
      </c>
      <c r="B94" s="1" t="s">
        <v>617</v>
      </c>
      <c r="C94" s="1" t="s">
        <v>646</v>
      </c>
      <c r="D94" s="1" t="s">
        <v>652</v>
      </c>
      <c r="L94" s="1">
        <v>-69.628333</v>
      </c>
      <c r="M94" s="1">
        <v>43.85</v>
      </c>
      <c r="N94" s="1">
        <v>8416828</v>
      </c>
      <c r="O94" s="1" t="s">
        <v>861</v>
      </c>
      <c r="P94" s="1" t="s">
        <v>866</v>
      </c>
      <c r="Q94" s="2">
        <f>HYPERLINK("https://tidesandcurrents.noaa.gov/stationhome.html?id=8416828", "Station Info")</f>
        <v>0</v>
      </c>
      <c r="R94" s="2">
        <f>HYPERLINK("https://tidesandcurrents.noaa.gov/datums.html?datum=MLLW&amp;units=0&amp;epoch=0&amp;id=8416828", "Datum Info")</f>
        <v>0</v>
      </c>
      <c r="S94" s="2">
        <f>HYPERLINK("https://api.tidesandcurrents.noaa.gov/mdapi/prod/webapi/stations/8416828.json", "More Info")</f>
        <v>0</v>
      </c>
      <c r="T94" s="1">
        <v>2812839</v>
      </c>
      <c r="U94" s="1">
        <v>0</v>
      </c>
      <c r="V94" s="1" t="s">
        <v>869</v>
      </c>
      <c r="W94" s="1" t="s">
        <v>874</v>
      </c>
      <c r="AJ94" s="1">
        <v>5.178</v>
      </c>
      <c r="AK94" s="1">
        <v>-4.548</v>
      </c>
      <c r="AY94" s="2">
        <f>HYPERLINK("https://vdatum.noaa.gov/vdatumweb/api/convert?s_x=-69.628333&amp;s_y=43.85&amp;s_z=0.0&amp;region=contiguous&amp;s_h_frame=NAD83_2011&amp;s_coor=geo&amp;s_v_frame=NAVD88&amp;s_v_unit=us_ft&amp;t_h_frame=NAD83_2011&amp;t_coor=geo&amp;t_v_frame=MLLW&amp;t_v_unit=us_ft", "NAVD88 to MLLW")</f>
        <v>0</v>
      </c>
      <c r="AZ94" s="2">
        <f>HYPERLINK("https://vdatum.noaa.gov/vdatumweb/api/convert?s_x=-69.628333&amp;s_y=43.85&amp;s_z=0.0&amp;region=contiguous&amp;s_h_frame=NAD83_2011&amp;s_coor=geo&amp;s_v_frame=NAVD88&amp;s_v_unit=us_ft&amp;t_h_frame=NAD83_2011&amp;t_coor=geo&amp;t_v_frame=MHHW&amp;t_v_unit=us_ft", "NAVD88 to MHHW")</f>
        <v>0</v>
      </c>
    </row>
    <row r="95" spans="1:52">
      <c r="A95" s="1" t="s">
        <v>119</v>
      </c>
      <c r="B95" s="1" t="s">
        <v>617</v>
      </c>
      <c r="C95" s="1" t="s">
        <v>646</v>
      </c>
      <c r="D95" s="1" t="s">
        <v>652</v>
      </c>
      <c r="E95" s="1" t="s">
        <v>694</v>
      </c>
      <c r="F95" s="1" t="s">
        <v>836</v>
      </c>
      <c r="G95" s="1" t="s">
        <v>854</v>
      </c>
      <c r="L95" s="1">
        <v>-69.66670000000001</v>
      </c>
      <c r="M95" s="1">
        <v>44</v>
      </c>
      <c r="N95" s="1">
        <v>8416921</v>
      </c>
      <c r="O95" s="1" t="s">
        <v>861</v>
      </c>
      <c r="P95" s="1" t="s">
        <v>866</v>
      </c>
      <c r="Q95" s="2">
        <f>HYPERLINK("https://tidesandcurrents.noaa.gov/stationhome.html?id=8416921", "Station Info")</f>
        <v>0</v>
      </c>
      <c r="R95" s="2">
        <f>HYPERLINK("https://tidesandcurrents.noaa.gov/datums.html?datum=MLLW&amp;units=0&amp;epoch=0&amp;id=8416921", "Datum Info")</f>
        <v>0</v>
      </c>
      <c r="S95" s="2">
        <f>HYPERLINK("https://api.tidesandcurrents.noaa.gov/mdapi/prod/webapi/stations/8416921.json", "More Info")</f>
        <v>0</v>
      </c>
      <c r="T95" s="1">
        <v>2998015</v>
      </c>
      <c r="U95" s="1">
        <v>0</v>
      </c>
      <c r="V95" s="1" t="s">
        <v>869</v>
      </c>
      <c r="W95" s="1" t="s">
        <v>874</v>
      </c>
      <c r="X95" s="1" t="s">
        <v>886</v>
      </c>
      <c r="Y95" s="1">
        <v>10.23</v>
      </c>
      <c r="Z95" s="1">
        <v>9.81</v>
      </c>
      <c r="AA95" s="1">
        <v>5.07</v>
      </c>
      <c r="AB95" s="1">
        <v>5.06</v>
      </c>
      <c r="AC95" s="1">
        <v>5.12</v>
      </c>
      <c r="AD95" s="1">
        <v>0.32</v>
      </c>
      <c r="AE95" s="1">
        <v>0</v>
      </c>
      <c r="AG95" s="1">
        <v>-20.18</v>
      </c>
      <c r="AJ95" s="1">
        <v>-999999</v>
      </c>
      <c r="AK95" s="1">
        <v>-999999</v>
      </c>
      <c r="AY95" s="2">
        <f>HYPERLINK("https://vdatum.noaa.gov/vdatumweb/api/convert?s_x=-69.6667&amp;s_y=44.0&amp;s_z=0.0&amp;region=contiguous&amp;s_h_frame=NAD83_2011&amp;s_coor=geo&amp;s_v_frame=NAVD88&amp;s_v_unit=us_ft&amp;t_h_frame=NAD83_2011&amp;t_coor=geo&amp;t_v_frame=MLLW&amp;t_v_unit=us_ft", "Missing")</f>
        <v>0</v>
      </c>
      <c r="AZ95" s="2">
        <f>HYPERLINK("https://vdatum.noaa.gov/vdatumweb/api/convert?s_x=-69.6667&amp;s_y=44.0&amp;s_z=0.0&amp;region=contiguous&amp;s_h_frame=NAD83_2011&amp;s_coor=geo&amp;s_v_frame=NAVD88&amp;s_v_unit=us_ft&amp;t_h_frame=NAD83_2011&amp;t_coor=geo&amp;t_v_frame=MHHW&amp;t_v_unit=us_ft", "Missing")</f>
        <v>0</v>
      </c>
    </row>
    <row r="96" spans="1:52">
      <c r="A96" s="1" t="s">
        <v>120</v>
      </c>
      <c r="B96" s="1" t="s">
        <v>617</v>
      </c>
      <c r="C96" s="1" t="s">
        <v>646</v>
      </c>
      <c r="D96" s="1" t="s">
        <v>652</v>
      </c>
      <c r="E96" s="1" t="s">
        <v>695</v>
      </c>
      <c r="F96" s="1" t="s">
        <v>836</v>
      </c>
      <c r="G96" s="1" t="s">
        <v>854</v>
      </c>
      <c r="J96" s="1" t="s">
        <v>1887</v>
      </c>
      <c r="L96" s="1">
        <v>-69.7667</v>
      </c>
      <c r="M96" s="1">
        <v>44.2333</v>
      </c>
      <c r="N96" s="1">
        <v>8417134</v>
      </c>
      <c r="O96" s="1" t="s">
        <v>861</v>
      </c>
      <c r="P96" s="1" t="s">
        <v>866</v>
      </c>
      <c r="Q96" s="2">
        <f>HYPERLINK("https://tidesandcurrents.noaa.gov/stationhome.html?id=8417134", "Station Info")</f>
        <v>0</v>
      </c>
      <c r="R96" s="2">
        <f>HYPERLINK("https://tidesandcurrents.noaa.gov/datums.html?datum=MLLW&amp;units=0&amp;epoch=0&amp;id=8417134", "Datum Info")</f>
        <v>0</v>
      </c>
      <c r="S96" s="2">
        <f>HYPERLINK("https://api.tidesandcurrents.noaa.gov/mdapi/prod/webapi/stations/8417134.json", "More Info")</f>
        <v>0</v>
      </c>
      <c r="T96" s="1">
        <v>2245663</v>
      </c>
      <c r="U96" s="1">
        <v>-1.86</v>
      </c>
      <c r="V96" s="1" t="s">
        <v>869</v>
      </c>
      <c r="W96" s="1" t="s">
        <v>874</v>
      </c>
      <c r="X96" s="1" t="s">
        <v>886</v>
      </c>
      <c r="Y96" s="1">
        <v>6.52</v>
      </c>
      <c r="Z96" s="1">
        <v>6.17</v>
      </c>
      <c r="AA96" s="1">
        <v>3.19</v>
      </c>
      <c r="AB96" s="1">
        <v>3.36</v>
      </c>
      <c r="AC96" s="1">
        <v>3.26</v>
      </c>
      <c r="AD96" s="1">
        <v>0.21</v>
      </c>
      <c r="AE96" s="1">
        <v>0</v>
      </c>
      <c r="AG96" s="1">
        <v>-21.72</v>
      </c>
      <c r="AJ96" s="1">
        <v>-999999</v>
      </c>
      <c r="AK96" s="1">
        <v>-999999</v>
      </c>
      <c r="AY96" s="2">
        <f>HYPERLINK("https://vdatum.noaa.gov/vdatumweb/api/convert?s_x=-69.7667&amp;s_y=44.2333&amp;s_z=0.0&amp;region=contiguous&amp;s_h_frame=NAD83_2011&amp;s_coor=geo&amp;s_v_frame=NAVD88&amp;s_v_unit=us_ft&amp;t_h_frame=NAD83_2011&amp;t_coor=geo&amp;t_v_frame=MLLW&amp;t_v_unit=us_ft", "Missing")</f>
        <v>0</v>
      </c>
      <c r="AZ96" s="2">
        <f>HYPERLINK("https://vdatum.noaa.gov/vdatumweb/api/convert?s_x=-69.7667&amp;s_y=44.2333&amp;s_z=0.0&amp;region=contiguous&amp;s_h_frame=NAD83_2011&amp;s_coor=geo&amp;s_v_frame=NAVD88&amp;s_v_unit=us_ft&amp;t_h_frame=NAD83_2011&amp;t_coor=geo&amp;t_v_frame=MHHW&amp;t_v_unit=us_ft", "Missing")</f>
        <v>0</v>
      </c>
    </row>
    <row r="97" spans="1:52">
      <c r="A97" s="1" t="s">
        <v>121</v>
      </c>
      <c r="B97" s="1" t="s">
        <v>617</v>
      </c>
      <c r="D97" s="1" t="s">
        <v>652</v>
      </c>
      <c r="L97" s="1">
        <v>-69.785</v>
      </c>
      <c r="M97" s="1">
        <v>43.755</v>
      </c>
      <c r="N97" s="1">
        <v>8417177</v>
      </c>
      <c r="O97" s="1" t="s">
        <v>860</v>
      </c>
      <c r="P97" s="1" t="s">
        <v>866</v>
      </c>
      <c r="Q97" s="2">
        <f>HYPERLINK("https://tidesandcurrents.noaa.gov/stationhome.html?id=8417177", "Station Info")</f>
        <v>0</v>
      </c>
      <c r="R97" s="2">
        <f>HYPERLINK("https://tidesandcurrents.noaa.gov/datums.html?datum=MLLW&amp;units=0&amp;epoch=0&amp;id=8417177", "Datum Info")</f>
        <v>0</v>
      </c>
      <c r="S97" s="2">
        <f>HYPERLINK("https://api.tidesandcurrents.noaa.gov/mdapi/prod/webapi/stations/8417177.json", "More Info")</f>
        <v>0</v>
      </c>
      <c r="T97" s="1">
        <v>3998843</v>
      </c>
      <c r="U97" s="1">
        <v>-0.047</v>
      </c>
      <c r="V97" s="1" t="s">
        <v>869</v>
      </c>
      <c r="W97" s="1" t="s">
        <v>874</v>
      </c>
      <c r="X97" s="1" t="s">
        <v>886</v>
      </c>
      <c r="Y97" s="1">
        <v>9.24</v>
      </c>
      <c r="Z97" s="1">
        <v>8.82</v>
      </c>
      <c r="AA97" s="1">
        <v>4.58</v>
      </c>
      <c r="AB97" s="1">
        <v>4.59</v>
      </c>
      <c r="AC97" s="1">
        <v>4.62</v>
      </c>
      <c r="AD97" s="1">
        <v>0.34</v>
      </c>
      <c r="AE97" s="1">
        <v>0</v>
      </c>
      <c r="AF97" s="1" t="s">
        <v>980</v>
      </c>
      <c r="AG97" s="1">
        <v>-17.97</v>
      </c>
      <c r="AH97" s="1" t="s">
        <v>1128</v>
      </c>
      <c r="AI97" s="1" t="s">
        <v>1399</v>
      </c>
      <c r="AJ97" s="1">
        <v>4.752</v>
      </c>
      <c r="AK97" s="1">
        <v>-4.503</v>
      </c>
      <c r="AY97" s="2">
        <f>HYPERLINK("https://vdatum.noaa.gov/vdatumweb/api/convert?s_x=-69.785&amp;s_y=43.755&amp;s_z=0.0&amp;region=contiguous&amp;s_h_frame=NAD83_2011&amp;s_coor=geo&amp;s_v_frame=NAVD88&amp;s_v_unit=us_ft&amp;t_h_frame=NAD83_2011&amp;t_coor=geo&amp;t_v_frame=MLLW&amp;t_v_unit=us_ft", "NAVD88 to MLLW")</f>
        <v>0</v>
      </c>
      <c r="AZ97" s="2">
        <f>HYPERLINK("https://vdatum.noaa.gov/vdatumweb/api/convert?s_x=-69.785&amp;s_y=43.755&amp;s_z=0.0&amp;region=contiguous&amp;s_h_frame=NAD83_2011&amp;s_coor=geo&amp;s_v_frame=NAVD88&amp;s_v_unit=us_ft&amp;t_h_frame=NAD83_2011&amp;t_coor=geo&amp;t_v_frame=MHHW&amp;t_v_unit=us_ft", "NAVD88 to MHHW")</f>
        <v>0</v>
      </c>
    </row>
    <row r="98" spans="1:52">
      <c r="A98" s="1" t="s">
        <v>122</v>
      </c>
      <c r="B98" s="1" t="s">
        <v>617</v>
      </c>
      <c r="C98" s="1" t="s">
        <v>646</v>
      </c>
      <c r="D98" s="1" t="s">
        <v>652</v>
      </c>
      <c r="E98" s="1" t="s">
        <v>696</v>
      </c>
      <c r="F98" s="1" t="s">
        <v>836</v>
      </c>
      <c r="G98" s="1" t="s">
        <v>854</v>
      </c>
      <c r="L98" s="1">
        <v>-69.815</v>
      </c>
      <c r="M98" s="1">
        <v>43.925</v>
      </c>
      <c r="N98" s="1">
        <v>8417227</v>
      </c>
      <c r="O98" s="1" t="s">
        <v>860</v>
      </c>
      <c r="P98" s="1" t="s">
        <v>866</v>
      </c>
      <c r="Q98" s="2">
        <f>HYPERLINK("https://tidesandcurrents.noaa.gov/stationhome.html?id=8417227", "Station Info")</f>
        <v>0</v>
      </c>
      <c r="R98" s="2">
        <f>HYPERLINK("https://tidesandcurrents.noaa.gov/datums.html?datum=MLLW&amp;units=0&amp;epoch=0&amp;id=8417227", "Datum Info")</f>
        <v>0</v>
      </c>
      <c r="S98" s="2">
        <f>HYPERLINK("https://api.tidesandcurrents.noaa.gov/mdapi/prod/webapi/stations/8417227.json", "More Info")</f>
        <v>0</v>
      </c>
      <c r="T98" s="1">
        <v>2153871</v>
      </c>
      <c r="U98" s="1">
        <v>-1.97</v>
      </c>
      <c r="V98" s="1" t="s">
        <v>869</v>
      </c>
      <c r="W98" s="1" t="s">
        <v>874</v>
      </c>
      <c r="X98" s="1" t="s">
        <v>886</v>
      </c>
      <c r="Y98" s="1">
        <v>7.42</v>
      </c>
      <c r="Z98" s="1">
        <v>7.08</v>
      </c>
      <c r="AA98" s="1">
        <v>3.66</v>
      </c>
      <c r="AB98" s="1">
        <v>3.72</v>
      </c>
      <c r="AC98" s="1">
        <v>3.71</v>
      </c>
      <c r="AD98" s="1">
        <v>0.24</v>
      </c>
      <c r="AE98" s="1">
        <v>0</v>
      </c>
      <c r="AG98" s="1">
        <v>-15.28</v>
      </c>
      <c r="AJ98" s="1">
        <v>-999999</v>
      </c>
      <c r="AK98" s="1">
        <v>-999999</v>
      </c>
      <c r="AY98" s="2">
        <f>HYPERLINK("https://vdatum.noaa.gov/vdatumweb/api/convert?s_x=-69.815&amp;s_y=43.925&amp;s_z=0.0&amp;region=contiguous&amp;s_h_frame=NAD83_2011&amp;s_coor=geo&amp;s_v_frame=NAVD88&amp;s_v_unit=us_ft&amp;t_h_frame=NAD83_2011&amp;t_coor=geo&amp;t_v_frame=MLLW&amp;t_v_unit=us_ft", "Missing")</f>
        <v>0</v>
      </c>
      <c r="AZ98" s="2">
        <f>HYPERLINK("https://vdatum.noaa.gov/vdatumweb/api/convert?s_x=-69.815&amp;s_y=43.925&amp;s_z=0.0&amp;region=contiguous&amp;s_h_frame=NAD83_2011&amp;s_coor=geo&amp;s_v_frame=NAVD88&amp;s_v_unit=us_ft&amp;t_h_frame=NAD83_2011&amp;t_coor=geo&amp;t_v_frame=MHHW&amp;t_v_unit=us_ft", "Missing")</f>
        <v>0</v>
      </c>
    </row>
    <row r="99" spans="1:52">
      <c r="A99" s="1" t="s">
        <v>123</v>
      </c>
      <c r="B99" s="1" t="s">
        <v>617</v>
      </c>
      <c r="D99" s="1" t="s">
        <v>652</v>
      </c>
      <c r="L99" s="1">
        <v>-70.2067</v>
      </c>
      <c r="M99" s="1">
        <v>43.6233</v>
      </c>
      <c r="N99" s="1">
        <v>8418031</v>
      </c>
      <c r="O99" s="1" t="s">
        <v>861</v>
      </c>
      <c r="P99" s="1" t="s">
        <v>866</v>
      </c>
      <c r="Q99" s="2">
        <f>HYPERLINK("https://tidesandcurrents.noaa.gov/stationhome.html?id=8418031", "Station Info")</f>
        <v>0</v>
      </c>
      <c r="R99" s="2">
        <f>HYPERLINK("https://tidesandcurrents.noaa.gov/datums.html?datum=MLLW&amp;units=0&amp;epoch=0&amp;id=8418031", "Datum Info")</f>
        <v>0</v>
      </c>
      <c r="S99" s="2">
        <f>HYPERLINK("https://api.tidesandcurrents.noaa.gov/mdapi/prod/webapi/stations/8418031.json", "More Info")</f>
        <v>0</v>
      </c>
      <c r="T99" s="1">
        <v>2999145</v>
      </c>
      <c r="U99" s="1">
        <v>0</v>
      </c>
      <c r="V99" s="1" t="s">
        <v>869</v>
      </c>
      <c r="W99" s="1" t="s">
        <v>874</v>
      </c>
      <c r="X99" s="1" t="s">
        <v>886</v>
      </c>
      <c r="Y99" s="1">
        <v>9.66</v>
      </c>
      <c r="Z99" s="1">
        <v>9.220000000000001</v>
      </c>
      <c r="AA99" s="1">
        <v>4.78</v>
      </c>
      <c r="AB99" s="1">
        <v>4.81</v>
      </c>
      <c r="AC99" s="1">
        <v>4.83</v>
      </c>
      <c r="AD99" s="1">
        <v>0.34</v>
      </c>
      <c r="AE99" s="1">
        <v>0</v>
      </c>
      <c r="AF99" s="1" t="s">
        <v>981</v>
      </c>
      <c r="AG99" s="1">
        <v>1.65</v>
      </c>
      <c r="AH99" s="1" t="s">
        <v>1129</v>
      </c>
      <c r="AI99" s="1" t="s">
        <v>1400</v>
      </c>
      <c r="AJ99" s="1">
        <v>5.005</v>
      </c>
      <c r="AK99" s="1">
        <v>-4.654</v>
      </c>
      <c r="AY99" s="2">
        <f>HYPERLINK("https://vdatum.noaa.gov/vdatumweb/api/convert?s_x=-70.2067&amp;s_y=43.6233&amp;s_z=0.0&amp;region=contiguous&amp;s_h_frame=NAD83_2011&amp;s_coor=geo&amp;s_v_frame=NAVD88&amp;s_v_unit=us_ft&amp;t_h_frame=NAD83_2011&amp;t_coor=geo&amp;t_v_frame=MLLW&amp;t_v_unit=us_ft", "NAVD88 to MLLW")</f>
        <v>0</v>
      </c>
      <c r="AZ99" s="2">
        <f>HYPERLINK("https://vdatum.noaa.gov/vdatumweb/api/convert?s_x=-70.2067&amp;s_y=43.6233&amp;s_z=0.0&amp;region=contiguous&amp;s_h_frame=NAD83_2011&amp;s_coor=geo&amp;s_v_frame=NAVD88&amp;s_v_unit=us_ft&amp;t_h_frame=NAD83_2011&amp;t_coor=geo&amp;t_v_frame=MHHW&amp;t_v_unit=us_ft", "NAVD88 to MHHW")</f>
        <v>0</v>
      </c>
    </row>
    <row r="100" spans="1:52">
      <c r="A100" s="1" t="s">
        <v>124</v>
      </c>
      <c r="B100" s="1" t="s">
        <v>617</v>
      </c>
      <c r="D100" s="1" t="s">
        <v>652</v>
      </c>
      <c r="L100" s="1">
        <v>-70.24420000000001</v>
      </c>
      <c r="M100" s="1">
        <v>43.65806</v>
      </c>
      <c r="N100" s="1">
        <v>8418150</v>
      </c>
      <c r="O100" s="1" t="s">
        <v>860</v>
      </c>
      <c r="P100" s="1" t="s">
        <v>866</v>
      </c>
      <c r="Q100" s="2">
        <f>HYPERLINK("https://tidesandcurrents.noaa.gov/stationhome.html?id=8418150", "Station Info")</f>
        <v>0</v>
      </c>
      <c r="R100" s="2">
        <f>HYPERLINK("https://tidesandcurrents.noaa.gov/datums.html?datum=MLLW&amp;units=0&amp;epoch=0&amp;id=8418150", "Datum Info")</f>
        <v>0</v>
      </c>
      <c r="S100" s="2">
        <f>HYPERLINK("https://api.tidesandcurrents.noaa.gov/mdapi/prod/webapi/stations/8418150.json", "More Info")</f>
        <v>0</v>
      </c>
      <c r="T100" s="1">
        <v>3685427</v>
      </c>
      <c r="U100" s="1">
        <v>0</v>
      </c>
      <c r="V100" s="1" t="s">
        <v>869</v>
      </c>
      <c r="W100" s="1" t="s">
        <v>874</v>
      </c>
      <c r="X100" s="1" t="s">
        <v>886</v>
      </c>
      <c r="Y100" s="1">
        <v>9.91</v>
      </c>
      <c r="Z100" s="1">
        <v>9.470000000000001</v>
      </c>
      <c r="AA100" s="1">
        <v>4.91</v>
      </c>
      <c r="AB100" s="1">
        <v>4.94</v>
      </c>
      <c r="AC100" s="1">
        <v>4.96</v>
      </c>
      <c r="AD100" s="1">
        <v>0.35</v>
      </c>
      <c r="AE100" s="1">
        <v>0</v>
      </c>
      <c r="AF100" s="1">
        <v>5.26</v>
      </c>
      <c r="AG100" s="1">
        <v>-8.550000000000001</v>
      </c>
      <c r="AH100" s="1" t="s">
        <v>1130</v>
      </c>
      <c r="AI100" s="1" t="s">
        <v>1401</v>
      </c>
      <c r="AJ100" s="1">
        <v>5.243</v>
      </c>
      <c r="AK100" s="1">
        <v>-4.653</v>
      </c>
      <c r="AY100" s="2">
        <f>HYPERLINK("https://vdatum.noaa.gov/vdatumweb/api/convert?s_x=-70.2442&amp;s_y=43.65806&amp;s_z=0.0&amp;region=contiguous&amp;s_h_frame=NAD83_2011&amp;s_coor=geo&amp;s_v_frame=NAVD88&amp;s_v_unit=us_ft&amp;t_h_frame=NAD83_2011&amp;t_coor=geo&amp;t_v_frame=MLLW&amp;t_v_unit=us_ft", "NAVD88 to MLLW")</f>
        <v>0</v>
      </c>
      <c r="AZ100" s="2">
        <f>HYPERLINK("https://vdatum.noaa.gov/vdatumweb/api/convert?s_x=-70.2442&amp;s_y=43.65806&amp;s_z=0.0&amp;region=contiguous&amp;s_h_frame=NAD83_2011&amp;s_coor=geo&amp;s_v_frame=NAVD88&amp;s_v_unit=us_ft&amp;t_h_frame=NAD83_2011&amp;t_coor=geo&amp;t_v_frame=MHHW&amp;t_v_unit=us_ft", "NAVD88 to MHHW")</f>
        <v>0</v>
      </c>
    </row>
    <row r="101" spans="1:52">
      <c r="A101" s="1" t="s">
        <v>125</v>
      </c>
      <c r="B101" s="1" t="s">
        <v>617</v>
      </c>
      <c r="D101" s="1" t="s">
        <v>652</v>
      </c>
      <c r="L101" s="1">
        <v>-70.33329999999999</v>
      </c>
      <c r="M101" s="1">
        <v>43.545</v>
      </c>
      <c r="N101" s="1">
        <v>8418445</v>
      </c>
      <c r="O101" s="1" t="s">
        <v>861</v>
      </c>
      <c r="P101" s="1" t="s">
        <v>866</v>
      </c>
      <c r="Q101" s="2">
        <f>HYPERLINK("https://tidesandcurrents.noaa.gov/stationhome.html?id=8418445", "Station Info")</f>
        <v>0</v>
      </c>
      <c r="R101" s="2">
        <f>HYPERLINK("https://tidesandcurrents.noaa.gov/datums.html?datum=MLLW&amp;units=0&amp;epoch=0&amp;id=8418445", "Datum Info")</f>
        <v>0</v>
      </c>
      <c r="S101" s="2">
        <f>HYPERLINK("https://api.tidesandcurrents.noaa.gov/mdapi/prod/webapi/stations/8418445.json", "More Info")</f>
        <v>0</v>
      </c>
      <c r="T101" s="1">
        <v>5102217</v>
      </c>
      <c r="U101" s="1">
        <v>0</v>
      </c>
      <c r="V101" s="1" t="s">
        <v>869</v>
      </c>
      <c r="W101" s="1" t="s">
        <v>874</v>
      </c>
      <c r="X101" s="1" t="s">
        <v>886</v>
      </c>
      <c r="Y101" s="1">
        <v>9.52</v>
      </c>
      <c r="Z101" s="1">
        <v>9.1</v>
      </c>
      <c r="AA101" s="1">
        <v>4.72</v>
      </c>
      <c r="AB101" s="1">
        <v>4.76</v>
      </c>
      <c r="AC101" s="1">
        <v>4.76</v>
      </c>
      <c r="AD101" s="1">
        <v>0.33</v>
      </c>
      <c r="AE101" s="1">
        <v>0</v>
      </c>
      <c r="AF101" s="1">
        <v>4.92</v>
      </c>
      <c r="AG101" s="1">
        <v>-18.42</v>
      </c>
      <c r="AH101" s="1" t="s">
        <v>1131</v>
      </c>
      <c r="AI101" s="1" t="s">
        <v>1402</v>
      </c>
      <c r="AJ101" s="1">
        <v>4.921</v>
      </c>
      <c r="AK101" s="1">
        <v>-4.599</v>
      </c>
      <c r="AY101" s="2">
        <f>HYPERLINK("https://vdatum.noaa.gov/vdatumweb/api/convert?s_x=-70.3333&amp;s_y=43.545&amp;s_z=0.0&amp;region=contiguous&amp;s_h_frame=NAD83_2011&amp;s_coor=geo&amp;s_v_frame=NAVD88&amp;s_v_unit=us_ft&amp;t_h_frame=NAD83_2011&amp;t_coor=geo&amp;t_v_frame=MLLW&amp;t_v_unit=us_ft", "NAVD88 to MLLW")</f>
        <v>0</v>
      </c>
      <c r="AZ101" s="2">
        <f>HYPERLINK("https://vdatum.noaa.gov/vdatumweb/api/convert?s_x=-70.3333&amp;s_y=43.545&amp;s_z=0.0&amp;region=contiguous&amp;s_h_frame=NAD83_2011&amp;s_coor=geo&amp;s_v_frame=NAVD88&amp;s_v_unit=us_ft&amp;t_h_frame=NAD83_2011&amp;t_coor=geo&amp;t_v_frame=MHHW&amp;t_v_unit=us_ft", "NAVD88 to MHHW")</f>
        <v>0</v>
      </c>
    </row>
    <row r="102" spans="1:52">
      <c r="A102" s="1" t="s">
        <v>126</v>
      </c>
      <c r="B102" s="1" t="s">
        <v>617</v>
      </c>
      <c r="C102" s="1" t="s">
        <v>646</v>
      </c>
      <c r="D102" s="1" t="s">
        <v>652</v>
      </c>
      <c r="E102" s="1" t="s">
        <v>663</v>
      </c>
      <c r="F102" s="1" t="s">
        <v>836</v>
      </c>
      <c r="G102" s="1" t="s">
        <v>854</v>
      </c>
      <c r="H102" s="1" t="s">
        <v>1758</v>
      </c>
      <c r="I102" s="1" t="s">
        <v>1858</v>
      </c>
      <c r="J102" s="1" t="s">
        <v>1888</v>
      </c>
      <c r="K102" s="1" t="s">
        <v>2048</v>
      </c>
      <c r="L102" s="1">
        <v>-70.3817</v>
      </c>
      <c r="M102" s="1">
        <v>43.4617</v>
      </c>
      <c r="N102" s="1">
        <v>8418606</v>
      </c>
      <c r="O102" s="1" t="s">
        <v>861</v>
      </c>
      <c r="P102" s="1" t="s">
        <v>866</v>
      </c>
      <c r="Q102" s="2">
        <f>HYPERLINK("https://tidesandcurrents.noaa.gov/stationhome.html?id=8418606", "Station Info")</f>
        <v>0</v>
      </c>
      <c r="R102" s="2">
        <f>HYPERLINK("https://tidesandcurrents.noaa.gov/datums.html?datum=MLLW&amp;units=0&amp;epoch=0&amp;id=8418606", "Datum Info")</f>
        <v>0</v>
      </c>
      <c r="S102" s="2">
        <f>HYPERLINK("https://api.tidesandcurrents.noaa.gov/mdapi/prod/webapi/stations/8418606.json", "More Info")</f>
        <v>0</v>
      </c>
      <c r="T102" s="1">
        <v>3523342</v>
      </c>
      <c r="U102" s="1">
        <v>-0.052</v>
      </c>
      <c r="V102" s="1" t="s">
        <v>869</v>
      </c>
      <c r="W102" s="1" t="s">
        <v>874</v>
      </c>
      <c r="X102" s="1" t="s">
        <v>886</v>
      </c>
      <c r="Y102" s="1">
        <v>9.68</v>
      </c>
      <c r="Z102" s="1">
        <v>9.25</v>
      </c>
      <c r="AA102" s="1">
        <v>4.79</v>
      </c>
      <c r="AB102" s="1">
        <v>4.82</v>
      </c>
      <c r="AC102" s="1">
        <v>4.84</v>
      </c>
      <c r="AD102" s="1">
        <v>0.33</v>
      </c>
      <c r="AE102" s="1">
        <v>0</v>
      </c>
      <c r="AF102" s="1" t="s">
        <v>982</v>
      </c>
      <c r="AG102" s="1">
        <v>-4.06</v>
      </c>
      <c r="AH102" s="1" t="s">
        <v>1129</v>
      </c>
      <c r="AI102" s="1" t="s">
        <v>1403</v>
      </c>
      <c r="AJ102" s="1">
        <v>4.994</v>
      </c>
      <c r="AK102" s="1">
        <v>-4.685</v>
      </c>
      <c r="AM102" s="1">
        <v>0</v>
      </c>
      <c r="AS102" s="1">
        <v>12.5</v>
      </c>
      <c r="AT102" s="1">
        <v>12.8</v>
      </c>
      <c r="AU102" s="1">
        <v>13.8</v>
      </c>
      <c r="AV102" s="1">
        <v>14.2</v>
      </c>
      <c r="AW102" s="1" t="s">
        <v>1744</v>
      </c>
      <c r="AX102" s="2">
        <f>HYPERLINK("https://water.weather.gov/ahps2/hydrograph.php?wfo=gyx&amp;gage=cpem1", "AHPS Data")</f>
        <v>0</v>
      </c>
      <c r="AY102" s="2">
        <f>HYPERLINK("https://vdatum.noaa.gov/vdatumweb/api/convert?s_x=-70.3817&amp;s_y=43.4617&amp;s_z=0.0&amp;region=contiguous&amp;s_h_frame=NAD83_2011&amp;s_coor=geo&amp;s_v_frame=NAVD88&amp;s_v_unit=us_ft&amp;t_h_frame=NAD83_2011&amp;t_coor=geo&amp;t_v_frame=MLLW&amp;t_v_unit=us_ft", "NAVD88 to MLLW")</f>
        <v>0</v>
      </c>
      <c r="AZ102" s="2">
        <f>HYPERLINK("https://vdatum.noaa.gov/vdatumweb/api/convert?s_x=-70.3817&amp;s_y=43.4617&amp;s_z=0.0&amp;region=contiguous&amp;s_h_frame=NAD83_2011&amp;s_coor=geo&amp;s_v_frame=NAVD88&amp;s_v_unit=us_ft&amp;t_h_frame=NAD83_2011&amp;t_coor=geo&amp;t_v_frame=MHHW&amp;t_v_unit=us_ft", "NAVD88 to MHHW")</f>
        <v>0</v>
      </c>
    </row>
    <row r="103" spans="1:52">
      <c r="A103" s="1" t="s">
        <v>127</v>
      </c>
      <c r="B103" s="1" t="s">
        <v>617</v>
      </c>
      <c r="C103" s="1" t="s">
        <v>646</v>
      </c>
      <c r="D103" s="1" t="s">
        <v>652</v>
      </c>
      <c r="E103" s="1" t="s">
        <v>663</v>
      </c>
      <c r="F103" s="1" t="s">
        <v>836</v>
      </c>
      <c r="G103" s="1" t="s">
        <v>854</v>
      </c>
      <c r="L103" s="1">
        <v>-70.44670000000001</v>
      </c>
      <c r="M103" s="1">
        <v>43.4917</v>
      </c>
      <c r="N103" s="1">
        <v>8418828</v>
      </c>
      <c r="O103" s="1" t="s">
        <v>861</v>
      </c>
      <c r="P103" s="1" t="s">
        <v>866</v>
      </c>
      <c r="Q103" s="2">
        <f>HYPERLINK("https://tidesandcurrents.noaa.gov/stationhome.html?id=8418828", "Station Info")</f>
        <v>0</v>
      </c>
      <c r="R103" s="2">
        <f>HYPERLINK("https://tidesandcurrents.noaa.gov/datums.html?datum=MLLW&amp;units=0&amp;epoch=0&amp;id=8418828", "Datum Info")</f>
        <v>0</v>
      </c>
      <c r="S103" s="2">
        <f>HYPERLINK("https://api.tidesandcurrents.noaa.gov/mdapi/prod/webapi/stations/8418828.json", "More Info")</f>
        <v>0</v>
      </c>
      <c r="T103" s="1">
        <v>3179579</v>
      </c>
      <c r="U103" s="1">
        <v>-2.36</v>
      </c>
      <c r="V103" s="1" t="s">
        <v>869</v>
      </c>
      <c r="W103" s="1" t="s">
        <v>874</v>
      </c>
      <c r="X103" s="1" t="s">
        <v>886</v>
      </c>
      <c r="Y103" s="1">
        <v>9.83</v>
      </c>
      <c r="Z103" s="1">
        <v>9.390000000000001</v>
      </c>
      <c r="AA103" s="1">
        <v>4.86</v>
      </c>
      <c r="AB103" s="1">
        <v>4.98</v>
      </c>
      <c r="AC103" s="1">
        <v>4.91</v>
      </c>
      <c r="AD103" s="1">
        <v>0.33</v>
      </c>
      <c r="AE103" s="1">
        <v>0</v>
      </c>
      <c r="AG103" s="1">
        <v>0.07000000000000001</v>
      </c>
      <c r="AJ103" s="1">
        <v>-999999</v>
      </c>
      <c r="AK103" s="1">
        <v>-999999</v>
      </c>
      <c r="AY103" s="2">
        <f>HYPERLINK("https://vdatum.noaa.gov/vdatumweb/api/convert?s_x=-70.4467&amp;s_y=43.4917&amp;s_z=0.0&amp;region=contiguous&amp;s_h_frame=NAD83_2011&amp;s_coor=geo&amp;s_v_frame=NAVD88&amp;s_v_unit=us_ft&amp;t_h_frame=NAD83_2011&amp;t_coor=geo&amp;t_v_frame=MLLW&amp;t_v_unit=us_ft", "Missing")</f>
        <v>0</v>
      </c>
      <c r="AZ103" s="2">
        <f>HYPERLINK("https://vdatum.noaa.gov/vdatumweb/api/convert?s_x=-70.4467&amp;s_y=43.4917&amp;s_z=0.0&amp;region=contiguous&amp;s_h_frame=NAD83_2011&amp;s_coor=geo&amp;s_v_frame=NAVD88&amp;s_v_unit=us_ft&amp;t_h_frame=NAD83_2011&amp;t_coor=geo&amp;t_v_frame=MHHW&amp;t_v_unit=us_ft", "Missing")</f>
        <v>0</v>
      </c>
    </row>
    <row r="104" spans="1:52">
      <c r="A104" s="1" t="s">
        <v>128</v>
      </c>
      <c r="B104" s="1" t="s">
        <v>617</v>
      </c>
      <c r="C104" s="1" t="s">
        <v>646</v>
      </c>
      <c r="D104" s="1" t="s">
        <v>652</v>
      </c>
      <c r="E104" s="1" t="s">
        <v>663</v>
      </c>
      <c r="F104" s="1" t="s">
        <v>836</v>
      </c>
      <c r="G104" s="1" t="s">
        <v>854</v>
      </c>
      <c r="L104" s="1">
        <v>-70.47669999999999</v>
      </c>
      <c r="M104" s="1">
        <v>43.3583</v>
      </c>
      <c r="N104" s="1">
        <v>8418911</v>
      </c>
      <c r="O104" s="1" t="s">
        <v>861</v>
      </c>
      <c r="P104" s="1" t="s">
        <v>866</v>
      </c>
      <c r="Q104" s="2">
        <f>HYPERLINK("https://tidesandcurrents.noaa.gov/stationhome.html?id=8418911", "Station Info")</f>
        <v>0</v>
      </c>
      <c r="R104" s="2">
        <f>HYPERLINK("https://tidesandcurrents.noaa.gov/datums.html?datum=MLLW&amp;units=0&amp;epoch=0&amp;id=8418911", "Datum Info")</f>
        <v>0</v>
      </c>
      <c r="S104" s="2">
        <f>HYPERLINK("https://api.tidesandcurrents.noaa.gov/mdapi/prod/webapi/stations/8418911.json", "More Info")</f>
        <v>0</v>
      </c>
      <c r="T104" s="1">
        <v>3180344</v>
      </c>
      <c r="U104" s="1">
        <v>-0.08799999999999999</v>
      </c>
      <c r="V104" s="1" t="s">
        <v>869</v>
      </c>
      <c r="W104" s="1" t="s">
        <v>874</v>
      </c>
      <c r="X104" s="1" t="s">
        <v>886</v>
      </c>
      <c r="Y104" s="1">
        <v>9.6</v>
      </c>
      <c r="Z104" s="1">
        <v>9.18</v>
      </c>
      <c r="AA104" s="1">
        <v>4.76</v>
      </c>
      <c r="AB104" s="1">
        <v>4.81</v>
      </c>
      <c r="AC104" s="1">
        <v>4.8</v>
      </c>
      <c r="AD104" s="1">
        <v>0.34</v>
      </c>
      <c r="AE104" s="1">
        <v>0</v>
      </c>
      <c r="AF104" s="1" t="s">
        <v>983</v>
      </c>
      <c r="AG104" s="1">
        <v>-2.12</v>
      </c>
      <c r="AH104" s="1" t="s">
        <v>1132</v>
      </c>
      <c r="AI104" s="1" t="s">
        <v>1404</v>
      </c>
      <c r="AJ104" s="1">
        <v>5.093</v>
      </c>
      <c r="AK104" s="1">
        <v>-4.509</v>
      </c>
      <c r="AY104" s="2">
        <f>HYPERLINK("https://vdatum.noaa.gov/vdatumweb/api/convert?s_x=-70.4767&amp;s_y=43.3583&amp;s_z=0.0&amp;region=contiguous&amp;s_h_frame=NAD83_2011&amp;s_coor=geo&amp;s_v_frame=NAVD88&amp;s_v_unit=us_ft&amp;t_h_frame=NAD83_2011&amp;t_coor=geo&amp;t_v_frame=MLLW&amp;t_v_unit=us_ft", "NAVD88 to MLLW")</f>
        <v>0</v>
      </c>
      <c r="AZ104" s="2">
        <f>HYPERLINK("https://vdatum.noaa.gov/vdatumweb/api/convert?s_x=-70.4767&amp;s_y=43.3583&amp;s_z=0.0&amp;region=contiguous&amp;s_h_frame=NAD83_2011&amp;s_coor=geo&amp;s_v_frame=NAVD88&amp;s_v_unit=us_ft&amp;t_h_frame=NAD83_2011&amp;t_coor=geo&amp;t_v_frame=MHHW&amp;t_v_unit=us_ft", "NAVD88 to MHHW")</f>
        <v>0</v>
      </c>
    </row>
    <row r="105" spans="1:52">
      <c r="A105" s="1" t="s">
        <v>129</v>
      </c>
      <c r="B105" s="1" t="s">
        <v>617</v>
      </c>
      <c r="C105" s="1" t="s">
        <v>646</v>
      </c>
      <c r="D105" s="1" t="s">
        <v>652</v>
      </c>
      <c r="L105" s="1">
        <v>-70.5633</v>
      </c>
      <c r="M105" s="1">
        <v>43.32</v>
      </c>
      <c r="N105" s="1">
        <v>8419317</v>
      </c>
      <c r="O105" s="1" t="s">
        <v>860</v>
      </c>
      <c r="P105" s="1" t="s">
        <v>866</v>
      </c>
      <c r="Q105" s="2">
        <f>HYPERLINK("https://tidesandcurrents.noaa.gov/stationhome.html?id=8419317", "Station Info")</f>
        <v>0</v>
      </c>
      <c r="R105" s="2">
        <f>HYPERLINK("https://tidesandcurrents.noaa.gov/datums.html?datum=MLLW&amp;units=0&amp;epoch=0&amp;id=8419317", "Datum Info")</f>
        <v>0</v>
      </c>
      <c r="S105" s="2">
        <f>HYPERLINK("https://api.tidesandcurrents.noaa.gov/mdapi/prod/webapi/stations/8419317.json", "More Info")</f>
        <v>0</v>
      </c>
      <c r="T105" s="1">
        <v>4151267</v>
      </c>
      <c r="U105" s="1">
        <v>0</v>
      </c>
      <c r="V105" s="1" t="s">
        <v>869</v>
      </c>
      <c r="W105" s="1" t="s">
        <v>874</v>
      </c>
      <c r="X105" s="1" t="s">
        <v>886</v>
      </c>
      <c r="Y105" s="1">
        <v>9.56</v>
      </c>
      <c r="Z105" s="1">
        <v>9.130000000000001</v>
      </c>
      <c r="AA105" s="1">
        <v>4.73</v>
      </c>
      <c r="AB105" s="1">
        <v>4.77</v>
      </c>
      <c r="AC105" s="1">
        <v>4.78</v>
      </c>
      <c r="AD105" s="1">
        <v>0.34</v>
      </c>
      <c r="AE105" s="1">
        <v>0</v>
      </c>
      <c r="AF105" s="1">
        <v>5.14</v>
      </c>
      <c r="AG105" s="1">
        <v>-14.77</v>
      </c>
      <c r="AH105" s="1" t="s">
        <v>1132</v>
      </c>
      <c r="AI105" s="1" t="s">
        <v>1405</v>
      </c>
      <c r="AJ105" s="1">
        <v>5.05</v>
      </c>
      <c r="AK105" s="1">
        <v>-4.491</v>
      </c>
      <c r="AY105" s="2">
        <f>HYPERLINK("https://vdatum.noaa.gov/vdatumweb/api/convert?s_x=-70.5633&amp;s_y=43.32&amp;s_z=0.0&amp;region=contiguous&amp;s_h_frame=NAD83_2011&amp;s_coor=geo&amp;s_v_frame=NAVD88&amp;s_v_unit=us_ft&amp;t_h_frame=NAD83_2011&amp;t_coor=geo&amp;t_v_frame=MLLW&amp;t_v_unit=us_ft", "NAVD88 to MLLW")</f>
        <v>0</v>
      </c>
      <c r="AZ105" s="2">
        <f>HYPERLINK("https://vdatum.noaa.gov/vdatumweb/api/convert?s_x=-70.5633&amp;s_y=43.32&amp;s_z=0.0&amp;region=contiguous&amp;s_h_frame=NAD83_2011&amp;s_coor=geo&amp;s_v_frame=NAVD88&amp;s_v_unit=us_ft&amp;t_h_frame=NAD83_2011&amp;t_coor=geo&amp;t_v_frame=MHHW&amp;t_v_unit=us_ft", "NAVD88 to MHHW")</f>
        <v>0</v>
      </c>
    </row>
    <row r="106" spans="1:52">
      <c r="A106" s="1" t="s">
        <v>130</v>
      </c>
      <c r="B106" s="1" t="s">
        <v>617</v>
      </c>
      <c r="D106" s="1" t="s">
        <v>652</v>
      </c>
      <c r="E106" s="1" t="s">
        <v>663</v>
      </c>
      <c r="F106" s="1" t="s">
        <v>836</v>
      </c>
      <c r="G106" s="1" t="s">
        <v>854</v>
      </c>
      <c r="L106" s="1">
        <v>-70.5933</v>
      </c>
      <c r="M106" s="1">
        <v>43.1667</v>
      </c>
      <c r="N106" s="1">
        <v>8419399</v>
      </c>
      <c r="O106" s="1" t="s">
        <v>861</v>
      </c>
      <c r="P106" s="1" t="s">
        <v>866</v>
      </c>
      <c r="Q106" s="2">
        <f>HYPERLINK("https://tidesandcurrents.noaa.gov/stationhome.html?id=8419399", "Station Info")</f>
        <v>0</v>
      </c>
      <c r="R106" s="2">
        <f>HYPERLINK("https://tidesandcurrents.noaa.gov/datums.html?datum=MLLW&amp;units=0&amp;epoch=0&amp;id=8419399", "Datum Info")</f>
        <v>0</v>
      </c>
      <c r="S106" s="2">
        <f>HYPERLINK("https://api.tidesandcurrents.noaa.gov/mdapi/prod/webapi/stations/8419399.json", "More Info")</f>
        <v>0</v>
      </c>
      <c r="T106" s="1">
        <v>3180642</v>
      </c>
      <c r="U106" s="1">
        <v>0</v>
      </c>
      <c r="V106" s="1" t="s">
        <v>869</v>
      </c>
      <c r="W106" s="1" t="s">
        <v>874</v>
      </c>
      <c r="X106" s="1" t="s">
        <v>886</v>
      </c>
      <c r="Y106" s="1">
        <v>9.460000000000001</v>
      </c>
      <c r="Z106" s="1">
        <v>9.029999999999999</v>
      </c>
      <c r="AA106" s="1">
        <v>4.68</v>
      </c>
      <c r="AB106" s="1">
        <v>4.71</v>
      </c>
      <c r="AC106" s="1">
        <v>4.73</v>
      </c>
      <c r="AD106" s="1">
        <v>0.33</v>
      </c>
      <c r="AE106" s="1">
        <v>0</v>
      </c>
      <c r="AF106" s="1" t="s">
        <v>982</v>
      </c>
      <c r="AG106" s="1">
        <v>-3.87</v>
      </c>
      <c r="AH106" s="1" t="s">
        <v>1133</v>
      </c>
      <c r="AI106" s="1" t="s">
        <v>1406</v>
      </c>
      <c r="AJ106" s="1">
        <v>4.994</v>
      </c>
      <c r="AK106" s="1">
        <v>-4.468</v>
      </c>
      <c r="AY106" s="2">
        <f>HYPERLINK("https://vdatum.noaa.gov/vdatumweb/api/convert?s_x=-70.5933&amp;s_y=43.1667&amp;s_z=0.0&amp;region=contiguous&amp;s_h_frame=NAD83_2011&amp;s_coor=geo&amp;s_v_frame=NAVD88&amp;s_v_unit=us_ft&amp;t_h_frame=NAD83_2011&amp;t_coor=geo&amp;t_v_frame=MLLW&amp;t_v_unit=us_ft", "NAVD88 to MLLW")</f>
        <v>0</v>
      </c>
      <c r="AZ106" s="2">
        <f>HYPERLINK("https://vdatum.noaa.gov/vdatumweb/api/convert?s_x=-70.5933&amp;s_y=43.1667&amp;s_z=0.0&amp;region=contiguous&amp;s_h_frame=NAD83_2011&amp;s_coor=geo&amp;s_v_frame=NAVD88&amp;s_v_unit=us_ft&amp;t_h_frame=NAD83_2011&amp;t_coor=geo&amp;t_v_frame=MHHW&amp;t_v_unit=us_ft", "NAVD88 to MHHW")</f>
        <v>0</v>
      </c>
    </row>
    <row r="107" spans="1:52">
      <c r="A107" s="1" t="s">
        <v>131</v>
      </c>
      <c r="B107" s="1" t="s">
        <v>617</v>
      </c>
      <c r="D107" s="1" t="s">
        <v>652</v>
      </c>
      <c r="E107" s="1" t="s">
        <v>663</v>
      </c>
      <c r="F107" s="1" t="s">
        <v>836</v>
      </c>
      <c r="G107" s="1" t="s">
        <v>854</v>
      </c>
      <c r="L107" s="1">
        <v>-70.741</v>
      </c>
      <c r="M107" s="1">
        <v>43.07972</v>
      </c>
      <c r="N107" s="1">
        <v>8419870</v>
      </c>
      <c r="O107" s="1" t="s">
        <v>861</v>
      </c>
      <c r="P107" s="1" t="s">
        <v>866</v>
      </c>
      <c r="Q107" s="2">
        <f>HYPERLINK("https://tidesandcurrents.noaa.gov/stationhome.html?id=8419870", "Station Info")</f>
        <v>0</v>
      </c>
      <c r="R107" s="2">
        <f>HYPERLINK("https://tidesandcurrents.noaa.gov/datums.html?datum=MLLW&amp;units=0&amp;epoch=0&amp;id=8419870", "Datum Info")</f>
        <v>0</v>
      </c>
      <c r="S107" s="2">
        <f>HYPERLINK("https://api.tidesandcurrents.noaa.gov/mdapi/prod/webapi/stations/8419870.json", "More Info")</f>
        <v>0</v>
      </c>
      <c r="T107" s="1">
        <v>4846541</v>
      </c>
      <c r="U107" s="1">
        <v>0</v>
      </c>
      <c r="V107" s="1" t="s">
        <v>869</v>
      </c>
      <c r="W107" s="1" t="s">
        <v>874</v>
      </c>
      <c r="X107" s="1" t="s">
        <v>886</v>
      </c>
      <c r="Y107" s="1">
        <v>8.890000000000001</v>
      </c>
      <c r="Z107" s="1">
        <v>8.470000000000001</v>
      </c>
      <c r="AA107" s="1">
        <v>4.39</v>
      </c>
      <c r="AB107" s="1">
        <v>4.46</v>
      </c>
      <c r="AC107" s="1">
        <v>4.45</v>
      </c>
      <c r="AD107" s="1">
        <v>0.32</v>
      </c>
      <c r="AE107" s="1">
        <v>0</v>
      </c>
      <c r="AF107" s="1">
        <v>4.71</v>
      </c>
      <c r="AG107" s="1">
        <v>-2.27</v>
      </c>
      <c r="AH107" s="1" t="s">
        <v>1134</v>
      </c>
      <c r="AI107" s="1" t="s">
        <v>1407</v>
      </c>
      <c r="AJ107" s="1">
        <v>4.617</v>
      </c>
      <c r="AK107" s="1">
        <v>-4.214</v>
      </c>
      <c r="AY107" s="2">
        <f>HYPERLINK("https://vdatum.noaa.gov/vdatumweb/api/convert?s_x=-70.741&amp;s_y=43.07972&amp;s_z=0.0&amp;region=contiguous&amp;s_h_frame=NAD83_2011&amp;s_coor=geo&amp;s_v_frame=NAVD88&amp;s_v_unit=us_ft&amp;t_h_frame=NAD83_2011&amp;t_coor=geo&amp;t_v_frame=MLLW&amp;t_v_unit=us_ft", "NAVD88 to MLLW")</f>
        <v>0</v>
      </c>
      <c r="AZ107" s="2">
        <f>HYPERLINK("https://vdatum.noaa.gov/vdatumweb/api/convert?s_x=-70.741&amp;s_y=43.07972&amp;s_z=0.0&amp;region=contiguous&amp;s_h_frame=NAD83_2011&amp;s_coor=geo&amp;s_v_frame=NAVD88&amp;s_v_unit=us_ft&amp;t_h_frame=NAD83_2011&amp;t_coor=geo&amp;t_v_frame=MHHW&amp;t_v_unit=us_ft", "NAVD88 to MHHW")</f>
        <v>0</v>
      </c>
    </row>
    <row r="108" spans="1:52">
      <c r="A108" s="1" t="s">
        <v>132</v>
      </c>
      <c r="B108" s="1" t="s">
        <v>617</v>
      </c>
      <c r="D108" s="1" t="s">
        <v>652</v>
      </c>
      <c r="E108" s="1" t="s">
        <v>697</v>
      </c>
      <c r="F108" s="1" t="s">
        <v>839</v>
      </c>
      <c r="G108" s="1" t="s">
        <v>854</v>
      </c>
      <c r="L108" s="1">
        <v>-70.7106</v>
      </c>
      <c r="M108" s="1">
        <v>43.07139</v>
      </c>
      <c r="N108" s="1">
        <v>8423898</v>
      </c>
      <c r="O108" s="1" t="s">
        <v>860</v>
      </c>
      <c r="P108" s="1" t="s">
        <v>866</v>
      </c>
      <c r="Q108" s="2">
        <f>HYPERLINK("https://tidesandcurrents.noaa.gov/stationhome.html?id=8423898", "Station Info")</f>
        <v>0</v>
      </c>
      <c r="R108" s="2">
        <f>HYPERLINK("https://tidesandcurrents.noaa.gov/datums.html?datum=MLLW&amp;units=0&amp;epoch=0&amp;id=8423898", "Datum Info")</f>
        <v>0</v>
      </c>
      <c r="S108" s="2">
        <f>HYPERLINK("https://api.tidesandcurrents.noaa.gov/mdapi/prod/webapi/stations/8423898.json", "More Info")</f>
        <v>0</v>
      </c>
      <c r="T108" s="1">
        <v>5464127</v>
      </c>
      <c r="U108" s="1">
        <v>0</v>
      </c>
      <c r="V108" s="1" t="s">
        <v>869</v>
      </c>
      <c r="W108" s="1" t="s">
        <v>874</v>
      </c>
      <c r="X108" s="1" t="s">
        <v>886</v>
      </c>
      <c r="Y108" s="1">
        <v>9.390000000000001</v>
      </c>
      <c r="Z108" s="1">
        <v>8.970000000000001</v>
      </c>
      <c r="AA108" s="1">
        <v>4.65</v>
      </c>
      <c r="AB108" s="1">
        <v>4.69</v>
      </c>
      <c r="AC108" s="1">
        <v>4.7</v>
      </c>
      <c r="AD108" s="1">
        <v>0.34</v>
      </c>
      <c r="AE108" s="1">
        <v>0</v>
      </c>
      <c r="AF108" s="1">
        <v>5</v>
      </c>
      <c r="AG108" s="1">
        <v>-2.71</v>
      </c>
      <c r="AH108" s="1" t="s">
        <v>1135</v>
      </c>
      <c r="AI108" s="1" t="s">
        <v>1408</v>
      </c>
      <c r="AJ108" s="1">
        <v>5.01</v>
      </c>
      <c r="AK108" s="1">
        <v>-4.42</v>
      </c>
      <c r="AY108" s="2">
        <f>HYPERLINK("https://vdatum.noaa.gov/vdatumweb/api/convert?s_x=-70.7106&amp;s_y=43.07139&amp;s_z=0.0&amp;region=contiguous&amp;s_h_frame=NAD83_2011&amp;s_coor=geo&amp;s_v_frame=NAVD88&amp;s_v_unit=us_ft&amp;t_h_frame=NAD83_2011&amp;t_coor=geo&amp;t_v_frame=MLLW&amp;t_v_unit=us_ft", "NAVD88 to MLLW")</f>
        <v>0</v>
      </c>
      <c r="AZ108" s="2">
        <f>HYPERLINK("https://vdatum.noaa.gov/vdatumweb/api/convert?s_x=-70.7106&amp;s_y=43.07139&amp;s_z=0.0&amp;region=contiguous&amp;s_h_frame=NAD83_2011&amp;s_coor=geo&amp;s_v_frame=NAVD88&amp;s_v_unit=us_ft&amp;t_h_frame=NAD83_2011&amp;t_coor=geo&amp;t_v_frame=MHHW&amp;t_v_unit=us_ft", "NAVD88 to MHHW")</f>
        <v>0</v>
      </c>
    </row>
    <row r="109" spans="1:52">
      <c r="A109" s="1" t="s">
        <v>133</v>
      </c>
      <c r="B109" s="1" t="s">
        <v>617</v>
      </c>
      <c r="D109" s="1" t="s">
        <v>652</v>
      </c>
      <c r="E109" s="1" t="s">
        <v>697</v>
      </c>
      <c r="F109" s="1" t="s">
        <v>839</v>
      </c>
      <c r="G109" s="1" t="s">
        <v>854</v>
      </c>
      <c r="L109" s="1">
        <v>-70.81666</v>
      </c>
      <c r="M109" s="1">
        <v>42.895</v>
      </c>
      <c r="N109" s="1">
        <v>8429489</v>
      </c>
      <c r="O109" s="1" t="s">
        <v>860</v>
      </c>
      <c r="P109" s="1" t="s">
        <v>866</v>
      </c>
      <c r="Q109" s="2">
        <f>HYPERLINK("https://tidesandcurrents.noaa.gov/stationhome.html?id=8429489", "Station Info")</f>
        <v>0</v>
      </c>
      <c r="R109" s="2">
        <f>HYPERLINK("https://tidesandcurrents.noaa.gov/datums.html?datum=MLLW&amp;units=0&amp;epoch=0&amp;id=8429489", "Datum Info")</f>
        <v>0</v>
      </c>
      <c r="S109" s="2">
        <f>HYPERLINK("https://api.tidesandcurrents.noaa.gov/mdapi/prod/webapi/stations/8429489.json", "More Info")</f>
        <v>0</v>
      </c>
      <c r="T109" s="1">
        <v>4440313</v>
      </c>
      <c r="U109" s="1">
        <v>0</v>
      </c>
      <c r="V109" s="1" t="s">
        <v>869</v>
      </c>
      <c r="W109" s="1" t="s">
        <v>874</v>
      </c>
      <c r="AJ109" s="1">
        <v>5.2</v>
      </c>
      <c r="AK109" s="1">
        <v>-4.37</v>
      </c>
      <c r="AY109" s="2">
        <f>HYPERLINK("https://vdatum.noaa.gov/vdatumweb/api/convert?s_x=-70.81666&amp;s_y=42.895&amp;s_z=0.0&amp;region=contiguous&amp;s_h_frame=NAD83_2011&amp;s_coor=geo&amp;s_v_frame=NAVD88&amp;s_v_unit=us_ft&amp;t_h_frame=NAD83_2011&amp;t_coor=geo&amp;t_v_frame=MLLW&amp;t_v_unit=us_ft", "NAVD88 to MLLW")</f>
        <v>0</v>
      </c>
      <c r="AZ109" s="2">
        <f>HYPERLINK("https://vdatum.noaa.gov/vdatumweb/api/convert?s_x=-70.81666&amp;s_y=42.895&amp;s_z=0.0&amp;region=contiguous&amp;s_h_frame=NAD83_2011&amp;s_coor=geo&amp;s_v_frame=NAVD88&amp;s_v_unit=us_ft&amp;t_h_frame=NAD83_2011&amp;t_coor=geo&amp;t_v_frame=MHHW&amp;t_v_unit=us_ft", "NAVD88 to MHHW")</f>
        <v>0</v>
      </c>
    </row>
    <row r="110" spans="1:52">
      <c r="A110" s="1" t="s">
        <v>134</v>
      </c>
      <c r="B110" s="1" t="s">
        <v>617</v>
      </c>
      <c r="D110" s="1" t="s">
        <v>652</v>
      </c>
      <c r="L110" s="1">
        <v>-69.79000000000001</v>
      </c>
      <c r="M110" s="1">
        <v>43.84</v>
      </c>
      <c r="N110" s="1" t="s">
        <v>859</v>
      </c>
      <c r="O110" s="1" t="s">
        <v>861</v>
      </c>
      <c r="P110" s="1" t="s">
        <v>859</v>
      </c>
      <c r="T110" s="1">
        <v>3684301</v>
      </c>
      <c r="U110" s="1">
        <v>0</v>
      </c>
      <c r="V110" s="1" t="s">
        <v>869</v>
      </c>
      <c r="W110" s="1" t="s">
        <v>874</v>
      </c>
      <c r="AJ110" s="1">
        <v>4.564</v>
      </c>
      <c r="AK110" s="1">
        <v>-4.642</v>
      </c>
      <c r="AY110" s="2">
        <f>HYPERLINK("https://vdatum.noaa.gov/vdatumweb/api/convert?s_x=-69.79&amp;s_y=43.84&amp;s_z=0.0&amp;region=contiguous&amp;s_h_frame=NAD83_2011&amp;s_coor=geo&amp;s_v_frame=NAVD88&amp;s_v_unit=us_ft&amp;t_h_frame=NAD83_2011&amp;t_coor=geo&amp;t_v_frame=MLLW&amp;t_v_unit=us_ft", "NAVD88 to MLLW")</f>
        <v>0</v>
      </c>
      <c r="AZ110" s="2">
        <f>HYPERLINK("https://vdatum.noaa.gov/vdatumweb/api/convert?s_x=-69.79&amp;s_y=43.84&amp;s_z=0.0&amp;region=contiguous&amp;s_h_frame=NAD83_2011&amp;s_coor=geo&amp;s_v_frame=NAVD88&amp;s_v_unit=us_ft&amp;t_h_frame=NAD83_2011&amp;t_coor=geo&amp;t_v_frame=MHHW&amp;t_v_unit=us_ft", "NAVD88 to MHHW")</f>
        <v>0</v>
      </c>
    </row>
    <row r="111" spans="1:52">
      <c r="A111" s="1" t="s">
        <v>135</v>
      </c>
      <c r="B111" s="1" t="s">
        <v>617</v>
      </c>
      <c r="D111" s="1" t="s">
        <v>652</v>
      </c>
      <c r="L111" s="1">
        <v>-69.03</v>
      </c>
      <c r="M111" s="1">
        <v>44.19</v>
      </c>
      <c r="N111" s="1" t="s">
        <v>859</v>
      </c>
      <c r="O111" s="1" t="s">
        <v>861</v>
      </c>
      <c r="P111" s="1" t="s">
        <v>859</v>
      </c>
      <c r="T111" s="1">
        <v>3173874</v>
      </c>
      <c r="U111" s="1">
        <v>0</v>
      </c>
      <c r="V111" s="1" t="s">
        <v>869</v>
      </c>
      <c r="W111" s="1" t="s">
        <v>874</v>
      </c>
      <c r="AJ111" s="1">
        <v>5.686</v>
      </c>
      <c r="AK111" s="1">
        <v>-4.971</v>
      </c>
      <c r="AY111" s="2">
        <f>HYPERLINK("https://vdatum.noaa.gov/vdatumweb/api/convert?s_x=-69.03&amp;s_y=44.19&amp;s_z=0.0&amp;region=contiguous&amp;s_h_frame=NAD83_2011&amp;s_coor=geo&amp;s_v_frame=NAVD88&amp;s_v_unit=us_ft&amp;t_h_frame=NAD83_2011&amp;t_coor=geo&amp;t_v_frame=MLLW&amp;t_v_unit=us_ft", "NAVD88 to MLLW")</f>
        <v>0</v>
      </c>
      <c r="AZ111" s="2">
        <f>HYPERLINK("https://vdatum.noaa.gov/vdatumweb/api/convert?s_x=-69.03&amp;s_y=44.19&amp;s_z=0.0&amp;region=contiguous&amp;s_h_frame=NAD83_2011&amp;s_coor=geo&amp;s_v_frame=NAVD88&amp;s_v_unit=us_ft&amp;t_h_frame=NAD83_2011&amp;t_coor=geo&amp;t_v_frame=MHHW&amp;t_v_unit=us_ft", "NAVD88 to MHHW")</f>
        <v>0</v>
      </c>
    </row>
    <row r="112" spans="1:52">
      <c r="A112" s="1" t="s">
        <v>136</v>
      </c>
      <c r="B112" s="1" t="s">
        <v>617</v>
      </c>
      <c r="D112" s="1" t="s">
        <v>652</v>
      </c>
      <c r="L112" s="1">
        <v>-69.01000000000001</v>
      </c>
      <c r="M112" s="1">
        <v>44.26</v>
      </c>
      <c r="N112" s="1" t="s">
        <v>859</v>
      </c>
      <c r="O112" s="1" t="s">
        <v>861</v>
      </c>
      <c r="P112" s="1" t="s">
        <v>859</v>
      </c>
      <c r="T112" s="1">
        <v>2249597</v>
      </c>
      <c r="U112" s="1">
        <v>0</v>
      </c>
      <c r="V112" s="1" t="s">
        <v>869</v>
      </c>
      <c r="W112" s="1" t="s">
        <v>874</v>
      </c>
      <c r="AJ112" s="1">
        <v>5.711</v>
      </c>
      <c r="AK112" s="1">
        <v>-5.038</v>
      </c>
      <c r="AY112" s="2">
        <f>HYPERLINK("https://vdatum.noaa.gov/vdatumweb/api/convert?s_x=-69.01&amp;s_y=44.26&amp;s_z=0.0&amp;region=contiguous&amp;s_h_frame=NAD83_2011&amp;s_coor=geo&amp;s_v_frame=NAVD88&amp;s_v_unit=us_ft&amp;t_h_frame=NAD83_2011&amp;t_coor=geo&amp;t_v_frame=MLLW&amp;t_v_unit=us_ft", "NAVD88 to MLLW")</f>
        <v>0</v>
      </c>
      <c r="AZ112" s="2">
        <f>HYPERLINK("https://vdatum.noaa.gov/vdatumweb/api/convert?s_x=-69.01&amp;s_y=44.26&amp;s_z=0.0&amp;region=contiguous&amp;s_h_frame=NAD83_2011&amp;s_coor=geo&amp;s_v_frame=NAVD88&amp;s_v_unit=us_ft&amp;t_h_frame=NAD83_2011&amp;t_coor=geo&amp;t_v_frame=MHHW&amp;t_v_unit=us_ft", "NAVD88 to MHHW")</f>
        <v>0</v>
      </c>
    </row>
    <row r="113" spans="1:52">
      <c r="A113" s="1" t="s">
        <v>137</v>
      </c>
      <c r="B113" s="1" t="s">
        <v>617</v>
      </c>
      <c r="C113" s="1" t="s">
        <v>646</v>
      </c>
      <c r="D113" s="1" t="s">
        <v>652</v>
      </c>
      <c r="E113" s="1" t="s">
        <v>695</v>
      </c>
      <c r="F113" s="1" t="s">
        <v>836</v>
      </c>
      <c r="G113" s="1" t="s">
        <v>854</v>
      </c>
      <c r="H113" s="1" t="s">
        <v>1769</v>
      </c>
      <c r="I113" s="1" t="s">
        <v>1858</v>
      </c>
      <c r="J113" s="1" t="s">
        <v>1889</v>
      </c>
      <c r="K113" s="1" t="s">
        <v>2049</v>
      </c>
      <c r="L113" s="1">
        <v>-69.78819412</v>
      </c>
      <c r="M113" s="1">
        <v>44.28679649</v>
      </c>
      <c r="N113" s="1" t="s">
        <v>2193</v>
      </c>
      <c r="O113" s="1" t="s">
        <v>861</v>
      </c>
      <c r="P113" s="1" t="s">
        <v>867</v>
      </c>
      <c r="Q113" s="2">
        <f>HYPERLINK("https://waterdata.usgs.gov/nwis/nwismap/?site_no=01049330&amp;agency_cd=USGS", "Station Info")</f>
        <v>0</v>
      </c>
      <c r="R113" s="2">
        <f>HYPERLINK("https://waterservices.usgs.gov/nwis/site/?site=01049330&amp;format=rdb", "Datum Info")</f>
        <v>0</v>
      </c>
      <c r="T113" s="1">
        <v>2245520</v>
      </c>
      <c r="U113" s="1">
        <v>0</v>
      </c>
      <c r="V113" s="1" t="s">
        <v>869</v>
      </c>
      <c r="W113" s="1" t="s">
        <v>874</v>
      </c>
      <c r="X113" s="1" t="s">
        <v>887</v>
      </c>
      <c r="AF113" s="1" t="s">
        <v>956</v>
      </c>
      <c r="AJ113" s="1">
        <v>-999999</v>
      </c>
      <c r="AK113" s="1">
        <v>-999999</v>
      </c>
      <c r="AL113" s="1" t="s">
        <v>887</v>
      </c>
      <c r="AM113" s="1">
        <v>0</v>
      </c>
      <c r="AS113" s="1">
        <v>9</v>
      </c>
      <c r="AT113" s="1">
        <v>11</v>
      </c>
      <c r="AU113" s="1">
        <v>13</v>
      </c>
      <c r="AV113" s="1">
        <v>18</v>
      </c>
      <c r="AW113" s="1" t="s">
        <v>1744</v>
      </c>
      <c r="AX113" s="2">
        <f>HYPERLINK("https://water.weather.gov/ahps2/hydrograph.php?wfo=gyx&amp;gage=halm1", "AHPS Data")</f>
        <v>0</v>
      </c>
      <c r="AY113" s="2">
        <f>HYPERLINK("https://vdatum.noaa.gov/vdatumweb/api/convert?s_x=-69.78819412&amp;s_y=44.28679649&amp;s_z=0.0&amp;region=contiguous&amp;s_h_frame=NAD83_2011&amp;s_coor=geo&amp;s_v_frame=NAVD88&amp;s_v_unit=us_ft&amp;t_h_frame=NAD83_2011&amp;t_coor=geo&amp;t_v_frame=MLLW&amp;t_v_unit=us_ft", "Missing")</f>
        <v>0</v>
      </c>
      <c r="AZ113" s="2">
        <f>HYPERLINK("https://vdatum.noaa.gov/vdatumweb/api/convert?s_x=-69.78819412&amp;s_y=44.28679649&amp;s_z=0.0&amp;region=contiguous&amp;s_h_frame=NAD83_2011&amp;s_coor=geo&amp;s_v_frame=NAVD88&amp;s_v_unit=us_ft&amp;t_h_frame=NAD83_2011&amp;t_coor=geo&amp;t_v_frame=MHHW&amp;t_v_unit=us_ft", "Missing")</f>
        <v>0</v>
      </c>
    </row>
    <row r="114" spans="1:52">
      <c r="A114" s="1" t="s">
        <v>138</v>
      </c>
      <c r="B114" s="1" t="s">
        <v>618</v>
      </c>
      <c r="C114" s="1" t="s">
        <v>645</v>
      </c>
      <c r="D114" s="1" t="s">
        <v>652</v>
      </c>
      <c r="E114" s="1" t="s">
        <v>698</v>
      </c>
      <c r="F114" s="1" t="s">
        <v>832</v>
      </c>
      <c r="G114" s="1" t="s">
        <v>854</v>
      </c>
      <c r="L114" s="1">
        <v>-77.95359999999999</v>
      </c>
      <c r="M114" s="1">
        <v>34.2275</v>
      </c>
      <c r="N114" s="1">
        <v>8658120</v>
      </c>
      <c r="O114" s="1" t="s">
        <v>860</v>
      </c>
      <c r="P114" s="1" t="s">
        <v>866</v>
      </c>
      <c r="Q114" s="2">
        <f>HYPERLINK("https://tidesandcurrents.noaa.gov/stationhome.html?id=8658120", "Station Info")</f>
        <v>0</v>
      </c>
      <c r="R114" s="2">
        <f>HYPERLINK("https://tidesandcurrents.noaa.gov/datums.html?datum=MLLW&amp;units=0&amp;epoch=0&amp;id=8658120", "Datum Info")</f>
        <v>0</v>
      </c>
      <c r="S114" s="2">
        <f>HYPERLINK("https://api.tidesandcurrents.noaa.gov/mdapi/prod/webapi/stations/8658120.json", "More Info")</f>
        <v>0</v>
      </c>
      <c r="T114" s="1">
        <v>8146486</v>
      </c>
      <c r="U114" s="1">
        <v>0</v>
      </c>
      <c r="V114" s="1" t="s">
        <v>869</v>
      </c>
      <c r="W114" s="1" t="s">
        <v>874</v>
      </c>
      <c r="X114" s="1" t="s">
        <v>886</v>
      </c>
      <c r="Y114" s="1">
        <v>4.68</v>
      </c>
      <c r="Z114" s="1">
        <v>4.43</v>
      </c>
      <c r="AA114" s="1">
        <v>2.29</v>
      </c>
      <c r="AB114" s="1">
        <v>2.44</v>
      </c>
      <c r="AC114" s="1">
        <v>2.34</v>
      </c>
      <c r="AD114" s="1">
        <v>0.16</v>
      </c>
      <c r="AE114" s="1">
        <v>0</v>
      </c>
      <c r="AF114" s="1">
        <v>2.6</v>
      </c>
      <c r="AG114" s="1">
        <v>-2.45</v>
      </c>
      <c r="AH114" s="1" t="s">
        <v>1136</v>
      </c>
      <c r="AI114" s="1" t="s">
        <v>1409</v>
      </c>
      <c r="AJ114" s="1">
        <v>2.335</v>
      </c>
      <c r="AK114" s="1">
        <v>-2.343</v>
      </c>
      <c r="AY114" s="2">
        <f>HYPERLINK("https://vdatum.noaa.gov/vdatumweb/api/convert?s_x=-77.9536&amp;s_y=34.2275&amp;s_z=0.0&amp;region=contiguous&amp;s_h_frame=NAD83_2011&amp;s_coor=geo&amp;s_v_frame=NAVD88&amp;s_v_unit=us_ft&amp;t_h_frame=NAD83_2011&amp;t_coor=geo&amp;t_v_frame=MLLW&amp;t_v_unit=us_ft", "NAVD88 to MLLW")</f>
        <v>0</v>
      </c>
      <c r="AZ114" s="2">
        <f>HYPERLINK("https://vdatum.noaa.gov/vdatumweb/api/convert?s_x=-77.9536&amp;s_y=34.2275&amp;s_z=0.0&amp;region=contiguous&amp;s_h_frame=NAD83_2011&amp;s_coor=geo&amp;s_v_frame=NAVD88&amp;s_v_unit=us_ft&amp;t_h_frame=NAD83_2011&amp;t_coor=geo&amp;t_v_frame=MHHW&amp;t_v_unit=us_ft", "NAVD88 to MHHW")</f>
        <v>0</v>
      </c>
    </row>
    <row r="115" spans="1:52">
      <c r="A115" s="1" t="s">
        <v>139</v>
      </c>
      <c r="B115" s="1" t="s">
        <v>618</v>
      </c>
      <c r="D115" s="1" t="s">
        <v>652</v>
      </c>
      <c r="L115" s="1">
        <v>-77.7867</v>
      </c>
      <c r="M115" s="1">
        <v>34.21333</v>
      </c>
      <c r="N115" s="1">
        <v>8658163</v>
      </c>
      <c r="O115" s="1" t="s">
        <v>860</v>
      </c>
      <c r="P115" s="1" t="s">
        <v>866</v>
      </c>
      <c r="Q115" s="2">
        <f>HYPERLINK("https://tidesandcurrents.noaa.gov/stationhome.html?id=8658163", "Station Info")</f>
        <v>0</v>
      </c>
      <c r="R115" s="2">
        <f>HYPERLINK("https://tidesandcurrents.noaa.gov/datums.html?datum=MLLW&amp;units=0&amp;epoch=0&amp;id=8658163", "Datum Info")</f>
        <v>0</v>
      </c>
      <c r="S115" s="2">
        <f>HYPERLINK("https://api.tidesandcurrents.noaa.gov/mdapi/prod/webapi/stations/8658163.json", "More Info")</f>
        <v>0</v>
      </c>
      <c r="T115" s="1">
        <v>1804389</v>
      </c>
      <c r="U115" s="1">
        <v>0</v>
      </c>
      <c r="V115" s="1" t="s">
        <v>869</v>
      </c>
      <c r="W115" s="1" t="s">
        <v>874</v>
      </c>
      <c r="X115" s="1" t="s">
        <v>886</v>
      </c>
      <c r="Y115" s="1">
        <v>4.48</v>
      </c>
      <c r="Z115" s="1">
        <v>4.14</v>
      </c>
      <c r="AA115" s="1">
        <v>2.14</v>
      </c>
      <c r="AB115" s="1">
        <v>2.15</v>
      </c>
      <c r="AC115" s="1">
        <v>2.24</v>
      </c>
      <c r="AD115" s="1">
        <v>0.15</v>
      </c>
      <c r="AE115" s="1">
        <v>0</v>
      </c>
      <c r="AF115" s="1">
        <v>2.75</v>
      </c>
      <c r="AG115" s="1">
        <v>-18.83</v>
      </c>
      <c r="AH115" s="1" t="s">
        <v>1137</v>
      </c>
      <c r="AI115" s="1" t="s">
        <v>1410</v>
      </c>
      <c r="AJ115" s="1">
        <v>2.532</v>
      </c>
      <c r="AK115" s="1">
        <v>-1.769</v>
      </c>
      <c r="AY115" s="2">
        <f>HYPERLINK("https://vdatum.noaa.gov/vdatumweb/api/convert?s_x=-77.7867&amp;s_y=34.21333&amp;s_z=0.0&amp;region=contiguous&amp;s_h_frame=NAD83_2011&amp;s_coor=geo&amp;s_v_frame=NAVD88&amp;s_v_unit=us_ft&amp;t_h_frame=NAD83_2011&amp;t_coor=geo&amp;t_v_frame=MLLW&amp;t_v_unit=us_ft", "NAVD88 to MLLW")</f>
        <v>0</v>
      </c>
      <c r="AZ115" s="2">
        <f>HYPERLINK("https://vdatum.noaa.gov/vdatumweb/api/convert?s_x=-77.7867&amp;s_y=34.21333&amp;s_z=0.0&amp;region=contiguous&amp;s_h_frame=NAD83_2011&amp;s_coor=geo&amp;s_v_frame=NAVD88&amp;s_v_unit=us_ft&amp;t_h_frame=NAD83_2011&amp;t_coor=geo&amp;t_v_frame=MHHW&amp;t_v_unit=us_ft", "NAVD88 to MHHW")</f>
        <v>0</v>
      </c>
    </row>
    <row r="116" spans="1:52">
      <c r="A116" s="1" t="s">
        <v>140</v>
      </c>
      <c r="B116" s="1" t="s">
        <v>618</v>
      </c>
      <c r="D116" s="1" t="s">
        <v>652</v>
      </c>
      <c r="E116" s="1" t="s">
        <v>699</v>
      </c>
      <c r="F116" s="1" t="s">
        <v>832</v>
      </c>
      <c r="G116" s="1" t="s">
        <v>854</v>
      </c>
      <c r="L116" s="1">
        <v>-78.0183</v>
      </c>
      <c r="M116" s="1">
        <v>33.915</v>
      </c>
      <c r="N116" s="1">
        <v>8659084</v>
      </c>
      <c r="O116" s="1" t="s">
        <v>861</v>
      </c>
      <c r="P116" s="1" t="s">
        <v>866</v>
      </c>
      <c r="Q116" s="2">
        <f>HYPERLINK("https://tidesandcurrents.noaa.gov/stationhome.html?id=8659084", "Station Info")</f>
        <v>0</v>
      </c>
      <c r="R116" s="2">
        <f>HYPERLINK("https://tidesandcurrents.noaa.gov/datums.html?datum=MLLW&amp;units=0&amp;epoch=0&amp;id=8659084", "Datum Info")</f>
        <v>0</v>
      </c>
      <c r="S116" s="2">
        <f>HYPERLINK("https://api.tidesandcurrents.noaa.gov/mdapi/prod/webapi/stations/8659084.json", "More Info")</f>
        <v>0</v>
      </c>
      <c r="T116" s="1">
        <v>6282857</v>
      </c>
      <c r="U116" s="1">
        <v>0</v>
      </c>
      <c r="V116" s="1" t="s">
        <v>869</v>
      </c>
      <c r="W116" s="1" t="s">
        <v>874</v>
      </c>
      <c r="X116" s="1" t="s">
        <v>886</v>
      </c>
      <c r="Y116" s="1">
        <v>4.73</v>
      </c>
      <c r="Z116" s="1">
        <v>4.4</v>
      </c>
      <c r="AA116" s="1">
        <v>2.28</v>
      </c>
      <c r="AB116" s="1">
        <v>2.32</v>
      </c>
      <c r="AC116" s="1">
        <v>2.37</v>
      </c>
      <c r="AD116" s="1">
        <v>0.16</v>
      </c>
      <c r="AE116" s="1">
        <v>0</v>
      </c>
      <c r="AF116" s="1">
        <v>2.78</v>
      </c>
      <c r="AG116" s="1">
        <v>-10.67</v>
      </c>
      <c r="AH116" s="1" t="s">
        <v>1138</v>
      </c>
      <c r="AI116" s="1" t="s">
        <v>1411</v>
      </c>
      <c r="AJ116" s="1">
        <v>2.779</v>
      </c>
      <c r="AK116" s="1">
        <v>-1.952</v>
      </c>
      <c r="AY116" s="2">
        <f>HYPERLINK("https://vdatum.noaa.gov/vdatumweb/api/convert?s_x=-78.0183&amp;s_y=33.915&amp;s_z=0.0&amp;region=contiguous&amp;s_h_frame=NAD83_2011&amp;s_coor=geo&amp;s_v_frame=NAVD88&amp;s_v_unit=us_ft&amp;t_h_frame=NAD83_2011&amp;t_coor=geo&amp;t_v_frame=MLLW&amp;t_v_unit=us_ft", "NAVD88 to MLLW")</f>
        <v>0</v>
      </c>
      <c r="AZ116" s="2">
        <f>HYPERLINK("https://vdatum.noaa.gov/vdatumweb/api/convert?s_x=-78.0183&amp;s_y=33.915&amp;s_z=0.0&amp;region=contiguous&amp;s_h_frame=NAD83_2011&amp;s_coor=geo&amp;s_v_frame=NAVD88&amp;s_v_unit=us_ft&amp;t_h_frame=NAD83_2011&amp;t_coor=geo&amp;t_v_frame=MHHW&amp;t_v_unit=us_ft", "NAVD88 to MHHW")</f>
        <v>0</v>
      </c>
    </row>
    <row r="117" spans="1:52">
      <c r="A117" s="1" t="s">
        <v>141</v>
      </c>
      <c r="B117" s="1" t="s">
        <v>618</v>
      </c>
      <c r="D117" s="1" t="s">
        <v>652</v>
      </c>
      <c r="L117" s="1">
        <v>-78.5067</v>
      </c>
      <c r="M117" s="1">
        <v>33.865</v>
      </c>
      <c r="N117" s="1">
        <v>8659897</v>
      </c>
      <c r="O117" s="1" t="s">
        <v>860</v>
      </c>
      <c r="P117" s="1" t="s">
        <v>866</v>
      </c>
      <c r="Q117" s="2">
        <f>HYPERLINK("https://tidesandcurrents.noaa.gov/stationhome.html?id=8659897", "Station Info")</f>
        <v>0</v>
      </c>
      <c r="R117" s="2">
        <f>HYPERLINK("https://tidesandcurrents.noaa.gov/datums.html?datum=MLLW&amp;units=0&amp;epoch=0&amp;id=8659897", "Datum Info")</f>
        <v>0</v>
      </c>
      <c r="S117" s="2">
        <f>HYPERLINK("https://api.tidesandcurrents.noaa.gov/mdapi/prod/webapi/stations/8659897.json", "More Info")</f>
        <v>0</v>
      </c>
      <c r="T117" s="1">
        <v>5056901</v>
      </c>
      <c r="U117" s="1">
        <v>-0.104</v>
      </c>
      <c r="V117" s="1" t="s">
        <v>869</v>
      </c>
      <c r="W117" s="1" t="s">
        <v>874</v>
      </c>
      <c r="X117" s="1" t="s">
        <v>886</v>
      </c>
      <c r="Y117" s="1">
        <v>5.53</v>
      </c>
      <c r="Z117" s="1">
        <v>5.14</v>
      </c>
      <c r="AA117" s="1">
        <v>2.66</v>
      </c>
      <c r="AB117" s="1">
        <v>2.67</v>
      </c>
      <c r="AC117" s="1">
        <v>2.76</v>
      </c>
      <c r="AD117" s="1">
        <v>0.19</v>
      </c>
      <c r="AE117" s="1">
        <v>0</v>
      </c>
      <c r="AF117" s="1" t="s">
        <v>984</v>
      </c>
      <c r="AG117" s="1">
        <v>-5.49</v>
      </c>
      <c r="AH117" s="1" t="s">
        <v>1139</v>
      </c>
      <c r="AI117" s="1" t="s">
        <v>1347</v>
      </c>
      <c r="AJ117" s="1">
        <v>3.033</v>
      </c>
      <c r="AK117" s="1">
        <v>-2.489</v>
      </c>
      <c r="AY117" s="2">
        <f>HYPERLINK("https://vdatum.noaa.gov/vdatumweb/api/convert?s_x=-78.5067&amp;s_y=33.865&amp;s_z=0.0&amp;region=contiguous&amp;s_h_frame=NAD83_2011&amp;s_coor=geo&amp;s_v_frame=NAVD88&amp;s_v_unit=us_ft&amp;t_h_frame=NAD83_2011&amp;t_coor=geo&amp;t_v_frame=MLLW&amp;t_v_unit=us_ft", "NAVD88 to MLLW")</f>
        <v>0</v>
      </c>
      <c r="AZ117" s="2">
        <f>HYPERLINK("https://vdatum.noaa.gov/vdatumweb/api/convert?s_x=-78.5067&amp;s_y=33.865&amp;s_z=0.0&amp;region=contiguous&amp;s_h_frame=NAD83_2011&amp;s_coor=geo&amp;s_v_frame=NAVD88&amp;s_v_unit=us_ft&amp;t_h_frame=NAD83_2011&amp;t_coor=geo&amp;t_v_frame=MHHW&amp;t_v_unit=us_ft", "NAVD88 to MHHW")</f>
        <v>0</v>
      </c>
    </row>
    <row r="118" spans="1:52">
      <c r="A118" s="1" t="s">
        <v>142</v>
      </c>
      <c r="B118" s="1" t="s">
        <v>618</v>
      </c>
      <c r="C118" s="1" t="s">
        <v>645</v>
      </c>
      <c r="D118" s="1" t="s">
        <v>652</v>
      </c>
      <c r="E118" s="1" t="s">
        <v>700</v>
      </c>
      <c r="F118" s="1" t="s">
        <v>837</v>
      </c>
      <c r="G118" s="1" t="s">
        <v>854</v>
      </c>
      <c r="L118" s="1">
        <v>-79.1867</v>
      </c>
      <c r="M118" s="1">
        <v>33.3517</v>
      </c>
      <c r="N118" s="1">
        <v>8662245</v>
      </c>
      <c r="O118" s="1" t="s">
        <v>860</v>
      </c>
      <c r="P118" s="1" t="s">
        <v>866</v>
      </c>
      <c r="Q118" s="2">
        <f>HYPERLINK("https://tidesandcurrents.noaa.gov/stationhome.html?id=8662245", "Station Info")</f>
        <v>0</v>
      </c>
      <c r="R118" s="2">
        <f>HYPERLINK("https://tidesandcurrents.noaa.gov/datums.html?datum=MLLW&amp;units=0&amp;epoch=0&amp;id=8662245", "Datum Info")</f>
        <v>0</v>
      </c>
      <c r="S118" s="2">
        <f>HYPERLINK("https://api.tidesandcurrents.noaa.gov/mdapi/prod/webapi/stations/8662245.json", "More Info")</f>
        <v>0</v>
      </c>
      <c r="T118" s="1">
        <v>5874399</v>
      </c>
      <c r="U118" s="1">
        <v>0</v>
      </c>
      <c r="V118" s="1" t="s">
        <v>869</v>
      </c>
      <c r="W118" s="1" t="s">
        <v>874</v>
      </c>
      <c r="X118" s="1" t="s">
        <v>886</v>
      </c>
      <c r="Y118" s="1">
        <v>5.1</v>
      </c>
      <c r="Z118" s="1">
        <v>4.75</v>
      </c>
      <c r="AA118" s="1">
        <v>2.47</v>
      </c>
      <c r="AB118" s="1">
        <v>2.68</v>
      </c>
      <c r="AC118" s="1">
        <v>2.55</v>
      </c>
      <c r="AD118" s="1">
        <v>0.18</v>
      </c>
      <c r="AE118" s="1">
        <v>0</v>
      </c>
      <c r="AF118" s="1">
        <v>2.7</v>
      </c>
      <c r="AG118" s="1">
        <v>-3.99</v>
      </c>
      <c r="AH118" s="1" t="s">
        <v>1140</v>
      </c>
      <c r="AI118" s="1" t="s">
        <v>1412</v>
      </c>
      <c r="AJ118" s="1">
        <v>2.688</v>
      </c>
      <c r="AK118" s="1">
        <v>-2.446</v>
      </c>
      <c r="AY118" s="2">
        <f>HYPERLINK("https://vdatum.noaa.gov/vdatumweb/api/convert?s_x=-79.1867&amp;s_y=33.3517&amp;s_z=0.0&amp;region=contiguous&amp;s_h_frame=NAD83_2011&amp;s_coor=geo&amp;s_v_frame=NAVD88&amp;s_v_unit=us_ft&amp;t_h_frame=NAD83_2011&amp;t_coor=geo&amp;t_v_frame=MLLW&amp;t_v_unit=us_ft", "NAVD88 to MLLW")</f>
        <v>0</v>
      </c>
      <c r="AZ118" s="2">
        <f>HYPERLINK("https://vdatum.noaa.gov/vdatumweb/api/convert?s_x=-79.1867&amp;s_y=33.3517&amp;s_z=0.0&amp;region=contiguous&amp;s_h_frame=NAD83_2011&amp;s_coor=geo&amp;s_v_frame=NAVD88&amp;s_v_unit=us_ft&amp;t_h_frame=NAD83_2011&amp;t_coor=geo&amp;t_v_frame=MHHW&amp;t_v_unit=us_ft", "NAVD88 to MHHW")</f>
        <v>0</v>
      </c>
    </row>
    <row r="119" spans="1:52">
      <c r="A119" s="1" t="s">
        <v>143</v>
      </c>
      <c r="B119" s="1" t="s">
        <v>618</v>
      </c>
      <c r="C119" s="1" t="s">
        <v>645</v>
      </c>
      <c r="D119" s="1" t="s">
        <v>652</v>
      </c>
      <c r="E119" s="1" t="s">
        <v>700</v>
      </c>
      <c r="F119" s="1" t="s">
        <v>837</v>
      </c>
      <c r="G119" s="1" t="s">
        <v>854</v>
      </c>
      <c r="L119" s="1">
        <v>-79.2683</v>
      </c>
      <c r="M119" s="1">
        <v>33.2517</v>
      </c>
      <c r="N119" s="1">
        <v>8662549</v>
      </c>
      <c r="O119" s="1" t="s">
        <v>860</v>
      </c>
      <c r="P119" s="1" t="s">
        <v>866</v>
      </c>
      <c r="Q119" s="2">
        <f>HYPERLINK("https://tidesandcurrents.noaa.gov/stationhome.html?id=8662549", "Station Info")</f>
        <v>0</v>
      </c>
      <c r="R119" s="2">
        <f>HYPERLINK("https://tidesandcurrents.noaa.gov/datums.html?datum=MLLW&amp;units=0&amp;epoch=0&amp;id=8662549", "Datum Info")</f>
        <v>0</v>
      </c>
      <c r="S119" s="2">
        <f>HYPERLINK("https://api.tidesandcurrents.noaa.gov/mdapi/prod/webapi/stations/8662549.json", "More Info")</f>
        <v>0</v>
      </c>
      <c r="T119" s="1">
        <v>6561044</v>
      </c>
      <c r="U119" s="1">
        <v>0</v>
      </c>
      <c r="V119" s="1" t="s">
        <v>869</v>
      </c>
      <c r="W119" s="1" t="s">
        <v>874</v>
      </c>
      <c r="X119" s="1" t="s">
        <v>886</v>
      </c>
      <c r="Y119" s="1">
        <v>4.12</v>
      </c>
      <c r="Z119" s="1">
        <v>3.83</v>
      </c>
      <c r="AA119" s="1">
        <v>1.99</v>
      </c>
      <c r="AB119" s="1">
        <v>2.01</v>
      </c>
      <c r="AC119" s="1">
        <v>2.06</v>
      </c>
      <c r="AD119" s="1">
        <v>0.14</v>
      </c>
      <c r="AE119" s="1">
        <v>0</v>
      </c>
      <c r="AF119" s="1">
        <v>2.17</v>
      </c>
      <c r="AG119" s="1">
        <v>-2.56</v>
      </c>
      <c r="AH119" s="1" t="s">
        <v>1141</v>
      </c>
      <c r="AI119" s="1" t="s">
        <v>1199</v>
      </c>
      <c r="AJ119" s="1">
        <v>2.17</v>
      </c>
      <c r="AK119" s="1">
        <v>-1.95</v>
      </c>
      <c r="AY119" s="2">
        <f>HYPERLINK("https://vdatum.noaa.gov/vdatumweb/api/convert?s_x=-79.2683&amp;s_y=33.2517&amp;s_z=0.0&amp;region=contiguous&amp;s_h_frame=NAD83_2011&amp;s_coor=geo&amp;s_v_frame=NAVD88&amp;s_v_unit=us_ft&amp;t_h_frame=NAD83_2011&amp;t_coor=geo&amp;t_v_frame=MLLW&amp;t_v_unit=us_ft", "NAVD88 to MLLW")</f>
        <v>0</v>
      </c>
      <c r="AZ119" s="2">
        <f>HYPERLINK("https://vdatum.noaa.gov/vdatumweb/api/convert?s_x=-79.2683&amp;s_y=33.2517&amp;s_z=0.0&amp;region=contiguous&amp;s_h_frame=NAD83_2011&amp;s_coor=geo&amp;s_v_frame=NAVD88&amp;s_v_unit=us_ft&amp;t_h_frame=NAD83_2011&amp;t_coor=geo&amp;t_v_frame=MHHW&amp;t_v_unit=us_ft", "NAVD88 to MHHW")</f>
        <v>0</v>
      </c>
    </row>
    <row r="120" spans="1:52">
      <c r="A120" s="1" t="s">
        <v>144</v>
      </c>
      <c r="B120" s="1" t="s">
        <v>618</v>
      </c>
      <c r="C120" s="1" t="s">
        <v>645</v>
      </c>
      <c r="D120" s="1" t="s">
        <v>652</v>
      </c>
      <c r="E120" s="1" t="s">
        <v>700</v>
      </c>
      <c r="F120" s="1" t="s">
        <v>837</v>
      </c>
      <c r="G120" s="1" t="s">
        <v>854</v>
      </c>
      <c r="H120" s="1" t="s">
        <v>1770</v>
      </c>
      <c r="I120" s="1" t="s">
        <v>1857</v>
      </c>
      <c r="J120" s="1" t="s">
        <v>1890</v>
      </c>
      <c r="K120" s="1" t="s">
        <v>2050</v>
      </c>
      <c r="L120" s="1">
        <v>-79.38500000000001</v>
      </c>
      <c r="M120" s="1">
        <v>33.21</v>
      </c>
      <c r="N120" s="1">
        <v>8662793</v>
      </c>
      <c r="O120" s="1" t="s">
        <v>861</v>
      </c>
      <c r="P120" s="1" t="s">
        <v>866</v>
      </c>
      <c r="Q120" s="2">
        <f>HYPERLINK("https://tidesandcurrents.noaa.gov/stationhome.html?id=8662793", "Station Info")</f>
        <v>0</v>
      </c>
      <c r="R120" s="2">
        <f>HYPERLINK("https://tidesandcurrents.noaa.gov/datums.html?datum=MLLW&amp;units=0&amp;epoch=0&amp;id=8662793", "Datum Info")</f>
        <v>0</v>
      </c>
      <c r="S120" s="2">
        <f>HYPERLINK("https://api.tidesandcurrents.noaa.gov/mdapi/prod/webapi/stations/8662793.json", "More Info")</f>
        <v>0</v>
      </c>
      <c r="T120" s="1">
        <v>9040554</v>
      </c>
      <c r="U120" s="1">
        <v>0</v>
      </c>
      <c r="V120" s="1" t="s">
        <v>869</v>
      </c>
      <c r="W120" s="1" t="s">
        <v>874</v>
      </c>
      <c r="AJ120" s="1">
        <v>1.993</v>
      </c>
      <c r="AK120" s="1">
        <v>-2.218</v>
      </c>
      <c r="AM120" s="1">
        <v>-3.47</v>
      </c>
      <c r="AQ120" s="1" t="s">
        <v>1713</v>
      </c>
      <c r="AS120" s="1">
        <v>0</v>
      </c>
      <c r="AT120" s="1">
        <v>0</v>
      </c>
      <c r="AU120" s="1">
        <v>0</v>
      </c>
      <c r="AV120" s="1">
        <v>0</v>
      </c>
      <c r="AW120" s="1" t="s">
        <v>1744</v>
      </c>
      <c r="AX120" s="2">
        <f>HYPERLINK("https://water.weather.gov/ahps2/hydrograph.php?wfo=ilm&amp;gage=nsns1", "AHPS Data")</f>
        <v>0</v>
      </c>
      <c r="AY120" s="2">
        <f>HYPERLINK("https://vdatum.noaa.gov/vdatumweb/api/convert?s_x=-79.385&amp;s_y=33.21&amp;s_z=0.0&amp;region=contiguous&amp;s_h_frame=NAD83_2011&amp;s_coor=geo&amp;s_v_frame=NAVD88&amp;s_v_unit=us_ft&amp;t_h_frame=NAD83_2011&amp;t_coor=geo&amp;t_v_frame=MLLW&amp;t_v_unit=us_ft", "NAVD88 to MLLW")</f>
        <v>0</v>
      </c>
      <c r="AZ120" s="2">
        <f>HYPERLINK("https://vdatum.noaa.gov/vdatumweb/api/convert?s_x=-79.385&amp;s_y=33.21&amp;s_z=0.0&amp;region=contiguous&amp;s_h_frame=NAD83_2011&amp;s_coor=geo&amp;s_v_frame=NAVD88&amp;s_v_unit=us_ft&amp;t_h_frame=NAD83_2011&amp;t_coor=geo&amp;t_v_frame=MHHW&amp;t_v_unit=us_ft", "NAVD88 to MHHW")</f>
        <v>0</v>
      </c>
    </row>
    <row r="121" spans="1:52">
      <c r="A121" s="1" t="s">
        <v>145</v>
      </c>
      <c r="B121" s="1" t="s">
        <v>618</v>
      </c>
      <c r="D121" s="1" t="s">
        <v>652</v>
      </c>
      <c r="L121" s="1">
        <v>-78.3</v>
      </c>
      <c r="M121" s="1">
        <v>33.91</v>
      </c>
      <c r="N121" s="1" t="s">
        <v>859</v>
      </c>
      <c r="O121" s="1" t="s">
        <v>861</v>
      </c>
      <c r="P121" s="1" t="s">
        <v>859</v>
      </c>
      <c r="T121" s="1">
        <v>1643095</v>
      </c>
      <c r="U121" s="1">
        <v>0</v>
      </c>
      <c r="V121" s="1" t="s">
        <v>869</v>
      </c>
      <c r="W121" s="1" t="s">
        <v>874</v>
      </c>
      <c r="AJ121" s="1">
        <v>3</v>
      </c>
      <c r="AK121" s="1">
        <v>-2.307</v>
      </c>
      <c r="AY121" s="2">
        <f>HYPERLINK("https://vdatum.noaa.gov/vdatumweb/api/convert?s_x=-78.3&amp;s_y=33.91&amp;s_z=0.0&amp;region=contiguous&amp;s_h_frame=NAD83_2011&amp;s_coor=geo&amp;s_v_frame=NAVD88&amp;s_v_unit=us_ft&amp;t_h_frame=NAD83_2011&amp;t_coor=geo&amp;t_v_frame=MLLW&amp;t_v_unit=us_ft", "NAVD88 to MLLW")</f>
        <v>0</v>
      </c>
      <c r="AZ121" s="2">
        <f>HYPERLINK("https://vdatum.noaa.gov/vdatumweb/api/convert?s_x=-78.3&amp;s_y=33.91&amp;s_z=0.0&amp;region=contiguous&amp;s_h_frame=NAD83_2011&amp;s_coor=geo&amp;s_v_frame=NAVD88&amp;s_v_unit=us_ft&amp;t_h_frame=NAD83_2011&amp;t_coor=geo&amp;t_v_frame=MHHW&amp;t_v_unit=us_ft", "NAVD88 to MHHW")</f>
        <v>0</v>
      </c>
    </row>
    <row r="122" spans="1:52">
      <c r="A122" s="1" t="s">
        <v>146</v>
      </c>
      <c r="B122" s="1" t="s">
        <v>618</v>
      </c>
      <c r="D122" s="1" t="s">
        <v>652</v>
      </c>
      <c r="E122" s="1" t="s">
        <v>700</v>
      </c>
      <c r="F122" s="1" t="s">
        <v>837</v>
      </c>
      <c r="G122" s="1" t="s">
        <v>854</v>
      </c>
      <c r="L122" s="1">
        <v>-79.288056</v>
      </c>
      <c r="M122" s="1">
        <v>33.309167</v>
      </c>
      <c r="N122" s="1" t="s">
        <v>859</v>
      </c>
      <c r="O122" s="1" t="s">
        <v>863</v>
      </c>
      <c r="P122" s="1" t="s">
        <v>859</v>
      </c>
      <c r="T122" s="1">
        <v>7894572</v>
      </c>
      <c r="U122" s="1">
        <v>0</v>
      </c>
      <c r="V122" s="1" t="s">
        <v>869</v>
      </c>
      <c r="W122" s="1" t="s">
        <v>874</v>
      </c>
      <c r="AJ122" s="1">
        <v>1.779</v>
      </c>
      <c r="AK122" s="1">
        <v>-1.952</v>
      </c>
      <c r="AY122" s="2">
        <f>HYPERLINK("https://vdatum.noaa.gov/vdatumweb/api/convert?s_x=-79.288056&amp;s_y=33.309167&amp;s_z=0.0&amp;region=contiguous&amp;s_h_frame=NAD83_2011&amp;s_coor=geo&amp;s_v_frame=NAVD88&amp;s_v_unit=us_ft&amp;t_h_frame=NAD83_2011&amp;t_coor=geo&amp;t_v_frame=MLLW&amp;t_v_unit=us_ft", "NAVD88 to MLLW")</f>
        <v>0</v>
      </c>
      <c r="AZ122" s="2">
        <f>HYPERLINK("https://vdatum.noaa.gov/vdatumweb/api/convert?s_x=-79.288056&amp;s_y=33.309167&amp;s_z=0.0&amp;region=contiguous&amp;s_h_frame=NAD83_2011&amp;s_coor=geo&amp;s_v_frame=NAVD88&amp;s_v_unit=us_ft&amp;t_h_frame=NAD83_2011&amp;t_coor=geo&amp;t_v_frame=MHHW&amp;t_v_unit=us_ft", "NAVD88 to MHHW")</f>
        <v>0</v>
      </c>
    </row>
    <row r="123" spans="1:52">
      <c r="A123" s="1" t="s">
        <v>147</v>
      </c>
      <c r="B123" s="1" t="s">
        <v>618</v>
      </c>
      <c r="C123" s="1" t="s">
        <v>645</v>
      </c>
      <c r="D123" s="1" t="s">
        <v>652</v>
      </c>
      <c r="E123" s="1" t="s">
        <v>701</v>
      </c>
      <c r="F123" s="1" t="s">
        <v>837</v>
      </c>
      <c r="G123" s="1" t="s">
        <v>854</v>
      </c>
      <c r="H123" s="1" t="s">
        <v>1771</v>
      </c>
      <c r="I123" s="1" t="s">
        <v>1857</v>
      </c>
      <c r="J123" s="1" t="s">
        <v>1891</v>
      </c>
      <c r="K123" s="1" t="s">
        <v>2051</v>
      </c>
      <c r="L123" s="1">
        <v>-79.00475428999999</v>
      </c>
      <c r="M123" s="1">
        <v>33.68710849</v>
      </c>
      <c r="N123" s="1" t="s">
        <v>2194</v>
      </c>
      <c r="O123" s="1" t="s">
        <v>861</v>
      </c>
      <c r="P123" s="1" t="s">
        <v>867</v>
      </c>
      <c r="Q123" s="2">
        <f>HYPERLINK("https://waterdata.usgs.gov/nwis/nwismap/?site_no=02110725&amp;agency_cd=USGS", "Station Info")</f>
        <v>0</v>
      </c>
      <c r="R123" s="2">
        <f>HYPERLINK("https://waterservices.usgs.gov/nwis/site/?site=02110725&amp;format=rdb", "Datum Info")</f>
        <v>0</v>
      </c>
      <c r="T123" s="1">
        <v>3457003</v>
      </c>
      <c r="U123" s="1">
        <v>-3.32</v>
      </c>
      <c r="V123" s="1" t="s">
        <v>869</v>
      </c>
      <c r="W123" s="1" t="s">
        <v>874</v>
      </c>
      <c r="X123" s="1" t="s">
        <v>887</v>
      </c>
      <c r="AF123" s="1" t="s">
        <v>985</v>
      </c>
      <c r="AJ123" s="1">
        <v>0.707</v>
      </c>
      <c r="AK123" s="1">
        <v>-1.645</v>
      </c>
      <c r="AS123" s="1">
        <v>14.5</v>
      </c>
      <c r="AT123" s="1">
        <v>15</v>
      </c>
      <c r="AU123" s="1">
        <v>16.5</v>
      </c>
      <c r="AV123" s="1">
        <v>18</v>
      </c>
      <c r="AW123" s="1" t="s">
        <v>1744</v>
      </c>
      <c r="AX123" s="2">
        <f>HYPERLINK("https://water.weather.gov/ahps2/hydrograph.php?wfo=ilm&amp;gage=socs1", "AHPS Data")</f>
        <v>0</v>
      </c>
      <c r="AY123" s="2">
        <f>HYPERLINK("https://vdatum.noaa.gov/vdatumweb/api/convert?s_x=-79.00475429&amp;s_y=33.68710849&amp;s_z=0.0&amp;region=contiguous&amp;s_h_frame=NAD83_2011&amp;s_coor=geo&amp;s_v_frame=NAVD88&amp;s_v_unit=us_ft&amp;t_h_frame=NAD83_2011&amp;t_coor=geo&amp;t_v_frame=MLLW&amp;t_v_unit=us_ft", "NAVD88 to MLLW")</f>
        <v>0</v>
      </c>
      <c r="AZ123" s="2">
        <f>HYPERLINK("https://vdatum.noaa.gov/vdatumweb/api/convert?s_x=-79.00475429&amp;s_y=33.68710849&amp;s_z=0.0&amp;region=contiguous&amp;s_h_frame=NAD83_2011&amp;s_coor=geo&amp;s_v_frame=NAVD88&amp;s_v_unit=us_ft&amp;t_h_frame=NAD83_2011&amp;t_coor=geo&amp;t_v_frame=MHHW&amp;t_v_unit=us_ft", "NAVD88 to MHHW")</f>
        <v>0</v>
      </c>
    </row>
    <row r="124" spans="1:52">
      <c r="A124" s="1" t="s">
        <v>148</v>
      </c>
      <c r="B124" s="1" t="s">
        <v>618</v>
      </c>
      <c r="C124" s="1" t="s">
        <v>645</v>
      </c>
      <c r="D124" s="1" t="s">
        <v>652</v>
      </c>
      <c r="E124" s="1" t="s">
        <v>701</v>
      </c>
      <c r="F124" s="1" t="s">
        <v>837</v>
      </c>
      <c r="G124" s="1" t="s">
        <v>854</v>
      </c>
      <c r="H124" s="1" t="s">
        <v>1771</v>
      </c>
      <c r="I124" s="1" t="s">
        <v>1857</v>
      </c>
      <c r="J124" s="1" t="s">
        <v>1892</v>
      </c>
      <c r="K124" s="1" t="s">
        <v>2052</v>
      </c>
      <c r="L124" s="1">
        <v>-78.65584578000001</v>
      </c>
      <c r="M124" s="1">
        <v>33.85155454</v>
      </c>
      <c r="N124" s="1" t="s">
        <v>2195</v>
      </c>
      <c r="O124" s="1" t="s">
        <v>861</v>
      </c>
      <c r="P124" s="1" t="s">
        <v>867</v>
      </c>
      <c r="Q124" s="2">
        <f>HYPERLINK("https://waterdata.usgs.gov/nwis/nwismap/?site_no=02110777&amp;agency_cd=USGS", "Station Info")</f>
        <v>0</v>
      </c>
      <c r="R124" s="2">
        <f>HYPERLINK("https://waterservices.usgs.gov/nwis/site/?site=02110777&amp;format=rdb", "Datum Info")</f>
        <v>0</v>
      </c>
      <c r="T124" s="1">
        <v>3787738</v>
      </c>
      <c r="U124" s="1">
        <v>-3.87</v>
      </c>
      <c r="V124" s="1" t="s">
        <v>869</v>
      </c>
      <c r="W124" s="1" t="s">
        <v>874</v>
      </c>
      <c r="X124" s="1" t="s">
        <v>887</v>
      </c>
      <c r="Y124" s="1" t="s">
        <v>907</v>
      </c>
      <c r="Z124" s="1" t="s">
        <v>914</v>
      </c>
      <c r="AA124" s="1" t="s">
        <v>921</v>
      </c>
      <c r="AC124" s="1" t="s">
        <v>928</v>
      </c>
      <c r="AD124" s="1" t="s">
        <v>936</v>
      </c>
      <c r="AE124" s="1" t="s">
        <v>943</v>
      </c>
      <c r="AF124" s="1" t="s">
        <v>986</v>
      </c>
      <c r="AH124" s="1" t="s">
        <v>1142</v>
      </c>
      <c r="AI124" s="1" t="s">
        <v>1413</v>
      </c>
      <c r="AJ124" s="1">
        <v>2.163</v>
      </c>
      <c r="AK124" s="1">
        <v>-2.391</v>
      </c>
      <c r="AM124" s="1">
        <v>-11.72</v>
      </c>
      <c r="AS124" s="1">
        <v>0</v>
      </c>
      <c r="AT124" s="1">
        <v>0</v>
      </c>
      <c r="AU124" s="1">
        <v>0</v>
      </c>
      <c r="AV124" s="1">
        <v>0</v>
      </c>
      <c r="AW124" s="1" t="s">
        <v>1744</v>
      </c>
      <c r="AX124" s="2">
        <f>HYPERLINK("https://water.weather.gov/ahps2/hydrograph.php?wfo=ilm&amp;gage=nixs1", "AHPS Data")</f>
        <v>0</v>
      </c>
      <c r="AY124" s="2">
        <f>HYPERLINK("https://vdatum.noaa.gov/vdatumweb/api/convert?s_x=-78.65584578&amp;s_y=33.85155454&amp;s_z=0.0&amp;region=contiguous&amp;s_h_frame=NAD83_2011&amp;s_coor=geo&amp;s_v_frame=NAVD88&amp;s_v_unit=us_ft&amp;t_h_frame=NAD83_2011&amp;t_coor=geo&amp;t_v_frame=MLLW&amp;t_v_unit=us_ft", "NAVD88 to MLLW")</f>
        <v>0</v>
      </c>
      <c r="AZ124" s="2">
        <f>HYPERLINK("https://vdatum.noaa.gov/vdatumweb/api/convert?s_x=-78.65584578&amp;s_y=33.85155454&amp;s_z=0.0&amp;region=contiguous&amp;s_h_frame=NAD83_2011&amp;s_coor=geo&amp;s_v_frame=NAVD88&amp;s_v_unit=us_ft&amp;t_h_frame=NAD83_2011&amp;t_coor=geo&amp;t_v_frame=MHHW&amp;t_v_unit=us_ft", "NAVD88 to MHHW")</f>
        <v>0</v>
      </c>
    </row>
    <row r="125" spans="1:52">
      <c r="A125" s="1" t="s">
        <v>149</v>
      </c>
      <c r="B125" s="1" t="s">
        <v>618</v>
      </c>
      <c r="C125" s="1" t="s">
        <v>645</v>
      </c>
      <c r="D125" s="1" t="s">
        <v>652</v>
      </c>
      <c r="E125" s="1" t="s">
        <v>701</v>
      </c>
      <c r="F125" s="1" t="s">
        <v>837</v>
      </c>
      <c r="G125" s="1" t="s">
        <v>854</v>
      </c>
      <c r="H125" s="1" t="s">
        <v>1772</v>
      </c>
      <c r="I125" s="1" t="s">
        <v>1857</v>
      </c>
      <c r="J125" s="1" t="s">
        <v>1893</v>
      </c>
      <c r="K125" s="1" t="s">
        <v>2053</v>
      </c>
      <c r="L125" s="1">
        <v>-79.09420375000001</v>
      </c>
      <c r="M125" s="1">
        <v>33.64905177</v>
      </c>
      <c r="N125" s="1" t="s">
        <v>2196</v>
      </c>
      <c r="O125" s="1" t="s">
        <v>861</v>
      </c>
      <c r="P125" s="1" t="s">
        <v>867</v>
      </c>
      <c r="Q125" s="2">
        <f>HYPERLINK("https://waterdata.usgs.gov/nwis/nwismap/?site_no=02110802&amp;agency_cd=USGS", "Station Info")</f>
        <v>0</v>
      </c>
      <c r="R125" s="2">
        <f>HYPERLINK("https://waterservices.usgs.gov/nwis/site/?site=02110802&amp;format=rdb", "Datum Info")</f>
        <v>0</v>
      </c>
      <c r="T125" s="1">
        <v>6823179</v>
      </c>
      <c r="U125" s="1">
        <v>-4.4</v>
      </c>
      <c r="V125" s="1" t="s">
        <v>869</v>
      </c>
      <c r="W125" s="1" t="s">
        <v>874</v>
      </c>
      <c r="X125" s="1" t="s">
        <v>889</v>
      </c>
      <c r="AH125" s="1" t="s">
        <v>1143</v>
      </c>
      <c r="AJ125" s="1">
        <v>0.507</v>
      </c>
      <c r="AK125" s="1">
        <v>-1.932</v>
      </c>
      <c r="AM125" s="1">
        <v>-14.36</v>
      </c>
      <c r="AS125" s="1">
        <v>0</v>
      </c>
      <c r="AT125" s="1">
        <v>0</v>
      </c>
      <c r="AU125" s="1">
        <v>0</v>
      </c>
      <c r="AV125" s="1">
        <v>0</v>
      </c>
      <c r="AW125" s="1" t="s">
        <v>1744</v>
      </c>
      <c r="AX125" s="2">
        <f>HYPERLINK("https://water.weather.gov/ahps2/hydrograph.php?wfo=ilm&amp;gage=bucs1", "AHPS Data")</f>
        <v>0</v>
      </c>
      <c r="AY125" s="2">
        <f>HYPERLINK("https://vdatum.noaa.gov/vdatumweb/api/convert?s_x=-79.09420375&amp;s_y=33.64905177&amp;s_z=0.0&amp;region=contiguous&amp;s_h_frame=NAD83_2011&amp;s_coor=geo&amp;s_v_frame=NAVD88&amp;s_v_unit=us_ft&amp;t_h_frame=NAD83_2011&amp;t_coor=geo&amp;t_v_frame=MLLW&amp;t_v_unit=us_ft", "NAVD88 to MLLW")</f>
        <v>0</v>
      </c>
      <c r="AZ125" s="2">
        <f>HYPERLINK("https://vdatum.noaa.gov/vdatumweb/api/convert?s_x=-79.09420375&amp;s_y=33.64905177&amp;s_z=0.0&amp;region=contiguous&amp;s_h_frame=NAD83_2011&amp;s_coor=geo&amp;s_v_frame=NAVD88&amp;s_v_unit=us_ft&amp;t_h_frame=NAD83_2011&amp;t_coor=geo&amp;t_v_frame=MHHW&amp;t_v_unit=us_ft", "NAVD88 to MHHW")</f>
        <v>0</v>
      </c>
    </row>
    <row r="126" spans="1:52">
      <c r="A126" s="1" t="s">
        <v>150</v>
      </c>
      <c r="B126" s="1" t="s">
        <v>618</v>
      </c>
      <c r="C126" s="1" t="s">
        <v>645</v>
      </c>
      <c r="D126" s="1" t="s">
        <v>652</v>
      </c>
      <c r="E126" s="1" t="s">
        <v>700</v>
      </c>
      <c r="F126" s="1" t="s">
        <v>837</v>
      </c>
      <c r="G126" s="1" t="s">
        <v>854</v>
      </c>
      <c r="H126" s="1" t="s">
        <v>1772</v>
      </c>
      <c r="I126" s="1" t="s">
        <v>1857</v>
      </c>
      <c r="J126" s="1" t="s">
        <v>1894</v>
      </c>
      <c r="K126" s="1" t="s">
        <v>2054</v>
      </c>
      <c r="L126" s="1">
        <v>-79.12698406</v>
      </c>
      <c r="M126" s="1">
        <v>33.50655068</v>
      </c>
      <c r="N126" s="1" t="s">
        <v>2197</v>
      </c>
      <c r="O126" s="1" t="s">
        <v>861</v>
      </c>
      <c r="P126" s="1" t="s">
        <v>867</v>
      </c>
      <c r="Q126" s="2">
        <f>HYPERLINK("https://waterdata.usgs.gov/nwis/nwismap/?site_no=021108125&amp;agency_cd=USGS", "Station Info")</f>
        <v>0</v>
      </c>
      <c r="R126" s="2">
        <f>HYPERLINK("https://waterservices.usgs.gov/nwis/site/?site=021108125&amp;format=rdb", "Datum Info")</f>
        <v>0</v>
      </c>
      <c r="T126" s="1">
        <v>4215702</v>
      </c>
      <c r="U126" s="1">
        <v>-1.37</v>
      </c>
      <c r="V126" s="1" t="s">
        <v>869</v>
      </c>
      <c r="W126" s="1" t="s">
        <v>874</v>
      </c>
      <c r="X126" s="1" t="s">
        <v>887</v>
      </c>
      <c r="AF126" s="1" t="s">
        <v>987</v>
      </c>
      <c r="AJ126" s="1">
        <v>0.867</v>
      </c>
      <c r="AK126" s="1">
        <v>-2.711</v>
      </c>
      <c r="AM126" s="1">
        <v>-4.5</v>
      </c>
      <c r="AS126" s="1">
        <v>0</v>
      </c>
      <c r="AT126" s="1">
        <v>0</v>
      </c>
      <c r="AU126" s="1">
        <v>0</v>
      </c>
      <c r="AV126" s="1">
        <v>0</v>
      </c>
      <c r="AW126" s="1" t="s">
        <v>1744</v>
      </c>
      <c r="AX126" s="2">
        <f>HYPERLINK("https://water.weather.gov/ahps2/hydrograph.php?wfo=ilm&amp;gage=wpis1", "AHPS Data")</f>
        <v>0</v>
      </c>
      <c r="AY126" s="2">
        <f>HYPERLINK("https://vdatum.noaa.gov/vdatumweb/api/convert?s_x=-79.12698406&amp;s_y=33.50655068&amp;s_z=0.0&amp;region=contiguous&amp;s_h_frame=NAD83_2011&amp;s_coor=geo&amp;s_v_frame=NAVD88&amp;s_v_unit=us_ft&amp;t_h_frame=NAD83_2011&amp;t_coor=geo&amp;t_v_frame=MLLW&amp;t_v_unit=us_ft", "NAVD88 to MLLW")</f>
        <v>0</v>
      </c>
      <c r="AZ126" s="2">
        <f>HYPERLINK("https://vdatum.noaa.gov/vdatumweb/api/convert?s_x=-79.12698406&amp;s_y=33.50655068&amp;s_z=0.0&amp;region=contiguous&amp;s_h_frame=NAD83_2011&amp;s_coor=geo&amp;s_v_frame=NAVD88&amp;s_v_unit=us_ft&amp;t_h_frame=NAD83_2011&amp;t_coor=geo&amp;t_v_frame=MHHW&amp;t_v_unit=us_ft", "NAVD88 to MHHW")</f>
        <v>0</v>
      </c>
    </row>
    <row r="127" spans="1:52">
      <c r="A127" s="1" t="s">
        <v>151</v>
      </c>
      <c r="B127" s="1" t="s">
        <v>618</v>
      </c>
      <c r="C127" s="1" t="s">
        <v>645</v>
      </c>
      <c r="D127" s="1" t="s">
        <v>652</v>
      </c>
      <c r="E127" s="1" t="s">
        <v>700</v>
      </c>
      <c r="F127" s="1" t="s">
        <v>837</v>
      </c>
      <c r="G127" s="1" t="s">
        <v>854</v>
      </c>
      <c r="H127" s="1" t="s">
        <v>1772</v>
      </c>
      <c r="I127" s="1" t="s">
        <v>1857</v>
      </c>
      <c r="J127" s="1" t="s">
        <v>1895</v>
      </c>
      <c r="K127" s="1" t="s">
        <v>2055</v>
      </c>
      <c r="L127" s="1">
        <v>-79.17393145</v>
      </c>
      <c r="M127" s="1">
        <v>33.4446059</v>
      </c>
      <c r="N127" s="1" t="s">
        <v>2198</v>
      </c>
      <c r="O127" s="1" t="s">
        <v>861</v>
      </c>
      <c r="P127" s="1" t="s">
        <v>867</v>
      </c>
      <c r="Q127" s="2">
        <f>HYPERLINK("https://waterdata.usgs.gov/nwis/nwismap/?site_no=02110815&amp;agency_cd=USGS", "Station Info")</f>
        <v>0</v>
      </c>
      <c r="R127" s="2">
        <f>HYPERLINK("https://waterservices.usgs.gov/nwis/site/?site=02110815&amp;format=rdb", "Datum Info")</f>
        <v>0</v>
      </c>
      <c r="T127" s="1">
        <v>5300791</v>
      </c>
      <c r="U127" s="1">
        <v>-4.62</v>
      </c>
      <c r="V127" s="1" t="s">
        <v>869</v>
      </c>
      <c r="W127" s="1" t="s">
        <v>874</v>
      </c>
      <c r="X127" s="1" t="s">
        <v>889</v>
      </c>
      <c r="AH127" s="1" t="s">
        <v>1144</v>
      </c>
      <c r="AJ127" s="1">
        <v>1.515</v>
      </c>
      <c r="AK127" s="1">
        <v>-2.22</v>
      </c>
      <c r="AL127" s="1" t="s">
        <v>1610</v>
      </c>
      <c r="AM127" s="1">
        <v>-14.14</v>
      </c>
      <c r="AS127" s="1">
        <v>0</v>
      </c>
      <c r="AT127" s="1">
        <v>0</v>
      </c>
      <c r="AU127" s="1">
        <v>0</v>
      </c>
      <c r="AV127" s="1">
        <v>0</v>
      </c>
      <c r="AW127" s="1" t="s">
        <v>1744</v>
      </c>
      <c r="AX127" s="2">
        <f>HYPERLINK("https://water.weather.gov/ahps2/hydrograph.php?wfo=ilm&amp;gage=hags1", "AHPS Data")</f>
        <v>0</v>
      </c>
      <c r="AY127" s="2">
        <f>HYPERLINK("https://vdatum.noaa.gov/vdatumweb/api/convert?s_x=-79.17393145&amp;s_y=33.4446059&amp;s_z=0.0&amp;region=contiguous&amp;s_h_frame=NAD83_2011&amp;s_coor=geo&amp;s_v_frame=NAVD88&amp;s_v_unit=us_ft&amp;t_h_frame=NAD83_2011&amp;t_coor=geo&amp;t_v_frame=MLLW&amp;t_v_unit=us_ft", "NAVD88 to MLLW")</f>
        <v>0</v>
      </c>
      <c r="AZ127" s="2">
        <f>HYPERLINK("https://vdatum.noaa.gov/vdatumweb/api/convert?s_x=-79.17393145&amp;s_y=33.4446059&amp;s_z=0.0&amp;region=contiguous&amp;s_h_frame=NAD83_2011&amp;s_coor=geo&amp;s_v_frame=NAVD88&amp;s_v_unit=us_ft&amp;t_h_frame=NAD83_2011&amp;t_coor=geo&amp;t_v_frame=MHHW&amp;t_v_unit=us_ft", "NAVD88 to MHHW")</f>
        <v>0</v>
      </c>
    </row>
    <row r="128" spans="1:52">
      <c r="A128" s="1" t="s">
        <v>152</v>
      </c>
      <c r="B128" s="1" t="s">
        <v>618</v>
      </c>
      <c r="C128" s="1" t="s">
        <v>645</v>
      </c>
      <c r="D128" s="1" t="s">
        <v>652</v>
      </c>
      <c r="E128" s="1" t="s">
        <v>700</v>
      </c>
      <c r="F128" s="1" t="s">
        <v>837</v>
      </c>
      <c r="G128" s="1" t="s">
        <v>854</v>
      </c>
      <c r="H128" s="1" t="s">
        <v>1773</v>
      </c>
      <c r="I128" s="1" t="s">
        <v>1857</v>
      </c>
      <c r="J128" s="1" t="s">
        <v>1896</v>
      </c>
      <c r="K128" s="1" t="s">
        <v>700</v>
      </c>
      <c r="L128" s="1">
        <v>-79.26365902000001</v>
      </c>
      <c r="M128" s="1">
        <v>33.36932743</v>
      </c>
      <c r="N128" s="1" t="s">
        <v>2199</v>
      </c>
      <c r="O128" s="1" t="s">
        <v>861</v>
      </c>
      <c r="P128" s="1" t="s">
        <v>867</v>
      </c>
      <c r="Q128" s="2">
        <f>HYPERLINK("https://waterdata.usgs.gov/nwis/nwismap/?site_no=02136350&amp;agency_cd=USGS", "Station Info")</f>
        <v>0</v>
      </c>
      <c r="R128" s="2">
        <f>HYPERLINK("https://waterservices.usgs.gov/nwis/site/?site=02136350&amp;format=rdb", "Datum Info")</f>
        <v>0</v>
      </c>
      <c r="T128" s="1">
        <v>7689341</v>
      </c>
      <c r="U128" s="1">
        <v>-3.53</v>
      </c>
      <c r="V128" s="1" t="s">
        <v>869</v>
      </c>
      <c r="W128" s="1" t="s">
        <v>874</v>
      </c>
      <c r="X128" s="1" t="s">
        <v>887</v>
      </c>
      <c r="Y128" s="1" t="s">
        <v>908</v>
      </c>
      <c r="Z128" s="1" t="s">
        <v>915</v>
      </c>
      <c r="AA128" s="1" t="s">
        <v>922</v>
      </c>
      <c r="AC128" s="1" t="s">
        <v>929</v>
      </c>
      <c r="AD128" s="1" t="s">
        <v>937</v>
      </c>
      <c r="AE128" s="1" t="s">
        <v>944</v>
      </c>
      <c r="AF128" s="1" t="s">
        <v>988</v>
      </c>
      <c r="AH128" s="1" t="s">
        <v>1145</v>
      </c>
      <c r="AI128" s="1" t="s">
        <v>1414</v>
      </c>
      <c r="AJ128" s="1">
        <v>1.785</v>
      </c>
      <c r="AK128" s="1">
        <v>-2.112</v>
      </c>
      <c r="AM128" s="1">
        <v>-11.58</v>
      </c>
      <c r="AS128" s="1">
        <v>0</v>
      </c>
      <c r="AT128" s="1">
        <v>0</v>
      </c>
      <c r="AU128" s="1">
        <v>0</v>
      </c>
      <c r="AV128" s="1">
        <v>0</v>
      </c>
      <c r="AW128" s="1" t="s">
        <v>1744</v>
      </c>
      <c r="AX128" s="2">
        <f>HYPERLINK("https://water.weather.gov/ahps2/hydrograph.php?wfo=ilm&amp;gage=pdgs1", "AHPS Data")</f>
        <v>0</v>
      </c>
      <c r="AY128" s="2">
        <f>HYPERLINK("https://vdatum.noaa.gov/vdatumweb/api/convert?s_x=-79.26365902&amp;s_y=33.36932743&amp;s_z=0.0&amp;region=contiguous&amp;s_h_frame=NAD83_2011&amp;s_coor=geo&amp;s_v_frame=NAVD88&amp;s_v_unit=us_ft&amp;t_h_frame=NAD83_2011&amp;t_coor=geo&amp;t_v_frame=MLLW&amp;t_v_unit=us_ft", "NAVD88 to MLLW")</f>
        <v>0</v>
      </c>
      <c r="AZ128" s="2">
        <f>HYPERLINK("https://vdatum.noaa.gov/vdatumweb/api/convert?s_x=-79.26365902&amp;s_y=33.36932743&amp;s_z=0.0&amp;region=contiguous&amp;s_h_frame=NAD83_2011&amp;s_coor=geo&amp;s_v_frame=NAVD88&amp;s_v_unit=us_ft&amp;t_h_frame=NAD83_2011&amp;t_coor=geo&amp;t_v_frame=MHHW&amp;t_v_unit=us_ft", "NAVD88 to MHHW")</f>
        <v>0</v>
      </c>
    </row>
    <row r="129" spans="1:52">
      <c r="A129" s="1" t="s">
        <v>153</v>
      </c>
      <c r="B129" s="1" t="s">
        <v>619</v>
      </c>
      <c r="C129" s="1" t="s">
        <v>644</v>
      </c>
      <c r="D129" s="1" t="s">
        <v>652</v>
      </c>
      <c r="H129" s="1" t="s">
        <v>1774</v>
      </c>
      <c r="I129" s="1" t="s">
        <v>1856</v>
      </c>
      <c r="J129" s="1" t="s">
        <v>1897</v>
      </c>
      <c r="K129" s="1" t="s">
        <v>2056</v>
      </c>
      <c r="L129" s="1">
        <v>-75.8633</v>
      </c>
      <c r="M129" s="1">
        <v>37.9767</v>
      </c>
      <c r="N129" s="1">
        <v>8571091</v>
      </c>
      <c r="O129" s="1" t="s">
        <v>861</v>
      </c>
      <c r="P129" s="1" t="s">
        <v>866</v>
      </c>
      <c r="Q129" s="2">
        <f>HYPERLINK("https://tidesandcurrents.noaa.gov/stationhome.html?id=8571091", "Station Info")</f>
        <v>0</v>
      </c>
      <c r="R129" s="2">
        <f>HYPERLINK("https://tidesandcurrents.noaa.gov/datums.html?datum=MLLW&amp;units=0&amp;epoch=0&amp;id=8571091", "Datum Info")</f>
        <v>0</v>
      </c>
      <c r="S129" s="2">
        <f>HYPERLINK("https://api.tidesandcurrents.noaa.gov/mdapi/prod/webapi/stations/8571091.json", "More Info")</f>
        <v>0</v>
      </c>
      <c r="T129" s="1">
        <v>9198374</v>
      </c>
      <c r="U129" s="1">
        <v>0</v>
      </c>
      <c r="V129" s="1" t="s">
        <v>869</v>
      </c>
      <c r="W129" s="1" t="s">
        <v>873</v>
      </c>
      <c r="X129" s="1" t="s">
        <v>886</v>
      </c>
      <c r="Y129" s="1">
        <v>2.15</v>
      </c>
      <c r="Z129" s="1">
        <v>1.98</v>
      </c>
      <c r="AA129" s="1">
        <v>1.05</v>
      </c>
      <c r="AB129" s="1">
        <v>1</v>
      </c>
      <c r="AC129" s="1">
        <v>1.07</v>
      </c>
      <c r="AD129" s="1">
        <v>0.12</v>
      </c>
      <c r="AE129" s="1">
        <v>0</v>
      </c>
      <c r="AF129" s="1">
        <v>1.16</v>
      </c>
      <c r="AG129" s="1">
        <v>-5</v>
      </c>
      <c r="AH129" s="1" t="s">
        <v>1146</v>
      </c>
      <c r="AI129" s="1" t="s">
        <v>1415</v>
      </c>
      <c r="AJ129" s="1">
        <v>1.417</v>
      </c>
      <c r="AK129" s="1">
        <v>-0.735</v>
      </c>
      <c r="AL129" s="1" t="s">
        <v>887</v>
      </c>
      <c r="AM129" s="1">
        <v>0</v>
      </c>
      <c r="AN129" s="1" t="s">
        <v>1630</v>
      </c>
      <c r="AS129" s="1">
        <v>3</v>
      </c>
      <c r="AT129" s="1">
        <v>3.5</v>
      </c>
      <c r="AU129" s="1">
        <v>4</v>
      </c>
      <c r="AV129" s="1">
        <v>5</v>
      </c>
      <c r="AW129" s="1" t="s">
        <v>1744</v>
      </c>
      <c r="AX129" s="2">
        <f>HYPERLINK("https://water.weather.gov/ahps2/hydrograph.php?wfo=akq&amp;gage=crsm2", "AHPS Data")</f>
        <v>0</v>
      </c>
      <c r="AY129" s="2">
        <f>HYPERLINK("https://vdatum.noaa.gov/vdatumweb/api/convert?s_x=-75.8633&amp;s_y=37.9767&amp;s_z=0.0&amp;region=chesapeak_delaware&amp;s_h_frame=NAD83_2011&amp;s_coor=geo&amp;s_v_frame=NAVD88&amp;s_v_unit=us_ft&amp;t_h_frame=IGS14&amp;t_coor=geo&amp;t_v_frame=MLLW&amp;t_v_unit=us_ft", "NAVD88 to MLLW")</f>
        <v>0</v>
      </c>
      <c r="AZ129" s="2">
        <f>HYPERLINK("https://vdatum.noaa.gov/vdatumweb/api/convert?s_x=-75.8633&amp;s_y=37.9767&amp;s_z=0.0&amp;region=chesapeak_delaware&amp;s_h_frame=NAD83_2011&amp;s_coor=geo&amp;s_v_frame=NAVD88&amp;s_v_unit=us_ft&amp;t_h_frame=IGS14&amp;t_coor=geo&amp;t_v_frame=MHHW&amp;t_v_unit=us_ft", "NAVD88 to MHHW")</f>
        <v>0</v>
      </c>
    </row>
    <row r="130" spans="1:52">
      <c r="A130" s="1" t="s">
        <v>154</v>
      </c>
      <c r="B130" s="1" t="s">
        <v>619</v>
      </c>
      <c r="D130" s="1" t="s">
        <v>652</v>
      </c>
      <c r="L130" s="1">
        <v>-76.03830000000001</v>
      </c>
      <c r="M130" s="1">
        <v>38.22</v>
      </c>
      <c r="N130" s="1">
        <v>8571421</v>
      </c>
      <c r="O130" s="1" t="s">
        <v>860</v>
      </c>
      <c r="P130" s="1" t="s">
        <v>866</v>
      </c>
      <c r="Q130" s="2">
        <f>HYPERLINK("https://tidesandcurrents.noaa.gov/stationhome.html?id=8571421", "Station Info")</f>
        <v>0</v>
      </c>
      <c r="R130" s="2">
        <f>HYPERLINK("https://tidesandcurrents.noaa.gov/datums.html?datum=MLLW&amp;units=0&amp;epoch=0&amp;id=8571421", "Datum Info")</f>
        <v>0</v>
      </c>
      <c r="S130" s="2">
        <f>HYPERLINK("https://api.tidesandcurrents.noaa.gov/mdapi/prod/webapi/stations/8571421.json", "More Info")</f>
        <v>0</v>
      </c>
      <c r="T130" s="1">
        <v>6761033</v>
      </c>
      <c r="U130" s="1">
        <v>0</v>
      </c>
      <c r="V130" s="1" t="s">
        <v>869</v>
      </c>
      <c r="W130" s="1" t="s">
        <v>873</v>
      </c>
      <c r="X130" s="1" t="s">
        <v>886</v>
      </c>
      <c r="Y130" s="1">
        <v>2.06</v>
      </c>
      <c r="Z130" s="1">
        <v>1.9</v>
      </c>
      <c r="AA130" s="1">
        <v>1.02</v>
      </c>
      <c r="AB130" s="1">
        <v>1.02</v>
      </c>
      <c r="AC130" s="1">
        <v>1.03</v>
      </c>
      <c r="AD130" s="1">
        <v>0.14</v>
      </c>
      <c r="AE130" s="1">
        <v>0</v>
      </c>
      <c r="AF130" s="1">
        <v>1.21</v>
      </c>
      <c r="AG130" s="1">
        <v>-28.95</v>
      </c>
      <c r="AH130" s="1" t="s">
        <v>1147</v>
      </c>
      <c r="AI130" s="1" t="s">
        <v>1416</v>
      </c>
      <c r="AJ130" s="1">
        <v>1.152</v>
      </c>
      <c r="AK130" s="1">
        <v>-0.9350000000000001</v>
      </c>
      <c r="AY130" s="2">
        <f>HYPERLINK("https://vdatum.noaa.gov/vdatumweb/api/convert?s_x=-76.0383&amp;s_y=38.22&amp;s_z=0.0&amp;region=chesapeak_delaware&amp;s_h_frame=NAD83_2011&amp;s_coor=geo&amp;s_v_frame=NAVD88&amp;s_v_unit=us_ft&amp;t_h_frame=IGS14&amp;t_coor=geo&amp;t_v_frame=MLLW&amp;t_v_unit=us_ft", "NAVD88 to MLLW")</f>
        <v>0</v>
      </c>
      <c r="AZ130" s="2">
        <f>HYPERLINK("https://vdatum.noaa.gov/vdatumweb/api/convert?s_x=-76.0383&amp;s_y=38.22&amp;s_z=0.0&amp;region=chesapeak_delaware&amp;s_h_frame=NAD83_2011&amp;s_coor=geo&amp;s_v_frame=NAVD88&amp;s_v_unit=us_ft&amp;t_h_frame=IGS14&amp;t_coor=geo&amp;t_v_frame=MHHW&amp;t_v_unit=us_ft", "NAVD88 to MHHW")</f>
        <v>0</v>
      </c>
    </row>
    <row r="131" spans="1:52">
      <c r="A131" s="1" t="s">
        <v>155</v>
      </c>
      <c r="B131" s="1" t="s">
        <v>619</v>
      </c>
      <c r="C131" s="1" t="s">
        <v>644</v>
      </c>
      <c r="D131" s="1" t="s">
        <v>652</v>
      </c>
      <c r="E131" s="1" t="s">
        <v>702</v>
      </c>
      <c r="F131" s="1" t="s">
        <v>830</v>
      </c>
      <c r="G131" s="1" t="s">
        <v>854</v>
      </c>
      <c r="L131" s="1">
        <v>-75.81</v>
      </c>
      <c r="M131" s="1">
        <v>39.52667</v>
      </c>
      <c r="N131" s="1">
        <v>8573927</v>
      </c>
      <c r="O131" s="1" t="s">
        <v>860</v>
      </c>
      <c r="P131" s="1" t="s">
        <v>866</v>
      </c>
      <c r="Q131" s="2">
        <f>HYPERLINK("https://tidesandcurrents.noaa.gov/stationhome.html?id=8573927", "Station Info")</f>
        <v>0</v>
      </c>
      <c r="R131" s="2">
        <f>HYPERLINK("https://tidesandcurrents.noaa.gov/datums.html?datum=MLLW&amp;units=0&amp;epoch=0&amp;id=8573927", "Datum Info")</f>
        <v>0</v>
      </c>
      <c r="S131" s="2">
        <f>HYPERLINK("https://api.tidesandcurrents.noaa.gov/mdapi/prod/webapi/stations/8573927.json", "More Info")</f>
        <v>0</v>
      </c>
      <c r="T131" s="1">
        <v>2983975</v>
      </c>
      <c r="U131" s="1">
        <v>0</v>
      </c>
      <c r="V131" s="1" t="s">
        <v>869</v>
      </c>
      <c r="W131" s="1" t="s">
        <v>873</v>
      </c>
      <c r="X131" s="1" t="s">
        <v>886</v>
      </c>
      <c r="Y131" s="1">
        <v>3.23</v>
      </c>
      <c r="Z131" s="1">
        <v>3.02</v>
      </c>
      <c r="AA131" s="1">
        <v>1.62</v>
      </c>
      <c r="AB131" s="1">
        <v>1.56</v>
      </c>
      <c r="AC131" s="1">
        <v>1.61</v>
      </c>
      <c r="AD131" s="1">
        <v>0.22</v>
      </c>
      <c r="AE131" s="1">
        <v>0</v>
      </c>
      <c r="AF131" s="1">
        <v>1.6</v>
      </c>
      <c r="AG131" s="1">
        <v>-3.15</v>
      </c>
      <c r="AH131" s="1" t="s">
        <v>1109</v>
      </c>
      <c r="AI131" s="1" t="s">
        <v>1417</v>
      </c>
      <c r="AJ131" s="1">
        <v>1.542</v>
      </c>
      <c r="AK131" s="1">
        <v>-1.677</v>
      </c>
      <c r="AY131" s="2">
        <f>HYPERLINK("https://vdatum.noaa.gov/vdatumweb/api/convert?s_x=-75.81&amp;s_y=39.52667&amp;s_z=0.0&amp;region=chesapeak_delaware&amp;s_h_frame=NAD83_2011&amp;s_coor=geo&amp;s_v_frame=NAVD88&amp;s_v_unit=us_ft&amp;t_h_frame=IGS14&amp;t_coor=geo&amp;t_v_frame=MLLW&amp;t_v_unit=us_ft", "NAVD88 to MLLW")</f>
        <v>0</v>
      </c>
      <c r="AZ131" s="2">
        <f>HYPERLINK("https://vdatum.noaa.gov/vdatumweb/api/convert?s_x=-75.81&amp;s_y=39.52667&amp;s_z=0.0&amp;region=chesapeak_delaware&amp;s_h_frame=NAD83_2011&amp;s_coor=geo&amp;s_v_frame=NAVD88&amp;s_v_unit=us_ft&amp;t_h_frame=IGS14&amp;t_coor=geo&amp;t_v_frame=MHHW&amp;t_v_unit=us_ft", "NAVD88 to MHHW")</f>
        <v>0</v>
      </c>
    </row>
    <row r="132" spans="1:52">
      <c r="A132" s="1" t="s">
        <v>156</v>
      </c>
      <c r="B132" s="1" t="s">
        <v>619</v>
      </c>
      <c r="D132" s="1" t="s">
        <v>652</v>
      </c>
      <c r="E132" s="1" t="s">
        <v>703</v>
      </c>
      <c r="F132" s="1" t="s">
        <v>830</v>
      </c>
      <c r="G132" s="1" t="s">
        <v>854</v>
      </c>
      <c r="H132" s="1" t="s">
        <v>1774</v>
      </c>
      <c r="I132" s="1" t="s">
        <v>1856</v>
      </c>
      <c r="J132" s="1" t="s">
        <v>1898</v>
      </c>
      <c r="K132" s="1" t="s">
        <v>2057</v>
      </c>
      <c r="L132" s="1">
        <v>-76.09</v>
      </c>
      <c r="M132" s="1">
        <v>39.5367</v>
      </c>
      <c r="N132" s="1">
        <v>8574070</v>
      </c>
      <c r="O132" s="1" t="s">
        <v>860</v>
      </c>
      <c r="P132" s="1" t="s">
        <v>866</v>
      </c>
      <c r="Q132" s="2">
        <f>HYPERLINK("https://tidesandcurrents.noaa.gov/stationhome.html?id=8574070", "Station Info")</f>
        <v>0</v>
      </c>
      <c r="R132" s="2">
        <f>HYPERLINK("https://tidesandcurrents.noaa.gov/datums.html?datum=MLLW&amp;units=0&amp;epoch=0&amp;id=8574070", "Datum Info")</f>
        <v>0</v>
      </c>
      <c r="S132" s="2">
        <f>HYPERLINK("https://api.tidesandcurrents.noaa.gov/mdapi/prod/webapi/stations/8574070.json", "More Info")</f>
        <v>0</v>
      </c>
      <c r="T132" s="1">
        <v>3165807</v>
      </c>
      <c r="U132" s="1">
        <v>-0.367</v>
      </c>
      <c r="V132" s="1" t="s">
        <v>869</v>
      </c>
      <c r="W132" s="1" t="s">
        <v>873</v>
      </c>
      <c r="X132" s="1" t="s">
        <v>886</v>
      </c>
      <c r="Y132" s="1">
        <v>2.44</v>
      </c>
      <c r="Z132" s="1">
        <v>2.1</v>
      </c>
      <c r="AA132" s="1">
        <v>1.15</v>
      </c>
      <c r="AB132" s="1">
        <v>1.18</v>
      </c>
      <c r="AC132" s="1">
        <v>1.22</v>
      </c>
      <c r="AD132" s="1">
        <v>0.21</v>
      </c>
      <c r="AE132" s="1">
        <v>0</v>
      </c>
      <c r="AF132" s="1" t="s">
        <v>989</v>
      </c>
      <c r="AG132" s="1">
        <v>-6.32</v>
      </c>
      <c r="AH132" s="1" t="s">
        <v>1148</v>
      </c>
      <c r="AI132" s="1" t="s">
        <v>1418</v>
      </c>
      <c r="AJ132" s="1">
        <v>1.03</v>
      </c>
      <c r="AK132" s="1">
        <v>-1.417</v>
      </c>
      <c r="AL132" s="1" t="s">
        <v>886</v>
      </c>
      <c r="AM132" s="1">
        <v>1.03</v>
      </c>
      <c r="AN132" s="1" t="s">
        <v>1631</v>
      </c>
      <c r="AO132" s="1" t="s">
        <v>1690</v>
      </c>
      <c r="AP132" s="1" t="s">
        <v>1640</v>
      </c>
      <c r="AR132" s="1" t="s">
        <v>1690</v>
      </c>
      <c r="AS132" s="1">
        <v>3.5</v>
      </c>
      <c r="AT132" s="1">
        <v>4</v>
      </c>
      <c r="AU132" s="1">
        <v>5.5</v>
      </c>
      <c r="AV132" s="1">
        <v>7</v>
      </c>
      <c r="AW132" s="1" t="s">
        <v>1744</v>
      </c>
      <c r="AX132" s="2">
        <f>HYPERLINK("https://water.weather.gov/ahps2/hydrograph.php?wfo=lwx&amp;gage=hdgm2", "AHPS Data")</f>
        <v>0</v>
      </c>
      <c r="AY132" s="2">
        <f>HYPERLINK("https://vdatum.noaa.gov/vdatumweb/api/convert?s_x=-76.09&amp;s_y=39.5367&amp;s_z=0.0&amp;region=chesapeak_delaware&amp;s_h_frame=NAD83_2011&amp;s_coor=geo&amp;s_v_frame=NAVD88&amp;s_v_unit=us_ft&amp;t_h_frame=IGS14&amp;t_coor=geo&amp;t_v_frame=MLLW&amp;t_v_unit=us_ft", "NAVD88 to MLLW")</f>
        <v>0</v>
      </c>
      <c r="AZ132" s="2">
        <f>HYPERLINK("https://vdatum.noaa.gov/vdatumweb/api/convert?s_x=-76.09&amp;s_y=39.5367&amp;s_z=0.0&amp;region=chesapeak_delaware&amp;s_h_frame=NAD83_2011&amp;s_coor=geo&amp;s_v_frame=NAVD88&amp;s_v_unit=us_ft&amp;t_h_frame=IGS14&amp;t_coor=geo&amp;t_v_frame=MHHW&amp;t_v_unit=us_ft", "NAVD88 to MHHW")</f>
        <v>0</v>
      </c>
    </row>
    <row r="133" spans="1:52">
      <c r="A133" s="1" t="s">
        <v>157</v>
      </c>
      <c r="B133" s="1" t="s">
        <v>619</v>
      </c>
      <c r="C133" s="1" t="s">
        <v>644</v>
      </c>
      <c r="D133" s="1" t="s">
        <v>652</v>
      </c>
      <c r="L133" s="1">
        <v>-76.57940000000001</v>
      </c>
      <c r="M133" s="1">
        <v>39.26694</v>
      </c>
      <c r="N133" s="1">
        <v>8574680</v>
      </c>
      <c r="O133" s="1" t="s">
        <v>860</v>
      </c>
      <c r="P133" s="1" t="s">
        <v>866</v>
      </c>
      <c r="Q133" s="2">
        <f>HYPERLINK("https://tidesandcurrents.noaa.gov/stationhome.html?id=8574680", "Station Info")</f>
        <v>0</v>
      </c>
      <c r="R133" s="2">
        <f>HYPERLINK("https://tidesandcurrents.noaa.gov/datums.html?datum=MLLW&amp;units=0&amp;epoch=0&amp;id=8574680", "Datum Info")</f>
        <v>0</v>
      </c>
      <c r="S133" s="2">
        <f>HYPERLINK("https://api.tidesandcurrents.noaa.gov/mdapi/prod/webapi/stations/8574680.json", "More Info")</f>
        <v>0</v>
      </c>
      <c r="T133" s="1">
        <v>4431728</v>
      </c>
      <c r="U133" s="1">
        <v>0</v>
      </c>
      <c r="V133" s="1" t="s">
        <v>869</v>
      </c>
      <c r="W133" s="1" t="s">
        <v>873</v>
      </c>
      <c r="X133" s="1" t="s">
        <v>886</v>
      </c>
      <c r="Y133" s="1">
        <v>1.66</v>
      </c>
      <c r="Z133" s="1">
        <v>1.37</v>
      </c>
      <c r="AA133" s="1">
        <v>0.79</v>
      </c>
      <c r="AB133" s="1">
        <v>0.8100000000000001</v>
      </c>
      <c r="AC133" s="1">
        <v>0.83</v>
      </c>
      <c r="AD133" s="1">
        <v>0.22</v>
      </c>
      <c r="AE133" s="1">
        <v>0</v>
      </c>
      <c r="AF133" s="1">
        <v>0.84</v>
      </c>
      <c r="AG133" s="1">
        <v>-4.1</v>
      </c>
      <c r="AH133" s="1" t="s">
        <v>1149</v>
      </c>
      <c r="AI133" s="1" t="s">
        <v>1419</v>
      </c>
      <c r="AJ133" s="1">
        <v>0.82</v>
      </c>
      <c r="AK133" s="1">
        <v>-0.86</v>
      </c>
      <c r="AY133" s="2">
        <f>HYPERLINK("https://vdatum.noaa.gov/vdatumweb/api/convert?s_x=-76.5794&amp;s_y=39.26694&amp;s_z=0.0&amp;region=chesapeak_delaware&amp;s_h_frame=NAD83_2011&amp;s_coor=geo&amp;s_v_frame=NAVD88&amp;s_v_unit=us_ft&amp;t_h_frame=IGS14&amp;t_coor=geo&amp;t_v_frame=MLLW&amp;t_v_unit=us_ft", "NAVD88 to MLLW")</f>
        <v>0</v>
      </c>
      <c r="AZ133" s="2">
        <f>HYPERLINK("https://vdatum.noaa.gov/vdatumweb/api/convert?s_x=-76.5794&amp;s_y=39.26694&amp;s_z=0.0&amp;region=chesapeak_delaware&amp;s_h_frame=NAD83_2011&amp;s_coor=geo&amp;s_v_frame=NAVD88&amp;s_v_unit=us_ft&amp;t_h_frame=IGS14&amp;t_coor=geo&amp;t_v_frame=MHHW&amp;t_v_unit=us_ft", "NAVD88 to MHHW")</f>
        <v>0</v>
      </c>
    </row>
    <row r="134" spans="1:52">
      <c r="A134" s="1" t="s">
        <v>158</v>
      </c>
      <c r="B134" s="1" t="s">
        <v>619</v>
      </c>
      <c r="C134" s="1" t="s">
        <v>644</v>
      </c>
      <c r="D134" s="1" t="s">
        <v>652</v>
      </c>
      <c r="E134" s="1" t="s">
        <v>704</v>
      </c>
      <c r="F134" s="1" t="s">
        <v>830</v>
      </c>
      <c r="G134" s="1" t="s">
        <v>854</v>
      </c>
      <c r="L134" s="1">
        <v>-76.4816</v>
      </c>
      <c r="M134" s="1">
        <v>38.98328</v>
      </c>
      <c r="N134" s="1">
        <v>8575512</v>
      </c>
      <c r="O134" s="1" t="s">
        <v>860</v>
      </c>
      <c r="P134" s="1" t="s">
        <v>866</v>
      </c>
      <c r="Q134" s="2">
        <f>HYPERLINK("https://tidesandcurrents.noaa.gov/stationhome.html?id=8575512", "Station Info")</f>
        <v>0</v>
      </c>
      <c r="R134" s="2">
        <f>HYPERLINK("https://tidesandcurrents.noaa.gov/datums.html?datum=MLLW&amp;units=0&amp;epoch=0&amp;id=8575512", "Datum Info")</f>
        <v>0</v>
      </c>
      <c r="S134" s="2">
        <f>HYPERLINK("https://api.tidesandcurrents.noaa.gov/mdapi/prod/webapi/stations/8575512.json", "More Info")</f>
        <v>0</v>
      </c>
      <c r="T134" s="1">
        <v>4706224</v>
      </c>
      <c r="U134" s="1">
        <v>0</v>
      </c>
      <c r="V134" s="1" t="s">
        <v>869</v>
      </c>
      <c r="W134" s="1" t="s">
        <v>873</v>
      </c>
      <c r="X134" s="1" t="s">
        <v>886</v>
      </c>
      <c r="Y134" s="1">
        <v>1.43</v>
      </c>
      <c r="Z134" s="1">
        <v>1.19</v>
      </c>
      <c r="AA134" s="1">
        <v>0.7</v>
      </c>
      <c r="AB134" s="1">
        <v>0.72</v>
      </c>
      <c r="AC134" s="1">
        <v>0.72</v>
      </c>
      <c r="AD134" s="1">
        <v>0.22</v>
      </c>
      <c r="AE134" s="1">
        <v>0</v>
      </c>
      <c r="AF134" s="1">
        <v>0.77</v>
      </c>
      <c r="AG134" s="1">
        <v>-4.52</v>
      </c>
      <c r="AH134" s="1" t="s">
        <v>1150</v>
      </c>
      <c r="AI134" s="1" t="s">
        <v>1420</v>
      </c>
      <c r="AJ134" s="1">
        <v>0.899</v>
      </c>
      <c r="AK134" s="1">
        <v>-0.548</v>
      </c>
      <c r="AY134" s="2">
        <f>HYPERLINK("https://vdatum.noaa.gov/vdatumweb/api/convert?s_x=-76.4816&amp;s_y=38.98328&amp;s_z=0.0&amp;region=chesapeak_delaware&amp;s_h_frame=NAD83_2011&amp;s_coor=geo&amp;s_v_frame=NAVD88&amp;s_v_unit=us_ft&amp;t_h_frame=IGS14&amp;t_coor=geo&amp;t_v_frame=MLLW&amp;t_v_unit=us_ft", "NAVD88 to MLLW")</f>
        <v>0</v>
      </c>
      <c r="AZ134" s="2">
        <f>HYPERLINK("https://vdatum.noaa.gov/vdatumweb/api/convert?s_x=-76.4816&amp;s_y=38.98328&amp;s_z=0.0&amp;region=chesapeak_delaware&amp;s_h_frame=NAD83_2011&amp;s_coor=geo&amp;s_v_frame=NAVD88&amp;s_v_unit=us_ft&amp;t_h_frame=IGS14&amp;t_coor=geo&amp;t_v_frame=MHHW&amp;t_v_unit=us_ft", "NAVD88 to MHHW")</f>
        <v>0</v>
      </c>
    </row>
    <row r="135" spans="1:52">
      <c r="A135" s="1" t="s">
        <v>159</v>
      </c>
      <c r="B135" s="1" t="s">
        <v>619</v>
      </c>
      <c r="C135" s="1" t="s">
        <v>644</v>
      </c>
      <c r="D135" s="1" t="s">
        <v>652</v>
      </c>
      <c r="E135" s="1" t="s">
        <v>705</v>
      </c>
      <c r="F135" s="1" t="s">
        <v>830</v>
      </c>
      <c r="G135" s="1" t="s">
        <v>854</v>
      </c>
      <c r="L135" s="1">
        <v>-76.5333</v>
      </c>
      <c r="M135" s="1">
        <v>38.7</v>
      </c>
      <c r="N135" s="1">
        <v>8576363</v>
      </c>
      <c r="O135" s="1" t="s">
        <v>861</v>
      </c>
      <c r="P135" s="1" t="s">
        <v>866</v>
      </c>
      <c r="Q135" s="2">
        <f>HYPERLINK("https://tidesandcurrents.noaa.gov/stationhome.html?id=8576363", "Station Info")</f>
        <v>0</v>
      </c>
      <c r="R135" s="2">
        <f>HYPERLINK("https://tidesandcurrents.noaa.gov/datums.html?datum=MLLW&amp;units=0&amp;epoch=0&amp;id=8576363", "Datum Info")</f>
        <v>0</v>
      </c>
      <c r="S135" s="2">
        <f>HYPERLINK("https://api.tidesandcurrents.noaa.gov/mdapi/prod/webapi/stations/8576363.json", "More Info")</f>
        <v>0</v>
      </c>
      <c r="T135" s="1">
        <v>2600041</v>
      </c>
      <c r="U135" s="1">
        <v>0</v>
      </c>
      <c r="V135" s="1" t="s">
        <v>869</v>
      </c>
      <c r="W135" s="1" t="s">
        <v>873</v>
      </c>
      <c r="AJ135" s="1">
        <v>0.748</v>
      </c>
      <c r="AK135" s="1">
        <v>-0.604</v>
      </c>
      <c r="AY135" s="2">
        <f>HYPERLINK("https://vdatum.noaa.gov/vdatumweb/api/convert?s_x=-76.5333&amp;s_y=38.7&amp;s_z=0.0&amp;region=chesapeak_delaware&amp;s_h_frame=NAD83_2011&amp;s_coor=geo&amp;s_v_frame=NAVD88&amp;s_v_unit=us_ft&amp;t_h_frame=IGS14&amp;t_coor=geo&amp;t_v_frame=MLLW&amp;t_v_unit=us_ft", "NAVD88 to MLLW")</f>
        <v>0</v>
      </c>
      <c r="AZ135" s="2">
        <f>HYPERLINK("https://vdatum.noaa.gov/vdatumweb/api/convert?s_x=-76.5333&amp;s_y=38.7&amp;s_z=0.0&amp;region=chesapeak_delaware&amp;s_h_frame=NAD83_2011&amp;s_coor=geo&amp;s_v_frame=NAVD88&amp;s_v_unit=us_ft&amp;t_h_frame=IGS14&amp;t_coor=geo&amp;t_v_frame=MHHW&amp;t_v_unit=us_ft", "NAVD88 to MHHW")</f>
        <v>0</v>
      </c>
    </row>
    <row r="136" spans="1:52">
      <c r="A136" s="1" t="s">
        <v>160</v>
      </c>
      <c r="B136" s="1" t="s">
        <v>619</v>
      </c>
      <c r="D136" s="1" t="s">
        <v>652</v>
      </c>
      <c r="E136" s="1" t="s">
        <v>705</v>
      </c>
      <c r="F136" s="1" t="s">
        <v>830</v>
      </c>
      <c r="G136" s="1" t="s">
        <v>854</v>
      </c>
      <c r="L136" s="1">
        <v>-76.39830000000001</v>
      </c>
      <c r="M136" s="1">
        <v>38.3917</v>
      </c>
      <c r="N136" s="1">
        <v>8577188</v>
      </c>
      <c r="O136" s="1" t="s">
        <v>861</v>
      </c>
      <c r="P136" s="1" t="s">
        <v>866</v>
      </c>
      <c r="Q136" s="2">
        <f>HYPERLINK("https://tidesandcurrents.noaa.gov/stationhome.html?id=8577188", "Station Info")</f>
        <v>0</v>
      </c>
      <c r="R136" s="2">
        <f>HYPERLINK("https://tidesandcurrents.noaa.gov/datums.html?datum=MLLW&amp;units=0&amp;epoch=0&amp;id=8577188", "Datum Info")</f>
        <v>0</v>
      </c>
      <c r="S136" s="2">
        <f>HYPERLINK("https://api.tidesandcurrents.noaa.gov/mdapi/prod/webapi/stations/8577188.json", "More Info")</f>
        <v>0</v>
      </c>
      <c r="T136" s="1">
        <v>3510243</v>
      </c>
      <c r="U136" s="1">
        <v>-0.481</v>
      </c>
      <c r="V136" s="1" t="s">
        <v>869</v>
      </c>
      <c r="W136" s="1" t="s">
        <v>873</v>
      </c>
      <c r="X136" s="1" t="s">
        <v>886</v>
      </c>
      <c r="Y136" s="1">
        <v>1.38</v>
      </c>
      <c r="Z136" s="1">
        <v>1.13</v>
      </c>
      <c r="AA136" s="1">
        <v>0.61</v>
      </c>
      <c r="AB136" s="1">
        <v>0.63</v>
      </c>
      <c r="AC136" s="1">
        <v>0.6899999999999999</v>
      </c>
      <c r="AD136" s="1">
        <v>0.09</v>
      </c>
      <c r="AE136" s="1">
        <v>0</v>
      </c>
      <c r="AF136" s="1" t="s">
        <v>990</v>
      </c>
      <c r="AG136" s="1">
        <v>-2.5</v>
      </c>
      <c r="AH136" s="1" t="s">
        <v>1151</v>
      </c>
      <c r="AI136" s="1" t="s">
        <v>1282</v>
      </c>
      <c r="AJ136" s="1">
        <v>0.981</v>
      </c>
      <c r="AK136" s="1">
        <v>-0.394</v>
      </c>
      <c r="AY136" s="2">
        <f>HYPERLINK("https://vdatum.noaa.gov/vdatumweb/api/convert?s_x=-76.3983&amp;s_y=38.3917&amp;s_z=0.0&amp;region=chesapeak_delaware&amp;s_h_frame=NAD83_2011&amp;s_coor=geo&amp;s_v_frame=NAVD88&amp;s_v_unit=us_ft&amp;t_h_frame=IGS14&amp;t_coor=geo&amp;t_v_frame=MLLW&amp;t_v_unit=us_ft", "NAVD88 to MLLW")</f>
        <v>0</v>
      </c>
      <c r="AZ136" s="2">
        <f>HYPERLINK("https://vdatum.noaa.gov/vdatumweb/api/convert?s_x=-76.3983&amp;s_y=38.3917&amp;s_z=0.0&amp;region=chesapeak_delaware&amp;s_h_frame=NAD83_2011&amp;s_coor=geo&amp;s_v_frame=NAVD88&amp;s_v_unit=us_ft&amp;t_h_frame=IGS14&amp;t_coor=geo&amp;t_v_frame=MHHW&amp;t_v_unit=us_ft", "NAVD88 to MHHW")</f>
        <v>0</v>
      </c>
    </row>
    <row r="137" spans="1:52">
      <c r="A137" s="1" t="s">
        <v>161</v>
      </c>
      <c r="B137" s="1" t="s">
        <v>619</v>
      </c>
      <c r="D137" s="1" t="s">
        <v>652</v>
      </c>
      <c r="L137" s="1">
        <v>-76.4508</v>
      </c>
      <c r="M137" s="1">
        <v>38.31722</v>
      </c>
      <c r="N137" s="1">
        <v>8577330</v>
      </c>
      <c r="O137" s="1" t="s">
        <v>860</v>
      </c>
      <c r="P137" s="1" t="s">
        <v>866</v>
      </c>
      <c r="Q137" s="2">
        <f>HYPERLINK("https://tidesandcurrents.noaa.gov/stationhome.html?id=8577330", "Station Info")</f>
        <v>0</v>
      </c>
      <c r="R137" s="2">
        <f>HYPERLINK("https://tidesandcurrents.noaa.gov/datums.html?datum=MLLW&amp;units=0&amp;epoch=0&amp;id=8577330", "Datum Info")</f>
        <v>0</v>
      </c>
      <c r="S137" s="2">
        <f>HYPERLINK("https://api.tidesandcurrents.noaa.gov/mdapi/prod/webapi/stations/8577330.json", "More Info")</f>
        <v>0</v>
      </c>
      <c r="T137" s="1">
        <v>4103590</v>
      </c>
      <c r="U137" s="1">
        <v>0</v>
      </c>
      <c r="V137" s="1" t="s">
        <v>869</v>
      </c>
      <c r="W137" s="1" t="s">
        <v>873</v>
      </c>
      <c r="X137" s="1" t="s">
        <v>886</v>
      </c>
      <c r="Y137" s="1">
        <v>1.48</v>
      </c>
      <c r="Z137" s="1">
        <v>1.33</v>
      </c>
      <c r="AA137" s="1">
        <v>0.75</v>
      </c>
      <c r="AB137" s="1">
        <v>0.76</v>
      </c>
      <c r="AC137" s="1">
        <v>0.74</v>
      </c>
      <c r="AD137" s="1">
        <v>0.16</v>
      </c>
      <c r="AE137" s="1">
        <v>0</v>
      </c>
      <c r="AF137" s="1">
        <v>0.85</v>
      </c>
      <c r="AG137" s="1">
        <v>-3.72</v>
      </c>
      <c r="AH137" s="1" t="s">
        <v>1152</v>
      </c>
      <c r="AI137" s="1" t="s">
        <v>1421</v>
      </c>
      <c r="AJ137" s="1">
        <v>0.9419999999999999</v>
      </c>
      <c r="AK137" s="1">
        <v>-0.545</v>
      </c>
      <c r="AY137" s="2">
        <f>HYPERLINK("https://vdatum.noaa.gov/vdatumweb/api/convert?s_x=-76.4508&amp;s_y=38.31722&amp;s_z=0.0&amp;region=chesapeak_delaware&amp;s_h_frame=NAD83_2011&amp;s_coor=geo&amp;s_v_frame=NAVD88&amp;s_v_unit=us_ft&amp;t_h_frame=IGS14&amp;t_coor=geo&amp;t_v_frame=MLLW&amp;t_v_unit=us_ft", "NAVD88 to MLLW")</f>
        <v>0</v>
      </c>
      <c r="AZ137" s="2">
        <f>HYPERLINK("https://vdatum.noaa.gov/vdatumweb/api/convert?s_x=-76.4508&amp;s_y=38.31722&amp;s_z=0.0&amp;region=chesapeak_delaware&amp;s_h_frame=NAD83_2011&amp;s_coor=geo&amp;s_v_frame=NAVD88&amp;s_v_unit=us_ft&amp;t_h_frame=IGS14&amp;t_coor=geo&amp;t_v_frame=MHHW&amp;t_v_unit=us_ft", "NAVD88 to MHHW")</f>
        <v>0</v>
      </c>
    </row>
    <row r="138" spans="1:52">
      <c r="A138" s="1" t="s">
        <v>162</v>
      </c>
      <c r="B138" s="1" t="s">
        <v>619</v>
      </c>
      <c r="C138" s="1" t="s">
        <v>644</v>
      </c>
      <c r="D138" s="1" t="s">
        <v>652</v>
      </c>
      <c r="L138" s="1">
        <v>-76.3233</v>
      </c>
      <c r="M138" s="1">
        <v>38.04</v>
      </c>
      <c r="N138" s="1">
        <v>8578002</v>
      </c>
      <c r="O138" s="1" t="s">
        <v>860</v>
      </c>
      <c r="P138" s="1" t="s">
        <v>866</v>
      </c>
      <c r="Q138" s="2">
        <f>HYPERLINK("https://tidesandcurrents.noaa.gov/stationhome.html?id=8578002", "Station Info")</f>
        <v>0</v>
      </c>
      <c r="R138" s="2">
        <f>HYPERLINK("https://tidesandcurrents.noaa.gov/datums.html?datum=MLLW&amp;units=0&amp;epoch=0&amp;id=8578002", "Datum Info")</f>
        <v>0</v>
      </c>
      <c r="S138" s="2">
        <f>HYPERLINK("https://api.tidesandcurrents.noaa.gov/mdapi/prod/webapi/stations/8578002.json", "More Info")</f>
        <v>0</v>
      </c>
      <c r="T138" s="1">
        <v>6211600</v>
      </c>
      <c r="U138" s="1">
        <v>0</v>
      </c>
      <c r="V138" s="1" t="s">
        <v>869</v>
      </c>
      <c r="W138" s="1" t="s">
        <v>873</v>
      </c>
      <c r="AJ138" s="1">
        <v>1.102</v>
      </c>
      <c r="AK138" s="1">
        <v>-0.456</v>
      </c>
      <c r="AY138" s="2">
        <f>HYPERLINK("https://vdatum.noaa.gov/vdatumweb/api/convert?s_x=-76.3233&amp;s_y=38.04&amp;s_z=0.0&amp;region=chesapeak_delaware&amp;s_h_frame=NAD83_2011&amp;s_coor=geo&amp;s_v_frame=NAVD88&amp;s_v_unit=us_ft&amp;t_h_frame=IGS14&amp;t_coor=geo&amp;t_v_frame=MLLW&amp;t_v_unit=us_ft", "NAVD88 to MLLW")</f>
        <v>0</v>
      </c>
      <c r="AZ138" s="2">
        <f>HYPERLINK("https://vdatum.noaa.gov/vdatumweb/api/convert?s_x=-76.3233&amp;s_y=38.04&amp;s_z=0.0&amp;region=chesapeak_delaware&amp;s_h_frame=NAD83_2011&amp;s_coor=geo&amp;s_v_frame=NAVD88&amp;s_v_unit=us_ft&amp;t_h_frame=IGS14&amp;t_coor=geo&amp;t_v_frame=MHHW&amp;t_v_unit=us_ft", "NAVD88 to MHHW")</f>
        <v>0</v>
      </c>
    </row>
    <row r="139" spans="1:52">
      <c r="A139" s="1" t="s">
        <v>163</v>
      </c>
      <c r="B139" s="1" t="s">
        <v>619</v>
      </c>
      <c r="D139" s="1" t="s">
        <v>652</v>
      </c>
      <c r="L139" s="1">
        <v>-76.5333</v>
      </c>
      <c r="M139" s="1">
        <v>38.13333</v>
      </c>
      <c r="N139" s="1">
        <v>8578240</v>
      </c>
      <c r="O139" s="1" t="s">
        <v>861</v>
      </c>
      <c r="P139" s="1" t="s">
        <v>866</v>
      </c>
      <c r="Q139" s="2">
        <f>HYPERLINK("https://tidesandcurrents.noaa.gov/stationhome.html?id=8578240", "Station Info")</f>
        <v>0</v>
      </c>
      <c r="R139" s="2">
        <f>HYPERLINK("https://tidesandcurrents.noaa.gov/datums.html?datum=MLLW&amp;units=0&amp;epoch=0&amp;id=8578240", "Datum Info")</f>
        <v>0</v>
      </c>
      <c r="S139" s="2">
        <f>HYPERLINK("https://api.tidesandcurrents.noaa.gov/mdapi/prod/webapi/stations/8578240.json", "More Info")</f>
        <v>0</v>
      </c>
      <c r="T139" s="1">
        <v>6480809</v>
      </c>
      <c r="U139" s="1">
        <v>0</v>
      </c>
      <c r="V139" s="1" t="s">
        <v>869</v>
      </c>
      <c r="W139" s="1" t="s">
        <v>873</v>
      </c>
      <c r="AJ139" s="1">
        <v>1.115</v>
      </c>
      <c r="AK139" s="1">
        <v>-0.6889999999999999</v>
      </c>
      <c r="AY139" s="2">
        <f>HYPERLINK("https://vdatum.noaa.gov/vdatumweb/api/convert?s_x=-76.5333&amp;s_y=38.13333&amp;s_z=0.0&amp;region=chesapeak_delaware&amp;s_h_frame=NAD83_2011&amp;s_coor=geo&amp;s_v_frame=NAVD88&amp;s_v_unit=us_ft&amp;t_h_frame=IGS14&amp;t_coor=geo&amp;t_v_frame=MLLW&amp;t_v_unit=us_ft", "NAVD88 to MLLW")</f>
        <v>0</v>
      </c>
      <c r="AZ139" s="2">
        <f>HYPERLINK("https://vdatum.noaa.gov/vdatumweb/api/convert?s_x=-76.5333&amp;s_y=38.13333&amp;s_z=0.0&amp;region=chesapeak_delaware&amp;s_h_frame=NAD83_2011&amp;s_coor=geo&amp;s_v_frame=NAVD88&amp;s_v_unit=us_ft&amp;t_h_frame=IGS14&amp;t_coor=geo&amp;t_v_frame=MHHW&amp;t_v_unit=us_ft", "NAVD88 to MHHW")</f>
        <v>0</v>
      </c>
    </row>
    <row r="140" spans="1:52">
      <c r="A140" s="1" t="s">
        <v>164</v>
      </c>
      <c r="B140" s="1" t="s">
        <v>619</v>
      </c>
      <c r="D140" s="1" t="s">
        <v>652</v>
      </c>
      <c r="E140" s="1" t="s">
        <v>706</v>
      </c>
      <c r="F140" s="1" t="s">
        <v>830</v>
      </c>
      <c r="G140" s="1" t="s">
        <v>854</v>
      </c>
      <c r="L140" s="1">
        <v>-76.67</v>
      </c>
      <c r="M140" s="1">
        <v>38.51333</v>
      </c>
      <c r="N140" s="1">
        <v>8579135</v>
      </c>
      <c r="O140" s="1" t="s">
        <v>861</v>
      </c>
      <c r="P140" s="1" t="s">
        <v>866</v>
      </c>
      <c r="Q140" s="2">
        <f>HYPERLINK("https://tidesandcurrents.noaa.gov/stationhome.html?id=8579135", "Station Info")</f>
        <v>0</v>
      </c>
      <c r="R140" s="2">
        <f>HYPERLINK("https://tidesandcurrents.noaa.gov/datums.html?datum=MLLW&amp;units=0&amp;epoch=0&amp;id=8579135", "Datum Info")</f>
        <v>0</v>
      </c>
      <c r="S140" s="2">
        <f>HYPERLINK("https://api.tidesandcurrents.noaa.gov/mdapi/prod/webapi/stations/8579135.json", "More Info")</f>
        <v>0</v>
      </c>
      <c r="T140" s="1">
        <v>3163286</v>
      </c>
      <c r="U140" s="1">
        <v>0</v>
      </c>
      <c r="V140" s="1" t="s">
        <v>869</v>
      </c>
      <c r="W140" s="1" t="s">
        <v>873</v>
      </c>
      <c r="AJ140" s="1">
        <v>0.961</v>
      </c>
      <c r="AK140" s="1">
        <v>-0.951</v>
      </c>
      <c r="AY140" s="2">
        <f>HYPERLINK("https://vdatum.noaa.gov/vdatumweb/api/convert?s_x=-76.67&amp;s_y=38.51333&amp;s_z=0.0&amp;region=chesapeak_delaware&amp;s_h_frame=NAD83_2011&amp;s_coor=geo&amp;s_v_frame=NAVD88&amp;s_v_unit=us_ft&amp;t_h_frame=IGS14&amp;t_coor=geo&amp;t_v_frame=MLLW&amp;t_v_unit=us_ft", "NAVD88 to MLLW")</f>
        <v>0</v>
      </c>
      <c r="AZ140" s="2">
        <f>HYPERLINK("https://vdatum.noaa.gov/vdatumweb/api/convert?s_x=-76.67&amp;s_y=38.51333&amp;s_z=0.0&amp;region=chesapeak_delaware&amp;s_h_frame=NAD83_2011&amp;s_coor=geo&amp;s_v_frame=NAVD88&amp;s_v_unit=us_ft&amp;t_h_frame=IGS14&amp;t_coor=geo&amp;t_v_frame=MHHW&amp;t_v_unit=us_ft", "NAVD88 to MHHW")</f>
        <v>0</v>
      </c>
    </row>
    <row r="141" spans="1:52">
      <c r="A141" s="1" t="s">
        <v>165</v>
      </c>
      <c r="B141" s="1" t="s">
        <v>619</v>
      </c>
      <c r="D141" s="1" t="s">
        <v>652</v>
      </c>
      <c r="H141" s="1" t="s">
        <v>1775</v>
      </c>
      <c r="I141" s="1" t="s">
        <v>1856</v>
      </c>
      <c r="J141" s="1" t="s">
        <v>1899</v>
      </c>
      <c r="K141" s="1" t="s">
        <v>2058</v>
      </c>
      <c r="L141" s="1">
        <v>-77.185</v>
      </c>
      <c r="M141" s="1">
        <v>38.601666</v>
      </c>
      <c r="N141" s="1">
        <v>8579381</v>
      </c>
      <c r="O141" s="1" t="s">
        <v>860</v>
      </c>
      <c r="P141" s="1" t="s">
        <v>866</v>
      </c>
      <c r="Q141" s="2">
        <f>HYPERLINK("https://tidesandcurrents.noaa.gov/stationhome.html?id=8579381", "Station Info")</f>
        <v>0</v>
      </c>
      <c r="R141" s="2">
        <f>HYPERLINK("https://tidesandcurrents.noaa.gov/datums.html?datum=MLLW&amp;units=0&amp;epoch=0&amp;id=8579381", "Datum Info")</f>
        <v>0</v>
      </c>
      <c r="S141" s="2">
        <f>HYPERLINK("https://api.tidesandcurrents.noaa.gov/mdapi/prod/webapi/stations/8579381.json", "More Info")</f>
        <v>0</v>
      </c>
      <c r="T141" s="1">
        <v>4928860</v>
      </c>
      <c r="U141" s="1">
        <v>0</v>
      </c>
      <c r="V141" s="1" t="s">
        <v>869</v>
      </c>
      <c r="W141" s="1" t="s">
        <v>873</v>
      </c>
      <c r="AJ141" s="1">
        <v>1.158</v>
      </c>
      <c r="AK141" s="1">
        <v>-1.637</v>
      </c>
      <c r="AL141" s="1" t="s">
        <v>887</v>
      </c>
      <c r="AM141" s="1">
        <v>1.23</v>
      </c>
      <c r="AN141" s="1" t="s">
        <v>1206</v>
      </c>
      <c r="AS141" s="1">
        <v>0</v>
      </c>
      <c r="AT141" s="1">
        <v>0</v>
      </c>
      <c r="AU141" s="1">
        <v>0</v>
      </c>
      <c r="AV141" s="1">
        <v>0</v>
      </c>
      <c r="AW141" s="1" t="s">
        <v>1744</v>
      </c>
      <c r="AX141" s="2">
        <f>HYPERLINK("https://water.weather.gov/ahps2/hydrograph.php?wfo=lwx&amp;gage=ihdm2", "AHPS Data")</f>
        <v>0</v>
      </c>
      <c r="AY141" s="2">
        <f>HYPERLINK("https://vdatum.noaa.gov/vdatumweb/api/convert?s_x=-77.185&amp;s_y=38.601666&amp;s_z=0.0&amp;region=chesapeak_delaware&amp;s_h_frame=NAD83_2011&amp;s_coor=geo&amp;s_v_frame=NAVD88&amp;s_v_unit=us_ft&amp;t_h_frame=IGS14&amp;t_coor=geo&amp;t_v_frame=MLLW&amp;t_v_unit=us_ft", "NAVD88 to MLLW")</f>
        <v>0</v>
      </c>
      <c r="AZ141" s="2">
        <f>HYPERLINK("https://vdatum.noaa.gov/vdatumweb/api/convert?s_x=-77.185&amp;s_y=38.601666&amp;s_z=0.0&amp;region=chesapeak_delaware&amp;s_h_frame=NAD83_2011&amp;s_coor=geo&amp;s_v_frame=NAVD88&amp;s_v_unit=us_ft&amp;t_h_frame=IGS14&amp;t_coor=geo&amp;t_v_frame=MHHW&amp;t_v_unit=us_ft", "NAVD88 to MHHW")</f>
        <v>0</v>
      </c>
    </row>
    <row r="142" spans="1:52">
      <c r="A142" s="1" t="s">
        <v>166</v>
      </c>
      <c r="B142" s="1" t="s">
        <v>619</v>
      </c>
      <c r="D142" s="1" t="s">
        <v>652</v>
      </c>
      <c r="L142" s="1">
        <v>-77.10166599999999</v>
      </c>
      <c r="M142" s="1">
        <v>38.68666</v>
      </c>
      <c r="N142" s="1">
        <v>8579629</v>
      </c>
      <c r="O142" s="1" t="s">
        <v>861</v>
      </c>
      <c r="P142" s="1" t="s">
        <v>866</v>
      </c>
      <c r="Q142" s="2">
        <f>HYPERLINK("https://tidesandcurrents.noaa.gov/stationhome.html?id=8579629", "Station Info")</f>
        <v>0</v>
      </c>
      <c r="R142" s="2">
        <f>HYPERLINK("https://tidesandcurrents.noaa.gov/datums.html?datum=MLLW&amp;units=0&amp;epoch=0&amp;id=8579629", "Datum Info")</f>
        <v>0</v>
      </c>
      <c r="S142" s="2">
        <f>HYPERLINK("https://api.tidesandcurrents.noaa.gov/mdapi/prod/webapi/stations/8579629.json", "More Info")</f>
        <v>0</v>
      </c>
      <c r="T142" s="1">
        <v>3785194</v>
      </c>
      <c r="U142" s="1">
        <v>0</v>
      </c>
      <c r="V142" s="1" t="s">
        <v>869</v>
      </c>
      <c r="W142" s="1" t="s">
        <v>873</v>
      </c>
      <c r="AJ142" s="1">
        <v>1.24</v>
      </c>
      <c r="AK142" s="1">
        <v>-1.759</v>
      </c>
      <c r="AY142" s="2">
        <f>HYPERLINK("https://vdatum.noaa.gov/vdatumweb/api/convert?s_x=-77.101666&amp;s_y=38.68666&amp;s_z=0.0&amp;region=chesapeak_delaware&amp;s_h_frame=NAD83_2011&amp;s_coor=geo&amp;s_v_frame=NAVD88&amp;s_v_unit=us_ft&amp;t_h_frame=IGS14&amp;t_coor=geo&amp;t_v_frame=MLLW&amp;t_v_unit=us_ft", "NAVD88 to MLLW")</f>
        <v>0</v>
      </c>
      <c r="AZ142" s="2">
        <f>HYPERLINK("https://vdatum.noaa.gov/vdatumweb/api/convert?s_x=-77.101666&amp;s_y=38.68666&amp;s_z=0.0&amp;region=chesapeak_delaware&amp;s_h_frame=NAD83_2011&amp;s_coor=geo&amp;s_v_frame=NAVD88&amp;s_v_unit=us_ft&amp;t_h_frame=IGS14&amp;t_coor=geo&amp;t_v_frame=MHHW&amp;t_v_unit=us_ft", "NAVD88 to MHHW")</f>
        <v>0</v>
      </c>
    </row>
    <row r="143" spans="1:52">
      <c r="A143" s="1" t="s">
        <v>167</v>
      </c>
      <c r="B143" s="1" t="s">
        <v>619</v>
      </c>
      <c r="C143" s="1" t="s">
        <v>644</v>
      </c>
      <c r="D143" s="1" t="s">
        <v>652</v>
      </c>
      <c r="E143" s="1" t="s">
        <v>707</v>
      </c>
      <c r="F143" s="1" t="s">
        <v>830</v>
      </c>
      <c r="G143" s="1" t="s">
        <v>854</v>
      </c>
      <c r="L143" s="1">
        <v>-76.94</v>
      </c>
      <c r="M143" s="1">
        <v>38.93</v>
      </c>
      <c r="N143" s="1">
        <v>8579997</v>
      </c>
      <c r="O143" s="1" t="s">
        <v>861</v>
      </c>
      <c r="P143" s="1" t="s">
        <v>866</v>
      </c>
      <c r="Q143" s="2">
        <f>HYPERLINK("https://tidesandcurrents.noaa.gov/stationhome.html?id=8579997", "Station Info")</f>
        <v>0</v>
      </c>
      <c r="R143" s="2">
        <f>HYPERLINK("https://tidesandcurrents.noaa.gov/datums.html?datum=MLLW&amp;units=0&amp;epoch=0&amp;id=8579997", "Datum Info")</f>
        <v>0</v>
      </c>
      <c r="S143" s="2">
        <f>HYPERLINK("https://api.tidesandcurrents.noaa.gov/mdapi/prod/webapi/stations/8579997.json", "More Info")</f>
        <v>0</v>
      </c>
      <c r="T143" s="1">
        <v>2112582</v>
      </c>
      <c r="U143" s="1">
        <v>-0.24</v>
      </c>
      <c r="V143" s="1" t="s">
        <v>869</v>
      </c>
      <c r="W143" s="1" t="s">
        <v>873</v>
      </c>
      <c r="X143" s="1" t="s">
        <v>886</v>
      </c>
      <c r="Y143" s="1">
        <v>3.35</v>
      </c>
      <c r="Z143" s="1">
        <v>3.12</v>
      </c>
      <c r="AA143" s="1">
        <v>1.64</v>
      </c>
      <c r="AB143" s="1">
        <v>1.63</v>
      </c>
      <c r="AC143" s="1">
        <v>1.67</v>
      </c>
      <c r="AD143" s="1">
        <v>0.17</v>
      </c>
      <c r="AE143" s="1">
        <v>0</v>
      </c>
      <c r="AF143" s="1" t="s">
        <v>991</v>
      </c>
      <c r="AG143" s="1">
        <v>0.61</v>
      </c>
      <c r="AH143" s="1" t="s">
        <v>1153</v>
      </c>
      <c r="AI143" s="1" t="s">
        <v>1422</v>
      </c>
      <c r="AJ143" s="1">
        <v>1.184</v>
      </c>
      <c r="AK143" s="1">
        <v>-2.136</v>
      </c>
      <c r="AY143" s="2">
        <f>HYPERLINK("https://vdatum.noaa.gov/vdatumweb/api/convert?s_x=-76.94&amp;s_y=38.93&amp;s_z=0.0&amp;region=chesapeak_delaware&amp;s_h_frame=NAD83_2011&amp;s_coor=geo&amp;s_v_frame=NAVD88&amp;s_v_unit=us_ft&amp;t_h_frame=IGS14&amp;t_coor=geo&amp;t_v_frame=MLLW&amp;t_v_unit=us_ft", "NAVD88 to MLLW")</f>
        <v>0</v>
      </c>
      <c r="AZ143" s="2">
        <f>HYPERLINK("https://vdatum.noaa.gov/vdatumweb/api/convert?s_x=-76.94&amp;s_y=38.93&amp;s_z=0.0&amp;region=chesapeak_delaware&amp;s_h_frame=NAD83_2011&amp;s_coor=geo&amp;s_v_frame=NAVD88&amp;s_v_unit=us_ft&amp;t_h_frame=IGS14&amp;t_coor=geo&amp;t_v_frame=MHHW&amp;t_v_unit=us_ft", "NAVD88 to MHHW")</f>
        <v>0</v>
      </c>
    </row>
    <row r="144" spans="1:52">
      <c r="A144" s="1" t="s">
        <v>168</v>
      </c>
      <c r="B144" s="1" t="s">
        <v>619</v>
      </c>
      <c r="C144" s="1" t="s">
        <v>644</v>
      </c>
      <c r="D144" s="1" t="s">
        <v>652</v>
      </c>
      <c r="E144" s="1" t="s">
        <v>707</v>
      </c>
      <c r="F144" s="1" t="s">
        <v>830</v>
      </c>
      <c r="G144" s="1" t="s">
        <v>854</v>
      </c>
      <c r="L144" s="1">
        <v>-76.9383</v>
      </c>
      <c r="M144" s="1">
        <v>38.9333</v>
      </c>
      <c r="N144" s="1">
        <v>8590111</v>
      </c>
      <c r="O144" s="1" t="s">
        <v>861</v>
      </c>
      <c r="P144" s="1" t="s">
        <v>866</v>
      </c>
      <c r="Q144" s="2">
        <f>HYPERLINK("https://tidesandcurrents.noaa.gov/stationhome.html?id=8590111", "Station Info")</f>
        <v>0</v>
      </c>
      <c r="R144" s="2">
        <f>HYPERLINK("https://tidesandcurrents.noaa.gov/datums.html?datum=MLLW&amp;units=0&amp;epoch=0&amp;id=8590111", "Datum Info")</f>
        <v>0</v>
      </c>
      <c r="S144" s="2">
        <f>HYPERLINK("https://api.tidesandcurrents.noaa.gov/mdapi/prod/webapi/stations/8590111.json", "More Info")</f>
        <v>0</v>
      </c>
      <c r="T144" s="1">
        <v>2650185</v>
      </c>
      <c r="U144" s="1">
        <v>0</v>
      </c>
      <c r="V144" s="1" t="s">
        <v>869</v>
      </c>
      <c r="W144" s="1" t="s">
        <v>873</v>
      </c>
      <c r="AJ144" s="1">
        <v>1.178</v>
      </c>
      <c r="AK144" s="1">
        <v>-2.142</v>
      </c>
      <c r="AY144" s="2">
        <f>HYPERLINK("https://vdatum.noaa.gov/vdatumweb/api/convert?s_x=-76.9383&amp;s_y=38.9333&amp;s_z=0.0&amp;region=chesapeak_delaware&amp;s_h_frame=NAD83_2011&amp;s_coor=geo&amp;s_v_frame=NAVD88&amp;s_v_unit=us_ft&amp;t_h_frame=IGS14&amp;t_coor=geo&amp;t_v_frame=MLLW&amp;t_v_unit=us_ft", "NAVD88 to MLLW")</f>
        <v>0</v>
      </c>
      <c r="AZ144" s="2">
        <f>HYPERLINK("https://vdatum.noaa.gov/vdatumweb/api/convert?s_x=-76.9383&amp;s_y=38.9333&amp;s_z=0.0&amp;region=chesapeak_delaware&amp;s_h_frame=NAD83_2011&amp;s_coor=geo&amp;s_v_frame=NAVD88&amp;s_v_unit=us_ft&amp;t_h_frame=IGS14&amp;t_coor=geo&amp;t_v_frame=MHHW&amp;t_v_unit=us_ft", "NAVD88 to MHHW")</f>
        <v>0</v>
      </c>
    </row>
    <row r="145" spans="1:52">
      <c r="A145" s="1" t="s">
        <v>169</v>
      </c>
      <c r="B145" s="1" t="s">
        <v>619</v>
      </c>
      <c r="C145" s="1" t="s">
        <v>644</v>
      </c>
      <c r="D145" s="1" t="s">
        <v>652</v>
      </c>
      <c r="E145" s="1" t="s">
        <v>708</v>
      </c>
      <c r="F145" s="1" t="s">
        <v>840</v>
      </c>
      <c r="G145" s="1" t="s">
        <v>854</v>
      </c>
      <c r="L145" s="1">
        <v>-76.955</v>
      </c>
      <c r="M145" s="1">
        <v>38.91</v>
      </c>
      <c r="N145" s="1">
        <v>8593909</v>
      </c>
      <c r="O145" s="1" t="s">
        <v>861</v>
      </c>
      <c r="P145" s="1" t="s">
        <v>866</v>
      </c>
      <c r="Q145" s="2">
        <f>HYPERLINK("https://tidesandcurrents.noaa.gov/stationhome.html?id=8593909", "Station Info")</f>
        <v>0</v>
      </c>
      <c r="R145" s="2">
        <f>HYPERLINK("https://tidesandcurrents.noaa.gov/datums.html?datum=MLLW&amp;units=0&amp;epoch=0&amp;id=8593909", "Datum Info")</f>
        <v>0</v>
      </c>
      <c r="S145" s="2">
        <f>HYPERLINK("https://api.tidesandcurrents.noaa.gov/mdapi/prod/webapi/stations/8593909.json", "More Info")</f>
        <v>0</v>
      </c>
      <c r="T145" s="1">
        <v>2112582</v>
      </c>
      <c r="U145" s="1">
        <v>0</v>
      </c>
      <c r="V145" s="1" t="s">
        <v>869</v>
      </c>
      <c r="W145" s="1" t="s">
        <v>873</v>
      </c>
      <c r="X145" s="1" t="s">
        <v>886</v>
      </c>
      <c r="Y145" s="1">
        <v>3.31</v>
      </c>
      <c r="Z145" s="1">
        <v>3.08</v>
      </c>
      <c r="AA145" s="1">
        <v>1.61</v>
      </c>
      <c r="AB145" s="1">
        <v>1.57</v>
      </c>
      <c r="AC145" s="1">
        <v>1.66</v>
      </c>
      <c r="AD145" s="1">
        <v>0.14</v>
      </c>
      <c r="AE145" s="1">
        <v>0</v>
      </c>
      <c r="AF145" s="1" t="s">
        <v>992</v>
      </c>
      <c r="AG145" s="1">
        <v>-22.03</v>
      </c>
      <c r="AH145" s="1" t="s">
        <v>1154</v>
      </c>
      <c r="AI145" s="1" t="s">
        <v>1423</v>
      </c>
      <c r="AJ145" s="1">
        <v>1.214</v>
      </c>
      <c r="AK145" s="1">
        <v>-2.093</v>
      </c>
      <c r="AY145" s="2">
        <f>HYPERLINK("https://vdatum.noaa.gov/vdatumweb/api/convert?s_x=-76.955&amp;s_y=38.91&amp;s_z=0.0&amp;region=chesapeak_delaware&amp;s_h_frame=NAD83_2011&amp;s_coor=geo&amp;s_v_frame=NAVD88&amp;s_v_unit=us_ft&amp;t_h_frame=IGS14&amp;t_coor=geo&amp;t_v_frame=MLLW&amp;t_v_unit=us_ft", "NAVD88 to MLLW")</f>
        <v>0</v>
      </c>
      <c r="AZ145" s="2">
        <f>HYPERLINK("https://vdatum.noaa.gov/vdatumweb/api/convert?s_x=-76.955&amp;s_y=38.91&amp;s_z=0.0&amp;region=chesapeak_delaware&amp;s_h_frame=NAD83_2011&amp;s_coor=geo&amp;s_v_frame=NAVD88&amp;s_v_unit=us_ft&amp;t_h_frame=IGS14&amp;t_coor=geo&amp;t_v_frame=MHHW&amp;t_v_unit=us_ft", "NAVD88 to MHHW")</f>
        <v>0</v>
      </c>
    </row>
    <row r="146" spans="1:52">
      <c r="A146" s="1" t="s">
        <v>170</v>
      </c>
      <c r="B146" s="1" t="s">
        <v>619</v>
      </c>
      <c r="C146" s="1" t="s">
        <v>644</v>
      </c>
      <c r="D146" s="1" t="s">
        <v>652</v>
      </c>
      <c r="E146" s="1" t="s">
        <v>708</v>
      </c>
      <c r="F146" s="1" t="s">
        <v>840</v>
      </c>
      <c r="G146" s="1" t="s">
        <v>854</v>
      </c>
      <c r="L146" s="1">
        <v>-77.0217</v>
      </c>
      <c r="M146" s="1">
        <v>38.873</v>
      </c>
      <c r="N146" s="1">
        <v>8594900</v>
      </c>
      <c r="O146" s="1" t="s">
        <v>860</v>
      </c>
      <c r="P146" s="1" t="s">
        <v>866</v>
      </c>
      <c r="Q146" s="2">
        <f>HYPERLINK("https://tidesandcurrents.noaa.gov/stationhome.html?id=8594900", "Station Info")</f>
        <v>0</v>
      </c>
      <c r="R146" s="2">
        <f>HYPERLINK("https://tidesandcurrents.noaa.gov/datums.html?datum=MLLW&amp;units=0&amp;epoch=0&amp;id=8594900", "Datum Info")</f>
        <v>0</v>
      </c>
      <c r="S146" s="2">
        <f>HYPERLINK("https://api.tidesandcurrents.noaa.gov/mdapi/prod/webapi/stations/8594900.json", "More Info")</f>
        <v>0</v>
      </c>
      <c r="T146" s="1">
        <v>2838230</v>
      </c>
      <c r="U146" s="1">
        <v>0</v>
      </c>
      <c r="V146" s="1" t="s">
        <v>869</v>
      </c>
      <c r="W146" s="1" t="s">
        <v>873</v>
      </c>
      <c r="X146" s="1" t="s">
        <v>886</v>
      </c>
      <c r="Y146" s="1">
        <v>3.17</v>
      </c>
      <c r="Z146" s="1">
        <v>2.94</v>
      </c>
      <c r="AA146" s="1">
        <v>1.55</v>
      </c>
      <c r="AB146" s="1">
        <v>1.55</v>
      </c>
      <c r="AC146" s="1">
        <v>1.59</v>
      </c>
      <c r="AD146" s="1">
        <v>0.15</v>
      </c>
      <c r="AE146" s="1">
        <v>0</v>
      </c>
      <c r="AF146" s="1">
        <v>1.4</v>
      </c>
      <c r="AG146" s="1">
        <v>-4.55</v>
      </c>
      <c r="AH146" s="1" t="s">
        <v>1155</v>
      </c>
      <c r="AI146" s="1" t="s">
        <v>1424</v>
      </c>
      <c r="AJ146" s="1">
        <v>1.283</v>
      </c>
      <c r="AK146" s="1">
        <v>-1.923</v>
      </c>
      <c r="AY146" s="2">
        <f>HYPERLINK("https://vdatum.noaa.gov/vdatumweb/api/convert?s_x=-77.0217&amp;s_y=38.873&amp;s_z=0.0&amp;region=chesapeak_delaware&amp;s_h_frame=NAD83_2011&amp;s_coor=geo&amp;s_v_frame=NAVD88&amp;s_v_unit=us_ft&amp;t_h_frame=IGS14&amp;t_coor=geo&amp;t_v_frame=MLLW&amp;t_v_unit=us_ft", "NAVD88 to MLLW")</f>
        <v>0</v>
      </c>
      <c r="AZ146" s="2">
        <f>HYPERLINK("https://vdatum.noaa.gov/vdatumweb/api/convert?s_x=-77.0217&amp;s_y=38.873&amp;s_z=0.0&amp;region=chesapeak_delaware&amp;s_h_frame=NAD83_2011&amp;s_coor=geo&amp;s_v_frame=NAVD88&amp;s_v_unit=us_ft&amp;t_h_frame=IGS14&amp;t_coor=geo&amp;t_v_frame=MHHW&amp;t_v_unit=us_ft", "NAVD88 to MHHW")</f>
        <v>0</v>
      </c>
    </row>
    <row r="147" spans="1:52">
      <c r="A147" s="1" t="s">
        <v>171</v>
      </c>
      <c r="B147" s="1" t="s">
        <v>619</v>
      </c>
      <c r="D147" s="1" t="s">
        <v>652</v>
      </c>
      <c r="E147" s="1" t="s">
        <v>709</v>
      </c>
      <c r="F147" s="1" t="s">
        <v>831</v>
      </c>
      <c r="G147" s="1" t="s">
        <v>854</v>
      </c>
      <c r="L147" s="1">
        <v>-77.03833299999999</v>
      </c>
      <c r="M147" s="1">
        <v>38.805</v>
      </c>
      <c r="N147" s="1">
        <v>8634214</v>
      </c>
      <c r="O147" s="1" t="s">
        <v>861</v>
      </c>
      <c r="P147" s="1" t="s">
        <v>866</v>
      </c>
      <c r="Q147" s="2">
        <f>HYPERLINK("https://tidesandcurrents.noaa.gov/stationhome.html?id=8634214", "Station Info")</f>
        <v>0</v>
      </c>
      <c r="R147" s="2">
        <f>HYPERLINK("https://tidesandcurrents.noaa.gov/datums.html?datum=MLLW&amp;units=0&amp;epoch=0&amp;id=8634214", "Datum Info")</f>
        <v>0</v>
      </c>
      <c r="S147" s="2">
        <f>HYPERLINK("https://api.tidesandcurrents.noaa.gov/mdapi/prod/webapi/stations/8634214.json", "More Info")</f>
        <v>0</v>
      </c>
      <c r="T147" s="1">
        <v>2838072</v>
      </c>
      <c r="U147" s="1">
        <v>0</v>
      </c>
      <c r="V147" s="1" t="s">
        <v>869</v>
      </c>
      <c r="W147" s="1" t="s">
        <v>873</v>
      </c>
      <c r="AJ147" s="1">
        <v>1.299</v>
      </c>
      <c r="AK147" s="1">
        <v>-1.88</v>
      </c>
      <c r="AY147" s="2">
        <f>HYPERLINK("https://vdatum.noaa.gov/vdatumweb/api/convert?s_x=-77.038333&amp;s_y=38.805&amp;s_z=0.0&amp;region=chesapeak_delaware&amp;s_h_frame=NAD83_2011&amp;s_coor=geo&amp;s_v_frame=NAVD88&amp;s_v_unit=us_ft&amp;t_h_frame=IGS14&amp;t_coor=geo&amp;t_v_frame=MLLW&amp;t_v_unit=us_ft", "NAVD88 to MLLW")</f>
        <v>0</v>
      </c>
      <c r="AZ147" s="2">
        <f>HYPERLINK("https://vdatum.noaa.gov/vdatumweb/api/convert?s_x=-77.038333&amp;s_y=38.805&amp;s_z=0.0&amp;region=chesapeak_delaware&amp;s_h_frame=NAD83_2011&amp;s_coor=geo&amp;s_v_frame=NAVD88&amp;s_v_unit=us_ft&amp;t_h_frame=IGS14&amp;t_coor=geo&amp;t_v_frame=MHHW&amp;t_v_unit=us_ft", "NAVD88 to MHHW")</f>
        <v>0</v>
      </c>
    </row>
    <row r="148" spans="1:52">
      <c r="A148" s="1" t="s">
        <v>172</v>
      </c>
      <c r="B148" s="1" t="s">
        <v>619</v>
      </c>
      <c r="D148" s="1" t="s">
        <v>652</v>
      </c>
      <c r="L148" s="1">
        <v>-77.28666</v>
      </c>
      <c r="M148" s="1">
        <v>38.52</v>
      </c>
      <c r="N148" s="1">
        <v>8634689</v>
      </c>
      <c r="O148" s="1" t="s">
        <v>860</v>
      </c>
      <c r="P148" s="1" t="s">
        <v>866</v>
      </c>
      <c r="Q148" s="2">
        <f>HYPERLINK("https://tidesandcurrents.noaa.gov/stationhome.html?id=8634689", "Station Info")</f>
        <v>0</v>
      </c>
      <c r="R148" s="2">
        <f>HYPERLINK("https://tidesandcurrents.noaa.gov/datums.html?datum=MLLW&amp;units=0&amp;epoch=0&amp;id=8634689", "Datum Info")</f>
        <v>0</v>
      </c>
      <c r="S148" s="2">
        <f>HYPERLINK("https://api.tidesandcurrents.noaa.gov/mdapi/prod/webapi/stations/8634689.json", "More Info")</f>
        <v>0</v>
      </c>
      <c r="T148" s="1">
        <v>2789225</v>
      </c>
      <c r="U148" s="1">
        <v>0</v>
      </c>
      <c r="V148" s="1" t="s">
        <v>869</v>
      </c>
      <c r="W148" s="1" t="s">
        <v>873</v>
      </c>
      <c r="AJ148" s="1">
        <v>1.043</v>
      </c>
      <c r="AK148" s="1">
        <v>-1.473</v>
      </c>
      <c r="AY148" s="2">
        <f>HYPERLINK("https://vdatum.noaa.gov/vdatumweb/api/convert?s_x=-77.28666&amp;s_y=38.52&amp;s_z=0.0&amp;region=chesapeak_delaware&amp;s_h_frame=NAD83_2011&amp;s_coor=geo&amp;s_v_frame=NAVD88&amp;s_v_unit=us_ft&amp;t_h_frame=IGS14&amp;t_coor=geo&amp;t_v_frame=MLLW&amp;t_v_unit=us_ft", "NAVD88 to MLLW")</f>
        <v>0</v>
      </c>
      <c r="AZ148" s="2">
        <f>HYPERLINK("https://vdatum.noaa.gov/vdatumweb/api/convert?s_x=-77.28666&amp;s_y=38.52&amp;s_z=0.0&amp;region=chesapeak_delaware&amp;s_h_frame=NAD83_2011&amp;s_coor=geo&amp;s_v_frame=NAVD88&amp;s_v_unit=us_ft&amp;t_h_frame=IGS14&amp;t_coor=geo&amp;t_v_frame=MHHW&amp;t_v_unit=us_ft", "NAVD88 to MHHW")</f>
        <v>0</v>
      </c>
    </row>
    <row r="149" spans="1:52">
      <c r="A149" s="1" t="s">
        <v>173</v>
      </c>
      <c r="B149" s="1" t="s">
        <v>619</v>
      </c>
      <c r="C149" s="1" t="s">
        <v>644</v>
      </c>
      <c r="D149" s="1" t="s">
        <v>652</v>
      </c>
      <c r="E149" s="1" t="s">
        <v>710</v>
      </c>
      <c r="F149" s="1" t="s">
        <v>831</v>
      </c>
      <c r="G149" s="1" t="s">
        <v>854</v>
      </c>
      <c r="L149" s="1">
        <v>-77.35333</v>
      </c>
      <c r="M149" s="1">
        <v>38.418333</v>
      </c>
      <c r="N149" s="1">
        <v>8634858</v>
      </c>
      <c r="O149" s="1" t="s">
        <v>861</v>
      </c>
      <c r="P149" s="1" t="s">
        <v>866</v>
      </c>
      <c r="Q149" s="2">
        <f>HYPERLINK("https://tidesandcurrents.noaa.gov/stationhome.html?id=8634858", "Station Info")</f>
        <v>0</v>
      </c>
      <c r="R149" s="2">
        <f>HYPERLINK("https://tidesandcurrents.noaa.gov/datums.html?datum=MLLW&amp;units=0&amp;epoch=0&amp;id=8634858", "Datum Info")</f>
        <v>0</v>
      </c>
      <c r="S149" s="2">
        <f>HYPERLINK("https://api.tidesandcurrents.noaa.gov/mdapi/prod/webapi/stations/8634858.json", "More Info")</f>
        <v>0</v>
      </c>
      <c r="T149" s="1">
        <v>2398544</v>
      </c>
      <c r="U149" s="1">
        <v>0</v>
      </c>
      <c r="V149" s="1" t="s">
        <v>869</v>
      </c>
      <c r="W149" s="1" t="s">
        <v>873</v>
      </c>
      <c r="AJ149" s="1">
        <v>0.988</v>
      </c>
      <c r="AK149" s="1">
        <v>-1.194</v>
      </c>
      <c r="AY149" s="2">
        <f>HYPERLINK("https://vdatum.noaa.gov/vdatumweb/api/convert?s_x=-77.35333&amp;s_y=38.418333&amp;s_z=0.0&amp;region=chesapeak_delaware&amp;s_h_frame=NAD83_2011&amp;s_coor=geo&amp;s_v_frame=NAVD88&amp;s_v_unit=us_ft&amp;t_h_frame=IGS14&amp;t_coor=geo&amp;t_v_frame=MLLW&amp;t_v_unit=us_ft", "NAVD88 to MLLW")</f>
        <v>0</v>
      </c>
      <c r="AZ149" s="2">
        <f>HYPERLINK("https://vdatum.noaa.gov/vdatumweb/api/convert?s_x=-77.35333&amp;s_y=38.418333&amp;s_z=0.0&amp;region=chesapeak_delaware&amp;s_h_frame=NAD83_2011&amp;s_coor=geo&amp;s_v_frame=NAVD88&amp;s_v_unit=us_ft&amp;t_h_frame=IGS14&amp;t_coor=geo&amp;t_v_frame=MHHW&amp;t_v_unit=us_ft", "NAVD88 to MHHW")</f>
        <v>0</v>
      </c>
    </row>
    <row r="150" spans="1:52">
      <c r="A150" s="1" t="s">
        <v>174</v>
      </c>
      <c r="B150" s="1" t="s">
        <v>619</v>
      </c>
      <c r="D150" s="1" t="s">
        <v>652</v>
      </c>
      <c r="E150" s="1" t="s">
        <v>711</v>
      </c>
      <c r="F150" s="1" t="s">
        <v>831</v>
      </c>
      <c r="G150" s="1" t="s">
        <v>854</v>
      </c>
      <c r="L150" s="1">
        <v>-77.03660000000001</v>
      </c>
      <c r="M150" s="1">
        <v>38.31975</v>
      </c>
      <c r="N150" s="1">
        <v>8635027</v>
      </c>
      <c r="O150" s="1" t="s">
        <v>860</v>
      </c>
      <c r="P150" s="1" t="s">
        <v>866</v>
      </c>
      <c r="Q150" s="2">
        <f>HYPERLINK("https://tidesandcurrents.noaa.gov/stationhome.html?id=8635027", "Station Info")</f>
        <v>0</v>
      </c>
      <c r="R150" s="2">
        <f>HYPERLINK("https://tidesandcurrents.noaa.gov/datums.html?datum=MLLW&amp;units=0&amp;epoch=0&amp;id=8635027", "Datum Info")</f>
        <v>0</v>
      </c>
      <c r="S150" s="2">
        <f>HYPERLINK("https://api.tidesandcurrents.noaa.gov/mdapi/prod/webapi/stations/8635027.json", "More Info")</f>
        <v>0</v>
      </c>
      <c r="T150" s="1">
        <v>4540312</v>
      </c>
      <c r="U150" s="1">
        <v>0</v>
      </c>
      <c r="V150" s="1" t="s">
        <v>869</v>
      </c>
      <c r="W150" s="1" t="s">
        <v>873</v>
      </c>
      <c r="X150" s="1" t="s">
        <v>886</v>
      </c>
      <c r="Y150" s="1">
        <v>1.91</v>
      </c>
      <c r="Z150" s="1">
        <v>1.74</v>
      </c>
      <c r="AA150" s="1">
        <v>0.95</v>
      </c>
      <c r="AB150" s="1">
        <v>0.9399999999999999</v>
      </c>
      <c r="AC150" s="1">
        <v>0.96</v>
      </c>
      <c r="AD150" s="1">
        <v>0.15</v>
      </c>
      <c r="AE150" s="1">
        <v>0</v>
      </c>
      <c r="AF150" s="1">
        <v>1.04</v>
      </c>
      <c r="AG150" s="1">
        <v>-16.17</v>
      </c>
      <c r="AH150" s="1" t="s">
        <v>1156</v>
      </c>
      <c r="AI150" s="1" t="s">
        <v>1425</v>
      </c>
      <c r="AJ150" s="1">
        <v>1.043</v>
      </c>
      <c r="AK150" s="1">
        <v>-0.804</v>
      </c>
      <c r="AY150" s="2">
        <f>HYPERLINK("https://vdatum.noaa.gov/vdatumweb/api/convert?s_x=-77.0366&amp;s_y=38.31975&amp;s_z=0.0&amp;region=chesapeak_delaware&amp;s_h_frame=NAD83_2011&amp;s_coor=geo&amp;s_v_frame=NAVD88&amp;s_v_unit=us_ft&amp;t_h_frame=IGS14&amp;t_coor=geo&amp;t_v_frame=MLLW&amp;t_v_unit=us_ft", "NAVD88 to MLLW")</f>
        <v>0</v>
      </c>
      <c r="AZ150" s="2">
        <f>HYPERLINK("https://vdatum.noaa.gov/vdatumweb/api/convert?s_x=-77.0366&amp;s_y=38.31975&amp;s_z=0.0&amp;region=chesapeak_delaware&amp;s_h_frame=NAD83_2011&amp;s_coor=geo&amp;s_v_frame=NAVD88&amp;s_v_unit=us_ft&amp;t_h_frame=IGS14&amp;t_coor=geo&amp;t_v_frame=MHHW&amp;t_v_unit=us_ft", "NAVD88 to MHHW")</f>
        <v>0</v>
      </c>
    </row>
    <row r="151" spans="1:52">
      <c r="A151" s="1" t="s">
        <v>175</v>
      </c>
      <c r="B151" s="1" t="s">
        <v>619</v>
      </c>
      <c r="D151" s="1" t="s">
        <v>652</v>
      </c>
      <c r="E151" s="1" t="s">
        <v>712</v>
      </c>
      <c r="F151" s="1" t="s">
        <v>830</v>
      </c>
      <c r="G151" s="1" t="s">
        <v>854</v>
      </c>
      <c r="L151" s="1">
        <v>-76.39</v>
      </c>
      <c r="M151" s="1">
        <v>39.31</v>
      </c>
      <c r="N151" s="1" t="s">
        <v>859</v>
      </c>
      <c r="O151" s="1" t="s">
        <v>861</v>
      </c>
      <c r="P151" s="1" t="s">
        <v>859</v>
      </c>
      <c r="T151" s="1">
        <v>6213168</v>
      </c>
      <c r="U151" s="1">
        <v>0</v>
      </c>
      <c r="V151" s="1" t="s">
        <v>869</v>
      </c>
      <c r="W151" s="1" t="s">
        <v>873</v>
      </c>
      <c r="AJ151" s="1">
        <v>0.846</v>
      </c>
      <c r="AK151" s="1">
        <v>-0.833</v>
      </c>
      <c r="AY151" s="2">
        <f>HYPERLINK("https://vdatum.noaa.gov/vdatumweb/api/convert?s_x=-76.39&amp;s_y=39.31&amp;s_z=0.0&amp;region=chesapeak_delaware&amp;s_h_frame=NAD83_2011&amp;s_coor=geo&amp;s_v_frame=NAVD88&amp;s_v_unit=us_ft&amp;t_h_frame=IGS14&amp;t_coor=geo&amp;t_v_frame=MLLW&amp;t_v_unit=us_ft", "NAVD88 to MLLW")</f>
        <v>0</v>
      </c>
      <c r="AZ151" s="2">
        <f>HYPERLINK("https://vdatum.noaa.gov/vdatumweb/api/convert?s_x=-76.39&amp;s_y=39.31&amp;s_z=0.0&amp;region=chesapeak_delaware&amp;s_h_frame=NAD83_2011&amp;s_coor=geo&amp;s_v_frame=NAVD88&amp;s_v_unit=us_ft&amp;t_h_frame=IGS14&amp;t_coor=geo&amp;t_v_frame=MHHW&amp;t_v_unit=us_ft", "NAVD88 to MHHW")</f>
        <v>0</v>
      </c>
    </row>
    <row r="152" spans="1:52">
      <c r="A152" s="1" t="s">
        <v>176</v>
      </c>
      <c r="B152" s="1" t="s">
        <v>619</v>
      </c>
      <c r="C152" s="1" t="s">
        <v>644</v>
      </c>
      <c r="D152" s="1" t="s">
        <v>652</v>
      </c>
      <c r="E152" s="1" t="s">
        <v>713</v>
      </c>
      <c r="F152" s="1" t="s">
        <v>831</v>
      </c>
      <c r="G152" s="1" t="s">
        <v>854</v>
      </c>
      <c r="L152" s="1">
        <v>-77.25</v>
      </c>
      <c r="M152" s="1">
        <v>38.59</v>
      </c>
      <c r="N152" s="1" t="s">
        <v>859</v>
      </c>
      <c r="O152" s="1" t="s">
        <v>861</v>
      </c>
      <c r="P152" s="1" t="s">
        <v>859</v>
      </c>
      <c r="T152" s="1">
        <v>2398861</v>
      </c>
      <c r="U152" s="1">
        <v>0</v>
      </c>
      <c r="V152" s="1" t="s">
        <v>869</v>
      </c>
      <c r="W152" s="1" t="s">
        <v>873</v>
      </c>
      <c r="AJ152" s="1">
        <v>1.119</v>
      </c>
      <c r="AK152" s="1">
        <v>-1.617</v>
      </c>
      <c r="AY152" s="2">
        <f>HYPERLINK("https://vdatum.noaa.gov/vdatumweb/api/convert?s_x=-77.25&amp;s_y=38.59&amp;s_z=0.0&amp;region=chesapeak_delaware&amp;s_h_frame=NAD83_2011&amp;s_coor=geo&amp;s_v_frame=NAVD88&amp;s_v_unit=us_ft&amp;t_h_frame=IGS14&amp;t_coor=geo&amp;t_v_frame=MLLW&amp;t_v_unit=us_ft", "NAVD88 to MLLW")</f>
        <v>0</v>
      </c>
      <c r="AZ152" s="2">
        <f>HYPERLINK("https://vdatum.noaa.gov/vdatumweb/api/convert?s_x=-77.25&amp;s_y=38.59&amp;s_z=0.0&amp;region=chesapeak_delaware&amp;s_h_frame=NAD83_2011&amp;s_coor=geo&amp;s_v_frame=NAVD88&amp;s_v_unit=us_ft&amp;t_h_frame=IGS14&amp;t_coor=geo&amp;t_v_frame=MHHW&amp;t_v_unit=us_ft", "NAVD88 to MHHW")</f>
        <v>0</v>
      </c>
    </row>
    <row r="153" spans="1:52">
      <c r="A153" s="1" t="s">
        <v>177</v>
      </c>
      <c r="B153" s="1" t="s">
        <v>619</v>
      </c>
      <c r="C153" s="1" t="s">
        <v>644</v>
      </c>
      <c r="D153" s="1" t="s">
        <v>652</v>
      </c>
      <c r="E153" s="1" t="s">
        <v>703</v>
      </c>
      <c r="F153" s="1" t="s">
        <v>830</v>
      </c>
      <c r="G153" s="1" t="s">
        <v>854</v>
      </c>
      <c r="L153" s="1">
        <v>-76.27</v>
      </c>
      <c r="M153" s="1">
        <v>39.45</v>
      </c>
      <c r="N153" s="1" t="s">
        <v>859</v>
      </c>
      <c r="O153" s="1" t="s">
        <v>860</v>
      </c>
      <c r="P153" s="1" t="s">
        <v>859</v>
      </c>
      <c r="T153" s="1">
        <v>1928953</v>
      </c>
      <c r="U153" s="1">
        <v>0</v>
      </c>
      <c r="V153" s="1" t="s">
        <v>869</v>
      </c>
      <c r="W153" s="1" t="s">
        <v>873</v>
      </c>
      <c r="AJ153" s="1">
        <v>0.869</v>
      </c>
      <c r="AK153" s="1">
        <v>-1.047</v>
      </c>
      <c r="AY153" s="2">
        <f>HYPERLINK("https://vdatum.noaa.gov/vdatumweb/api/convert?s_x=-76.27&amp;s_y=39.45&amp;s_z=0.0&amp;region=chesapeak_delaware&amp;s_h_frame=NAD83_2011&amp;s_coor=geo&amp;s_v_frame=NAVD88&amp;s_v_unit=us_ft&amp;t_h_frame=IGS14&amp;t_coor=geo&amp;t_v_frame=MLLW&amp;t_v_unit=us_ft", "NAVD88 to MLLW")</f>
        <v>0</v>
      </c>
      <c r="AZ153" s="2">
        <f>HYPERLINK("https://vdatum.noaa.gov/vdatumweb/api/convert?s_x=-76.27&amp;s_y=39.45&amp;s_z=0.0&amp;region=chesapeak_delaware&amp;s_h_frame=NAD83_2011&amp;s_coor=geo&amp;s_v_frame=NAVD88&amp;s_v_unit=us_ft&amp;t_h_frame=IGS14&amp;t_coor=geo&amp;t_v_frame=MHHW&amp;t_v_unit=us_ft", "NAVD88 to MHHW")</f>
        <v>0</v>
      </c>
    </row>
    <row r="154" spans="1:52">
      <c r="A154" s="1" t="s">
        <v>178</v>
      </c>
      <c r="B154" s="1" t="s">
        <v>619</v>
      </c>
      <c r="D154" s="1" t="s">
        <v>652</v>
      </c>
      <c r="E154" s="1" t="s">
        <v>706</v>
      </c>
      <c r="F154" s="1" t="s">
        <v>830</v>
      </c>
      <c r="G154" s="1" t="s">
        <v>854</v>
      </c>
      <c r="L154" s="1">
        <v>-76.5</v>
      </c>
      <c r="M154" s="1">
        <v>38.14</v>
      </c>
      <c r="N154" s="1" t="s">
        <v>859</v>
      </c>
      <c r="O154" s="1" t="s">
        <v>860</v>
      </c>
      <c r="P154" s="1" t="s">
        <v>859</v>
      </c>
      <c r="T154" s="1">
        <v>6111844</v>
      </c>
      <c r="U154" s="1">
        <v>0</v>
      </c>
      <c r="V154" s="1" t="s">
        <v>869</v>
      </c>
      <c r="W154" s="1" t="s">
        <v>873</v>
      </c>
      <c r="AJ154" s="1">
        <v>1.109</v>
      </c>
      <c r="AK154" s="1">
        <v>-0.6860000000000001</v>
      </c>
      <c r="AY154" s="2">
        <f>HYPERLINK("https://vdatum.noaa.gov/vdatumweb/api/convert?s_x=-76.5&amp;s_y=38.14&amp;s_z=0.0&amp;region=chesapeak_delaware&amp;s_h_frame=NAD83_2011&amp;s_coor=geo&amp;s_v_frame=NAVD88&amp;s_v_unit=us_ft&amp;t_h_frame=IGS14&amp;t_coor=geo&amp;t_v_frame=MLLW&amp;t_v_unit=us_ft", "NAVD88 to MLLW")</f>
        <v>0</v>
      </c>
      <c r="AZ154" s="2">
        <f>HYPERLINK("https://vdatum.noaa.gov/vdatumweb/api/convert?s_x=-76.5&amp;s_y=38.14&amp;s_z=0.0&amp;region=chesapeak_delaware&amp;s_h_frame=NAD83_2011&amp;s_coor=geo&amp;s_v_frame=NAVD88&amp;s_v_unit=us_ft&amp;t_h_frame=IGS14&amp;t_coor=geo&amp;t_v_frame=MHHW&amp;t_v_unit=us_ft", "NAVD88 to MHHW")</f>
        <v>0</v>
      </c>
    </row>
    <row r="155" spans="1:52">
      <c r="A155" s="1" t="s">
        <v>179</v>
      </c>
      <c r="B155" s="1" t="s">
        <v>619</v>
      </c>
      <c r="C155" s="1" t="s">
        <v>644</v>
      </c>
      <c r="D155" s="1" t="s">
        <v>652</v>
      </c>
      <c r="E155" s="1" t="s">
        <v>708</v>
      </c>
      <c r="F155" s="1" t="s">
        <v>840</v>
      </c>
      <c r="G155" s="1" t="s">
        <v>854</v>
      </c>
      <c r="H155" s="1" t="s">
        <v>1775</v>
      </c>
      <c r="I155" s="1" t="s">
        <v>1856</v>
      </c>
      <c r="J155" s="1" t="s">
        <v>1900</v>
      </c>
      <c r="K155" s="1" t="s">
        <v>2059</v>
      </c>
      <c r="L155" s="1">
        <v>-77.0676644</v>
      </c>
      <c r="M155" s="1">
        <v>38.90335331</v>
      </c>
      <c r="N155" s="1" t="s">
        <v>2200</v>
      </c>
      <c r="O155" s="1" t="s">
        <v>860</v>
      </c>
      <c r="P155" s="1" t="s">
        <v>867</v>
      </c>
      <c r="Q155" s="2">
        <f>HYPERLINK("https://waterdata.usgs.gov/nwis/nwismap/?site_no=01647600&amp;agency_cd=USGS", "Station Info")</f>
        <v>0</v>
      </c>
      <c r="R155" s="2">
        <f>HYPERLINK("https://waterservices.usgs.gov/nwis/site/?site=01647600&amp;format=rdb", "Datum Info")</f>
        <v>0</v>
      </c>
      <c r="T155" s="1">
        <v>2399451</v>
      </c>
      <c r="U155" s="1">
        <v>0</v>
      </c>
      <c r="V155" s="1" t="s">
        <v>869</v>
      </c>
      <c r="W155" s="1" t="s">
        <v>873</v>
      </c>
      <c r="X155" s="1" t="s">
        <v>887</v>
      </c>
      <c r="AF155" s="1" t="s">
        <v>956</v>
      </c>
      <c r="AJ155" s="1">
        <v>1.25</v>
      </c>
      <c r="AK155" s="1">
        <v>-1.972</v>
      </c>
      <c r="AL155" s="1" t="s">
        <v>1611</v>
      </c>
      <c r="AM155" s="1">
        <v>0</v>
      </c>
      <c r="AN155" s="1" t="s">
        <v>1632</v>
      </c>
      <c r="AO155" s="1" t="s">
        <v>1691</v>
      </c>
      <c r="AQ155" s="1" t="s">
        <v>1617</v>
      </c>
      <c r="AR155" s="1" t="s">
        <v>1691</v>
      </c>
      <c r="AS155" s="1">
        <v>5.5</v>
      </c>
      <c r="AT155" s="1">
        <v>6</v>
      </c>
      <c r="AU155" s="1">
        <v>7</v>
      </c>
      <c r="AV155" s="1">
        <v>10</v>
      </c>
      <c r="AW155" s="1" t="s">
        <v>1744</v>
      </c>
      <c r="AX155" s="2">
        <f>HYPERLINK("https://water.weather.gov/ahps2/hydrograph.php?wfo=lwx&amp;gage=gtnd2", "AHPS Data")</f>
        <v>0</v>
      </c>
      <c r="AY155" s="2">
        <f>HYPERLINK("https://vdatum.noaa.gov/vdatumweb/api/convert?s_x=-77.0676644&amp;s_y=38.90335331&amp;s_z=0.0&amp;region=chesapeak_delaware&amp;s_h_frame=NAD83_2011&amp;s_coor=geo&amp;s_v_frame=NAVD88&amp;s_v_unit=us_ft&amp;t_h_frame=IGS14&amp;t_coor=geo&amp;t_v_frame=MLLW&amp;t_v_unit=us_ft", "NAVD88 to MLLW")</f>
        <v>0</v>
      </c>
      <c r="AZ155" s="2">
        <f>HYPERLINK("https://vdatum.noaa.gov/vdatumweb/api/convert?s_x=-77.0676644&amp;s_y=38.90335331&amp;s_z=0.0&amp;region=chesapeak_delaware&amp;s_h_frame=NAD83_2011&amp;s_coor=geo&amp;s_v_frame=NAVD88&amp;s_v_unit=us_ft&amp;t_h_frame=IGS14&amp;t_coor=geo&amp;t_v_frame=MHHW&amp;t_v_unit=us_ft", "NAVD88 to MHHW")</f>
        <v>0</v>
      </c>
    </row>
    <row r="156" spans="1:52">
      <c r="A156" s="1" t="s">
        <v>180</v>
      </c>
      <c r="B156" s="1" t="s">
        <v>620</v>
      </c>
      <c r="D156" s="1" t="s">
        <v>652</v>
      </c>
      <c r="L156" s="1">
        <v>-75.7467</v>
      </c>
      <c r="M156" s="1">
        <v>36.18331</v>
      </c>
      <c r="N156" s="1">
        <v>8651370</v>
      </c>
      <c r="O156" s="1" t="s">
        <v>860</v>
      </c>
      <c r="P156" s="1" t="s">
        <v>866</v>
      </c>
      <c r="Q156" s="2">
        <f>HYPERLINK("https://tidesandcurrents.noaa.gov/stationhome.html?id=8651370", "Station Info")</f>
        <v>0</v>
      </c>
      <c r="R156" s="2">
        <f>HYPERLINK("https://tidesandcurrents.noaa.gov/datums.html?datum=MLLW&amp;units=0&amp;epoch=0&amp;id=8651370", "Datum Info")</f>
        <v>0</v>
      </c>
      <c r="S156" s="2">
        <f>HYPERLINK("https://api.tidesandcurrents.noaa.gov/mdapi/prod/webapi/stations/8651370.json", "More Info")</f>
        <v>0</v>
      </c>
      <c r="T156" s="1">
        <v>1802520</v>
      </c>
      <c r="U156" s="1">
        <v>0</v>
      </c>
      <c r="V156" s="1" t="s">
        <v>869</v>
      </c>
      <c r="W156" s="1" t="s">
        <v>874</v>
      </c>
      <c r="X156" s="1" t="s">
        <v>886</v>
      </c>
      <c r="Y156" s="1">
        <v>3.69</v>
      </c>
      <c r="Z156" s="1">
        <v>3.37</v>
      </c>
      <c r="AA156" s="1">
        <v>1.75</v>
      </c>
      <c r="AB156" s="1">
        <v>1.77</v>
      </c>
      <c r="AC156" s="1">
        <v>1.84</v>
      </c>
      <c r="AD156" s="1">
        <v>0.14</v>
      </c>
      <c r="AE156" s="1">
        <v>0</v>
      </c>
      <c r="AF156" s="1">
        <v>2.19</v>
      </c>
      <c r="AG156" s="1">
        <v>-18.58</v>
      </c>
      <c r="AH156" s="1" t="s">
        <v>1157</v>
      </c>
      <c r="AI156" s="1" t="s">
        <v>1426</v>
      </c>
      <c r="AJ156" s="1">
        <v>2.188</v>
      </c>
      <c r="AK156" s="1">
        <v>-1.5</v>
      </c>
      <c r="AY156" s="2">
        <f>HYPERLINK("https://vdatum.noaa.gov/vdatumweb/api/convert?s_x=-75.7467&amp;s_y=36.18331&amp;s_z=0.0&amp;region=contiguous&amp;s_h_frame=NAD83_2011&amp;s_coor=geo&amp;s_v_frame=NAVD88&amp;s_v_unit=us_ft&amp;t_h_frame=NAD83_2011&amp;t_coor=geo&amp;t_v_frame=MLLW&amp;t_v_unit=us_ft", "NAVD88 to MLLW")</f>
        <v>0</v>
      </c>
      <c r="AZ156" s="2">
        <f>HYPERLINK("https://vdatum.noaa.gov/vdatumweb/api/convert?s_x=-75.7467&amp;s_y=36.18331&amp;s_z=0.0&amp;region=contiguous&amp;s_h_frame=NAD83_2011&amp;s_coor=geo&amp;s_v_frame=NAVD88&amp;s_v_unit=us_ft&amp;t_h_frame=NAD83_2011&amp;t_coor=geo&amp;t_v_frame=MHHW&amp;t_v_unit=us_ft", "NAVD88 to MHHW")</f>
        <v>0</v>
      </c>
    </row>
    <row r="157" spans="1:52">
      <c r="A157" s="1" t="s">
        <v>181</v>
      </c>
      <c r="B157" s="1" t="s">
        <v>620</v>
      </c>
      <c r="C157" s="1" t="s">
        <v>645</v>
      </c>
      <c r="D157" s="1" t="s">
        <v>652</v>
      </c>
      <c r="E157" s="1" t="s">
        <v>714</v>
      </c>
      <c r="F157" s="1" t="s">
        <v>832</v>
      </c>
      <c r="G157" s="1" t="s">
        <v>854</v>
      </c>
      <c r="L157" s="1">
        <v>-75.67</v>
      </c>
      <c r="M157" s="1">
        <v>35.91</v>
      </c>
      <c r="N157" s="1">
        <v>8652232</v>
      </c>
      <c r="O157" s="1" t="s">
        <v>861</v>
      </c>
      <c r="P157" s="1" t="s">
        <v>866</v>
      </c>
      <c r="Q157" s="2">
        <f>HYPERLINK("https://tidesandcurrents.noaa.gov/stationhome.html?id=8652232", "Station Info")</f>
        <v>0</v>
      </c>
      <c r="R157" s="2">
        <f>HYPERLINK("https://tidesandcurrents.noaa.gov/datums.html?datum=MLLW&amp;units=0&amp;epoch=0&amp;id=8652232", "Datum Info")</f>
        <v>0</v>
      </c>
      <c r="S157" s="2">
        <f>HYPERLINK("https://api.tidesandcurrents.noaa.gov/mdapi/prod/webapi/stations/8652232.json", "More Info")</f>
        <v>0</v>
      </c>
      <c r="T157" s="1">
        <v>7001632</v>
      </c>
      <c r="U157" s="1">
        <v>0</v>
      </c>
      <c r="V157" s="1" t="s">
        <v>869</v>
      </c>
      <c r="W157" s="1" t="s">
        <v>874</v>
      </c>
      <c r="X157" s="1" t="s">
        <v>886</v>
      </c>
      <c r="Y157" s="1">
        <v>0.47</v>
      </c>
      <c r="Z157" s="1">
        <v>0.42</v>
      </c>
      <c r="AA157" s="1">
        <v>0.27</v>
      </c>
      <c r="AB157" s="1">
        <v>0.2</v>
      </c>
      <c r="AC157" s="1">
        <v>0.24</v>
      </c>
      <c r="AD157" s="1">
        <v>0.12</v>
      </c>
      <c r="AE157" s="1">
        <v>0</v>
      </c>
      <c r="AF157" s="1" t="s">
        <v>993</v>
      </c>
      <c r="AG157" s="1">
        <v>-2.71</v>
      </c>
      <c r="AH157" s="1" t="s">
        <v>1158</v>
      </c>
      <c r="AI157" s="1" t="s">
        <v>1427</v>
      </c>
      <c r="AJ157" s="1">
        <v>0.126</v>
      </c>
      <c r="AK157" s="1">
        <v>0.126</v>
      </c>
      <c r="AY157" s="2">
        <f>HYPERLINK("https://vdatum.noaa.gov/vdatumweb/api/convert?s_x=-75.67&amp;s_y=35.91&amp;s_z=0.0&amp;region=contiguous&amp;s_h_frame=NAD83_2011&amp;s_coor=geo&amp;s_v_frame=NAVD88&amp;s_v_unit=us_ft&amp;t_h_frame=NAD83_2011&amp;t_coor=geo&amp;t_v_frame=MLLW&amp;t_v_unit=us_ft", "NAVD88 to MLLW")</f>
        <v>0</v>
      </c>
      <c r="AZ157" s="2">
        <f>HYPERLINK("https://vdatum.noaa.gov/vdatumweb/api/convert?s_x=-75.67&amp;s_y=35.91&amp;s_z=0.0&amp;region=contiguous&amp;s_h_frame=NAD83_2011&amp;s_coor=geo&amp;s_v_frame=NAVD88&amp;s_v_unit=us_ft&amp;t_h_frame=NAD83_2011&amp;t_coor=geo&amp;t_v_frame=MHHW&amp;t_v_unit=us_ft", "NAVD88 to MHHW")</f>
        <v>0</v>
      </c>
    </row>
    <row r="158" spans="1:52">
      <c r="A158" s="1" t="s">
        <v>182</v>
      </c>
      <c r="B158" s="1" t="s">
        <v>620</v>
      </c>
      <c r="C158" s="1" t="s">
        <v>645</v>
      </c>
      <c r="D158" s="1" t="s">
        <v>652</v>
      </c>
      <c r="E158" s="1" t="s">
        <v>714</v>
      </c>
      <c r="F158" s="1" t="s">
        <v>832</v>
      </c>
      <c r="G158" s="1" t="s">
        <v>854</v>
      </c>
      <c r="L158" s="1">
        <v>-75.655</v>
      </c>
      <c r="M158" s="1">
        <v>35.845</v>
      </c>
      <c r="N158" s="1">
        <v>8652437</v>
      </c>
      <c r="O158" s="1" t="s">
        <v>861</v>
      </c>
      <c r="P158" s="1" t="s">
        <v>866</v>
      </c>
      <c r="Q158" s="2">
        <f>HYPERLINK("https://tidesandcurrents.noaa.gov/stationhome.html?id=8652437", "Station Info")</f>
        <v>0</v>
      </c>
      <c r="R158" s="2">
        <f>HYPERLINK("https://tidesandcurrents.noaa.gov/datums.html?datum=MLLW&amp;units=0&amp;epoch=0&amp;id=8652437", "Datum Info")</f>
        <v>0</v>
      </c>
      <c r="S158" s="2">
        <f>HYPERLINK("https://api.tidesandcurrents.noaa.gov/mdapi/prod/webapi/stations/8652437.json", "More Info")</f>
        <v>0</v>
      </c>
      <c r="T158" s="1">
        <v>7763193</v>
      </c>
      <c r="U158" s="1">
        <v>-0.028</v>
      </c>
      <c r="V158" s="1" t="s">
        <v>869</v>
      </c>
      <c r="W158" s="1" t="s">
        <v>874</v>
      </c>
      <c r="X158" s="1" t="s">
        <v>886</v>
      </c>
      <c r="Y158" s="1">
        <v>0.6</v>
      </c>
      <c r="Z158" s="1">
        <v>0.52</v>
      </c>
      <c r="AA158" s="1">
        <v>0.31</v>
      </c>
      <c r="AB158" s="1">
        <v>0.31</v>
      </c>
      <c r="AC158" s="1">
        <v>0.3</v>
      </c>
      <c r="AD158" s="1">
        <v>0.1</v>
      </c>
      <c r="AE158" s="1">
        <v>0</v>
      </c>
      <c r="AF158" s="1" t="s">
        <v>994</v>
      </c>
      <c r="AG158" s="1">
        <v>-1.83</v>
      </c>
      <c r="AH158" s="1" t="s">
        <v>1159</v>
      </c>
      <c r="AI158" s="1" t="s">
        <v>1428</v>
      </c>
      <c r="AJ158" s="1">
        <v>0.392</v>
      </c>
      <c r="AK158" s="1">
        <v>-0.208</v>
      </c>
      <c r="AY158" s="2">
        <f>HYPERLINK("https://vdatum.noaa.gov/vdatumweb/api/convert?s_x=-75.655&amp;s_y=35.845&amp;s_z=0.0&amp;region=contiguous&amp;s_h_frame=NAD83_2011&amp;s_coor=geo&amp;s_v_frame=NAVD88&amp;s_v_unit=us_ft&amp;t_h_frame=NAD83_2011&amp;t_coor=geo&amp;t_v_frame=MLLW&amp;t_v_unit=us_ft", "NAVD88 to MLLW")</f>
        <v>0</v>
      </c>
      <c r="AZ158" s="2">
        <f>HYPERLINK("https://vdatum.noaa.gov/vdatumweb/api/convert?s_x=-75.655&amp;s_y=35.845&amp;s_z=0.0&amp;region=contiguous&amp;s_h_frame=NAD83_2011&amp;s_coor=geo&amp;s_v_frame=NAVD88&amp;s_v_unit=us_ft&amp;t_h_frame=NAD83_2011&amp;t_coor=geo&amp;t_v_frame=MHHW&amp;t_v_unit=us_ft", "NAVD88 to MHHW")</f>
        <v>0</v>
      </c>
    </row>
    <row r="159" spans="1:52">
      <c r="A159" s="1" t="s">
        <v>183</v>
      </c>
      <c r="B159" s="1" t="s">
        <v>620</v>
      </c>
      <c r="C159" s="1" t="s">
        <v>645</v>
      </c>
      <c r="D159" s="1" t="s">
        <v>652</v>
      </c>
      <c r="E159" s="1" t="s">
        <v>714</v>
      </c>
      <c r="F159" s="1" t="s">
        <v>832</v>
      </c>
      <c r="G159" s="1" t="s">
        <v>854</v>
      </c>
      <c r="L159" s="1">
        <v>-75.54810000000001</v>
      </c>
      <c r="M159" s="1">
        <v>35.795</v>
      </c>
      <c r="N159" s="1">
        <v>8652587</v>
      </c>
      <c r="O159" s="1" t="s">
        <v>860</v>
      </c>
      <c r="P159" s="1" t="s">
        <v>866</v>
      </c>
      <c r="Q159" s="2">
        <f>HYPERLINK("https://tidesandcurrents.noaa.gov/stationhome.html?id=8652587", "Station Info")</f>
        <v>0</v>
      </c>
      <c r="R159" s="2">
        <f>HYPERLINK("https://tidesandcurrents.noaa.gov/datums.html?datum=MLLW&amp;units=0&amp;epoch=0&amp;id=8652587", "Datum Info")</f>
        <v>0</v>
      </c>
      <c r="S159" s="2">
        <f>HYPERLINK("https://api.tidesandcurrents.noaa.gov/mdapi/prod/webapi/stations/8652587.json", "More Info")</f>
        <v>0</v>
      </c>
      <c r="T159" s="1">
        <v>2902329</v>
      </c>
      <c r="U159" s="1">
        <v>0</v>
      </c>
      <c r="V159" s="1" t="s">
        <v>869</v>
      </c>
      <c r="W159" s="1" t="s">
        <v>874</v>
      </c>
      <c r="X159" s="1" t="s">
        <v>886</v>
      </c>
      <c r="Y159" s="1">
        <v>1.18</v>
      </c>
      <c r="Z159" s="1">
        <v>1.03</v>
      </c>
      <c r="AA159" s="1">
        <v>0.58</v>
      </c>
      <c r="AB159" s="1">
        <v>0.58</v>
      </c>
      <c r="AC159" s="1">
        <v>0.59</v>
      </c>
      <c r="AD159" s="1">
        <v>0.13</v>
      </c>
      <c r="AE159" s="1">
        <v>0</v>
      </c>
      <c r="AF159" s="1">
        <v>0.7</v>
      </c>
      <c r="AG159" s="1">
        <v>-2.59</v>
      </c>
      <c r="AH159" s="1" t="s">
        <v>1160</v>
      </c>
      <c r="AI159" s="1" t="s">
        <v>1429</v>
      </c>
      <c r="AJ159" s="1">
        <v>0.71</v>
      </c>
      <c r="AK159" s="1">
        <v>-0.47</v>
      </c>
      <c r="AY159" s="2">
        <f>HYPERLINK("https://vdatum.noaa.gov/vdatumweb/api/convert?s_x=-75.5481&amp;s_y=35.795&amp;s_z=0.0&amp;region=contiguous&amp;s_h_frame=NAD83_2011&amp;s_coor=geo&amp;s_v_frame=NAVD88&amp;s_v_unit=us_ft&amp;t_h_frame=NAD83_2011&amp;t_coor=geo&amp;t_v_frame=MLLW&amp;t_v_unit=us_ft", "NAVD88 to MLLW")</f>
        <v>0</v>
      </c>
      <c r="AZ159" s="2">
        <f>HYPERLINK("https://vdatum.noaa.gov/vdatumweb/api/convert?s_x=-75.5481&amp;s_y=35.795&amp;s_z=0.0&amp;region=contiguous&amp;s_h_frame=NAD83_2011&amp;s_coor=geo&amp;s_v_frame=NAVD88&amp;s_v_unit=us_ft&amp;t_h_frame=NAD83_2011&amp;t_coor=geo&amp;t_v_frame=MHHW&amp;t_v_unit=us_ft", "NAVD88 to MHHW")</f>
        <v>0</v>
      </c>
    </row>
    <row r="160" spans="1:52">
      <c r="A160" s="1" t="s">
        <v>184</v>
      </c>
      <c r="B160" s="1" t="s">
        <v>620</v>
      </c>
      <c r="C160" s="1" t="s">
        <v>645</v>
      </c>
      <c r="D160" s="1" t="s">
        <v>652</v>
      </c>
      <c r="E160" s="1" t="s">
        <v>714</v>
      </c>
      <c r="F160" s="1" t="s">
        <v>832</v>
      </c>
      <c r="G160" s="1" t="s">
        <v>854</v>
      </c>
      <c r="L160" s="1">
        <v>-75.4717</v>
      </c>
      <c r="M160" s="1">
        <v>35.595</v>
      </c>
      <c r="N160" s="1">
        <v>8653215</v>
      </c>
      <c r="O160" s="1" t="s">
        <v>861</v>
      </c>
      <c r="P160" s="1" t="s">
        <v>866</v>
      </c>
      <c r="Q160" s="2">
        <f>HYPERLINK("https://tidesandcurrents.noaa.gov/stationhome.html?id=8653215", "Station Info")</f>
        <v>0</v>
      </c>
      <c r="R160" s="2">
        <f>HYPERLINK("https://tidesandcurrents.noaa.gov/datums.html?datum=MLLW&amp;units=0&amp;epoch=0&amp;id=8653215", "Datum Info")</f>
        <v>0</v>
      </c>
      <c r="S160" s="2">
        <f>HYPERLINK("https://api.tidesandcurrents.noaa.gov/mdapi/prod/webapi/stations/8653215.json", "More Info")</f>
        <v>0</v>
      </c>
      <c r="T160" s="1">
        <v>3130678</v>
      </c>
      <c r="U160" s="1">
        <v>0</v>
      </c>
      <c r="V160" s="1" t="s">
        <v>869</v>
      </c>
      <c r="W160" s="1" t="s">
        <v>874</v>
      </c>
      <c r="X160" s="1" t="s">
        <v>886</v>
      </c>
      <c r="Y160" s="1">
        <v>0.98</v>
      </c>
      <c r="Z160" s="1">
        <v>0.8100000000000001</v>
      </c>
      <c r="AA160" s="1">
        <v>0.45</v>
      </c>
      <c r="AB160" s="1">
        <v>0.43</v>
      </c>
      <c r="AC160" s="1">
        <v>0.49</v>
      </c>
      <c r="AD160" s="1">
        <v>0.09</v>
      </c>
      <c r="AE160" s="1">
        <v>0</v>
      </c>
      <c r="AF160" s="1">
        <v>0.46</v>
      </c>
      <c r="AG160" s="1">
        <v>-1.89</v>
      </c>
      <c r="AH160" s="1" t="s">
        <v>1161</v>
      </c>
      <c r="AI160" s="1" t="s">
        <v>1430</v>
      </c>
      <c r="AJ160" s="1">
        <v>0.457</v>
      </c>
      <c r="AK160" s="1">
        <v>-0.524</v>
      </c>
      <c r="AY160" s="2">
        <f>HYPERLINK("https://vdatum.noaa.gov/vdatumweb/api/convert?s_x=-75.4717&amp;s_y=35.595&amp;s_z=0.0&amp;region=contiguous&amp;s_h_frame=NAD83_2011&amp;s_coor=geo&amp;s_v_frame=NAVD88&amp;s_v_unit=us_ft&amp;t_h_frame=NAD83_2011&amp;t_coor=geo&amp;t_v_frame=MLLW&amp;t_v_unit=us_ft", "NAVD88 to MLLW")</f>
        <v>0</v>
      </c>
      <c r="AZ160" s="2">
        <f>HYPERLINK("https://vdatum.noaa.gov/vdatumweb/api/convert?s_x=-75.4717&amp;s_y=35.595&amp;s_z=0.0&amp;region=contiguous&amp;s_h_frame=NAD83_2011&amp;s_coor=geo&amp;s_v_frame=NAVD88&amp;s_v_unit=us_ft&amp;t_h_frame=NAD83_2011&amp;t_coor=geo&amp;t_v_frame=MHHW&amp;t_v_unit=us_ft", "NAVD88 to MHHW")</f>
        <v>0</v>
      </c>
    </row>
    <row r="161" spans="1:52">
      <c r="A161" s="1" t="s">
        <v>185</v>
      </c>
      <c r="B161" s="1" t="s">
        <v>620</v>
      </c>
      <c r="C161" s="1" t="s">
        <v>645</v>
      </c>
      <c r="D161" s="1" t="s">
        <v>652</v>
      </c>
      <c r="E161" s="1" t="s">
        <v>714</v>
      </c>
      <c r="F161" s="1" t="s">
        <v>832</v>
      </c>
      <c r="G161" s="1" t="s">
        <v>854</v>
      </c>
      <c r="L161" s="1">
        <v>-75.512</v>
      </c>
      <c r="M161" s="1">
        <v>35.35014</v>
      </c>
      <c r="N161" s="1">
        <v>8653951</v>
      </c>
      <c r="O161" s="1" t="s">
        <v>861</v>
      </c>
      <c r="P161" s="1" t="s">
        <v>866</v>
      </c>
      <c r="Q161" s="2">
        <f>HYPERLINK("https://tidesandcurrents.noaa.gov/stationhome.html?id=8653951", "Station Info")</f>
        <v>0</v>
      </c>
      <c r="R161" s="2">
        <f>HYPERLINK("https://tidesandcurrents.noaa.gov/datums.html?datum=MLLW&amp;units=0&amp;epoch=0&amp;id=8653951", "Datum Info")</f>
        <v>0</v>
      </c>
      <c r="S161" s="2">
        <f>HYPERLINK("https://api.tidesandcurrents.noaa.gov/mdapi/prod/webapi/stations/8653951.json", "More Info")</f>
        <v>0</v>
      </c>
      <c r="T161" s="1">
        <v>3970208</v>
      </c>
      <c r="U161" s="1">
        <v>-0.024</v>
      </c>
      <c r="V161" s="1" t="s">
        <v>869</v>
      </c>
      <c r="W161" s="1" t="s">
        <v>874</v>
      </c>
      <c r="X161" s="1" t="s">
        <v>886</v>
      </c>
      <c r="Y161" s="1">
        <v>0.61</v>
      </c>
      <c r="Z161" s="1">
        <v>0.51</v>
      </c>
      <c r="AA161" s="1">
        <v>0.3</v>
      </c>
      <c r="AB161" s="1">
        <v>0.29</v>
      </c>
      <c r="AC161" s="1">
        <v>0.3</v>
      </c>
      <c r="AD161" s="1">
        <v>0.08</v>
      </c>
      <c r="AE161" s="1">
        <v>0</v>
      </c>
      <c r="AF161" s="1" t="s">
        <v>995</v>
      </c>
      <c r="AG161" s="1">
        <v>-29.23</v>
      </c>
      <c r="AH161" s="1" t="s">
        <v>1162</v>
      </c>
      <c r="AI161" s="1" t="s">
        <v>1431</v>
      </c>
      <c r="AJ161" s="1">
        <v>0.342</v>
      </c>
      <c r="AK161" s="1">
        <v>-0.265</v>
      </c>
      <c r="AY161" s="2">
        <f>HYPERLINK("https://vdatum.noaa.gov/vdatumweb/api/convert?s_x=-75.512&amp;s_y=35.35014&amp;s_z=0.0&amp;region=contiguous&amp;s_h_frame=NAD83_2011&amp;s_coor=geo&amp;s_v_frame=NAVD88&amp;s_v_unit=us_ft&amp;t_h_frame=NAD83_2011&amp;t_coor=geo&amp;t_v_frame=MLLW&amp;t_v_unit=us_ft", "NAVD88 to MLLW")</f>
        <v>0</v>
      </c>
      <c r="AZ161" s="2">
        <f>HYPERLINK("https://vdatum.noaa.gov/vdatumweb/api/convert?s_x=-75.512&amp;s_y=35.35014&amp;s_z=0.0&amp;region=contiguous&amp;s_h_frame=NAD83_2011&amp;s_coor=geo&amp;s_v_frame=NAVD88&amp;s_v_unit=us_ft&amp;t_h_frame=NAD83_2011&amp;t_coor=geo&amp;t_v_frame=MHHW&amp;t_v_unit=us_ft", "NAVD88 to MHHW")</f>
        <v>0</v>
      </c>
    </row>
    <row r="162" spans="1:52">
      <c r="A162" s="1" t="s">
        <v>186</v>
      </c>
      <c r="B162" s="1" t="s">
        <v>620</v>
      </c>
      <c r="C162" s="1" t="s">
        <v>645</v>
      </c>
      <c r="D162" s="1" t="s">
        <v>652</v>
      </c>
      <c r="E162" s="1" t="s">
        <v>714</v>
      </c>
      <c r="F162" s="1" t="s">
        <v>832</v>
      </c>
      <c r="G162" s="1" t="s">
        <v>854</v>
      </c>
      <c r="L162" s="1">
        <v>-75.7042</v>
      </c>
      <c r="M162" s="1">
        <v>35.20864</v>
      </c>
      <c r="N162" s="1">
        <v>8654467</v>
      </c>
      <c r="O162" s="1" t="s">
        <v>860</v>
      </c>
      <c r="P162" s="1" t="s">
        <v>866</v>
      </c>
      <c r="Q162" s="2">
        <f>HYPERLINK("https://tidesandcurrents.noaa.gov/stationhome.html?id=8654467", "Station Info")</f>
        <v>0</v>
      </c>
      <c r="R162" s="2">
        <f>HYPERLINK("https://tidesandcurrents.noaa.gov/datums.html?datum=MLLW&amp;units=0&amp;epoch=0&amp;id=8654467", "Datum Info")</f>
        <v>0</v>
      </c>
      <c r="S162" s="2">
        <f>HYPERLINK("https://api.tidesandcurrents.noaa.gov/mdapi/prod/webapi/stations/8654467.json", "More Info")</f>
        <v>0</v>
      </c>
      <c r="T162" s="1">
        <v>3131041</v>
      </c>
      <c r="U162" s="1">
        <v>0</v>
      </c>
      <c r="V162" s="1" t="s">
        <v>869</v>
      </c>
      <c r="W162" s="1" t="s">
        <v>874</v>
      </c>
      <c r="X162" s="1" t="s">
        <v>886</v>
      </c>
      <c r="Y162" s="1">
        <v>0.65</v>
      </c>
      <c r="Z162" s="1">
        <v>0.54</v>
      </c>
      <c r="AA162" s="1">
        <v>0.31</v>
      </c>
      <c r="AB162" s="1">
        <v>0.32</v>
      </c>
      <c r="AC162" s="1">
        <v>0.33</v>
      </c>
      <c r="AD162" s="1">
        <v>0.08</v>
      </c>
      <c r="AE162" s="1">
        <v>0</v>
      </c>
      <c r="AF162" s="1">
        <v>0.39</v>
      </c>
      <c r="AG162" s="1">
        <v>-27.47</v>
      </c>
      <c r="AH162" s="1" t="s">
        <v>1163</v>
      </c>
      <c r="AI162" s="1" t="s">
        <v>1432</v>
      </c>
      <c r="AJ162" s="1">
        <v>0.503</v>
      </c>
      <c r="AK162" s="1">
        <v>-0.079</v>
      </c>
      <c r="AY162" s="2">
        <f>HYPERLINK("https://vdatum.noaa.gov/vdatumweb/api/convert?s_x=-75.7042&amp;s_y=35.20864&amp;s_z=0.0&amp;region=contiguous&amp;s_h_frame=NAD83_2011&amp;s_coor=geo&amp;s_v_frame=NAVD88&amp;s_v_unit=us_ft&amp;t_h_frame=NAD83_2011&amp;t_coor=geo&amp;t_v_frame=MLLW&amp;t_v_unit=us_ft", "NAVD88 to MLLW")</f>
        <v>0</v>
      </c>
      <c r="AZ162" s="2">
        <f>HYPERLINK("https://vdatum.noaa.gov/vdatumweb/api/convert?s_x=-75.7042&amp;s_y=35.20864&amp;s_z=0.0&amp;region=contiguous&amp;s_h_frame=NAD83_2011&amp;s_coor=geo&amp;s_v_frame=NAVD88&amp;s_v_unit=us_ft&amp;t_h_frame=NAD83_2011&amp;t_coor=geo&amp;t_v_frame=MHHW&amp;t_v_unit=us_ft", "NAVD88 to MHHW")</f>
        <v>0</v>
      </c>
    </row>
    <row r="163" spans="1:52">
      <c r="A163" s="1" t="s">
        <v>187</v>
      </c>
      <c r="B163" s="1" t="s">
        <v>620</v>
      </c>
      <c r="D163" s="1" t="s">
        <v>652</v>
      </c>
      <c r="E163" s="1" t="s">
        <v>715</v>
      </c>
      <c r="F163" s="1" t="s">
        <v>832</v>
      </c>
      <c r="G163" s="1" t="s">
        <v>854</v>
      </c>
      <c r="L163" s="1">
        <v>-75.988333</v>
      </c>
      <c r="M163" s="1">
        <v>35.115</v>
      </c>
      <c r="N163" s="1">
        <v>8654792</v>
      </c>
      <c r="O163" s="1" t="s">
        <v>861</v>
      </c>
      <c r="P163" s="1" t="s">
        <v>866</v>
      </c>
      <c r="Q163" s="2">
        <f>HYPERLINK("https://tidesandcurrents.noaa.gov/stationhome.html?id=8654792", "Station Info")</f>
        <v>0</v>
      </c>
      <c r="R163" s="2">
        <f>HYPERLINK("https://tidesandcurrents.noaa.gov/datums.html?datum=MLLW&amp;units=0&amp;epoch=0&amp;id=8654792", "Datum Info")</f>
        <v>0</v>
      </c>
      <c r="S163" s="2">
        <f>HYPERLINK("https://api.tidesandcurrents.noaa.gov/mdapi/prod/webapi/stations/8654792.json", "More Info")</f>
        <v>0</v>
      </c>
      <c r="T163" s="1">
        <v>5195132</v>
      </c>
      <c r="U163" s="1">
        <v>0</v>
      </c>
      <c r="V163" s="1" t="s">
        <v>869</v>
      </c>
      <c r="W163" s="1" t="s">
        <v>874</v>
      </c>
      <c r="X163" s="1" t="s">
        <v>886</v>
      </c>
      <c r="Y163" s="1">
        <v>1.17</v>
      </c>
      <c r="Z163" s="1">
        <v>1.05</v>
      </c>
      <c r="AA163" s="1">
        <v>0.55</v>
      </c>
      <c r="AB163" s="1">
        <v>0.52</v>
      </c>
      <c r="AC163" s="1">
        <v>0.58</v>
      </c>
      <c r="AD163" s="1">
        <v>0.06</v>
      </c>
      <c r="AE163" s="1">
        <v>0</v>
      </c>
      <c r="AF163" s="1" t="s">
        <v>996</v>
      </c>
      <c r="AG163" s="1">
        <v>-2.97</v>
      </c>
      <c r="AH163" s="1" t="s">
        <v>1164</v>
      </c>
      <c r="AI163" s="1" t="s">
        <v>1433</v>
      </c>
      <c r="AJ163" s="1">
        <v>0.6899999999999999</v>
      </c>
      <c r="AK163" s="1">
        <v>-0.486</v>
      </c>
      <c r="AY163" s="2">
        <f>HYPERLINK("https://vdatum.noaa.gov/vdatumweb/api/convert?s_x=-75.988333&amp;s_y=35.115&amp;s_z=0.0&amp;region=contiguous&amp;s_h_frame=NAD83_2011&amp;s_coor=geo&amp;s_v_frame=NAVD88&amp;s_v_unit=us_ft&amp;t_h_frame=NAD83_2011&amp;t_coor=geo&amp;t_v_frame=MLLW&amp;t_v_unit=us_ft", "NAVD88 to MLLW")</f>
        <v>0</v>
      </c>
      <c r="AZ163" s="2">
        <f>HYPERLINK("https://vdatum.noaa.gov/vdatumweb/api/convert?s_x=-75.988333&amp;s_y=35.115&amp;s_z=0.0&amp;region=contiguous&amp;s_h_frame=NAD83_2011&amp;s_coor=geo&amp;s_v_frame=NAVD88&amp;s_v_unit=us_ft&amp;t_h_frame=NAD83_2011&amp;t_coor=geo&amp;t_v_frame=MHHW&amp;t_v_unit=us_ft", "NAVD88 to MHHW")</f>
        <v>0</v>
      </c>
    </row>
    <row r="164" spans="1:52">
      <c r="A164" s="1" t="s">
        <v>188</v>
      </c>
      <c r="B164" s="1" t="s">
        <v>620</v>
      </c>
      <c r="D164" s="1" t="s">
        <v>652</v>
      </c>
      <c r="L164" s="1">
        <v>-76.31</v>
      </c>
      <c r="M164" s="1">
        <v>35.02</v>
      </c>
      <c r="N164" s="1">
        <v>8655151</v>
      </c>
      <c r="O164" s="1" t="s">
        <v>861</v>
      </c>
      <c r="P164" s="1" t="s">
        <v>866</v>
      </c>
      <c r="Q164" s="2">
        <f>HYPERLINK("https://tidesandcurrents.noaa.gov/stationhome.html?id=8655151", "Station Info")</f>
        <v>0</v>
      </c>
      <c r="R164" s="2">
        <f>HYPERLINK("https://tidesandcurrents.noaa.gov/datums.html?datum=MLLW&amp;units=0&amp;epoch=0&amp;id=8655151", "Datum Info")</f>
        <v>0</v>
      </c>
      <c r="S164" s="2">
        <f>HYPERLINK("https://api.tidesandcurrents.noaa.gov/mdapi/prod/webapi/stations/8655151.json", "More Info")</f>
        <v>0</v>
      </c>
      <c r="T164" s="1">
        <v>6302357</v>
      </c>
      <c r="U164" s="1">
        <v>0</v>
      </c>
      <c r="V164" s="1" t="s">
        <v>869</v>
      </c>
      <c r="W164" s="1" t="s">
        <v>874</v>
      </c>
      <c r="X164" s="1" t="s">
        <v>886</v>
      </c>
      <c r="Y164" s="1">
        <v>0.42</v>
      </c>
      <c r="Z164" s="1">
        <v>0.38</v>
      </c>
      <c r="AA164" s="1">
        <v>0.2</v>
      </c>
      <c r="AB164" s="1">
        <v>0.12</v>
      </c>
      <c r="AC164" s="1">
        <v>0.21</v>
      </c>
      <c r="AD164" s="1">
        <v>0.01</v>
      </c>
      <c r="AE164" s="1">
        <v>0</v>
      </c>
      <c r="AF164" s="1" t="s">
        <v>997</v>
      </c>
      <c r="AG164" s="1">
        <v>-2.99</v>
      </c>
      <c r="AH164" s="1" t="s">
        <v>1165</v>
      </c>
      <c r="AI164" s="1" t="s">
        <v>1427</v>
      </c>
      <c r="AJ164" s="1">
        <v>0.01</v>
      </c>
      <c r="AK164" s="1">
        <v>0.01</v>
      </c>
      <c r="AY164" s="2">
        <f>HYPERLINK("https://vdatum.noaa.gov/vdatumweb/api/convert?s_x=-76.31&amp;s_y=35.02&amp;s_z=0.0&amp;region=contiguous&amp;s_h_frame=NAD83_2011&amp;s_coor=geo&amp;s_v_frame=NAVD88&amp;s_v_unit=us_ft&amp;t_h_frame=NAD83_2011&amp;t_coor=geo&amp;t_v_frame=MLLW&amp;t_v_unit=us_ft", "NAVD88 to MLLW")</f>
        <v>0</v>
      </c>
      <c r="AZ164" s="2">
        <f>HYPERLINK("https://vdatum.noaa.gov/vdatumweb/api/convert?s_x=-76.31&amp;s_y=35.02&amp;s_z=0.0&amp;region=contiguous&amp;s_h_frame=NAD83_2011&amp;s_coor=geo&amp;s_v_frame=NAVD88&amp;s_v_unit=us_ft&amp;t_h_frame=NAD83_2011&amp;t_coor=geo&amp;t_v_frame=MHHW&amp;t_v_unit=us_ft", "NAVD88 to MHHW")</f>
        <v>0</v>
      </c>
    </row>
    <row r="165" spans="1:52">
      <c r="A165" s="1" t="s">
        <v>189</v>
      </c>
      <c r="B165" s="1" t="s">
        <v>620</v>
      </c>
      <c r="D165" s="1" t="s">
        <v>652</v>
      </c>
      <c r="L165" s="1">
        <v>-76.67</v>
      </c>
      <c r="M165" s="1">
        <v>34.72</v>
      </c>
      <c r="N165" s="1">
        <v>8656483</v>
      </c>
      <c r="O165" s="1" t="s">
        <v>860</v>
      </c>
      <c r="P165" s="1" t="s">
        <v>866</v>
      </c>
      <c r="Q165" s="2">
        <f>HYPERLINK("https://tidesandcurrents.noaa.gov/stationhome.html?id=8656483", "Station Info")</f>
        <v>0</v>
      </c>
      <c r="R165" s="2">
        <f>HYPERLINK("https://tidesandcurrents.noaa.gov/datums.html?datum=MLLW&amp;units=0&amp;epoch=0&amp;id=8656483", "Datum Info")</f>
        <v>0</v>
      </c>
      <c r="S165" s="2">
        <f>HYPERLINK("https://api.tidesandcurrents.noaa.gov/mdapi/prod/webapi/stations/8656483.json", "More Info")</f>
        <v>0</v>
      </c>
      <c r="T165" s="1">
        <v>6920117</v>
      </c>
      <c r="U165" s="1">
        <v>0</v>
      </c>
      <c r="V165" s="1" t="s">
        <v>869</v>
      </c>
      <c r="W165" s="1" t="s">
        <v>874</v>
      </c>
      <c r="X165" s="1" t="s">
        <v>886</v>
      </c>
      <c r="Y165" s="1">
        <v>3.54</v>
      </c>
      <c r="Z165" s="1">
        <v>3.25</v>
      </c>
      <c r="AA165" s="1">
        <v>1.7</v>
      </c>
      <c r="AB165" s="1">
        <v>1.71</v>
      </c>
      <c r="AC165" s="1">
        <v>1.77</v>
      </c>
      <c r="AD165" s="1">
        <v>0.15</v>
      </c>
      <c r="AE165" s="1">
        <v>0</v>
      </c>
      <c r="AF165" s="1">
        <v>2.08</v>
      </c>
      <c r="AG165" s="1">
        <v>-1.84</v>
      </c>
      <c r="AH165" s="1" t="s">
        <v>1166</v>
      </c>
      <c r="AI165" s="1" t="s">
        <v>1434</v>
      </c>
      <c r="AJ165" s="1">
        <v>2.051</v>
      </c>
      <c r="AK165" s="1">
        <v>-1.486</v>
      </c>
      <c r="AY165" s="2">
        <f>HYPERLINK("https://vdatum.noaa.gov/vdatumweb/api/convert?s_x=-76.67&amp;s_y=34.72&amp;s_z=0.0&amp;region=contiguous&amp;s_h_frame=NAD83_2011&amp;s_coor=geo&amp;s_v_frame=NAVD88&amp;s_v_unit=us_ft&amp;t_h_frame=NAD83_2011&amp;t_coor=geo&amp;t_v_frame=MLLW&amp;t_v_unit=us_ft", "NAVD88 to MLLW")</f>
        <v>0</v>
      </c>
      <c r="AZ165" s="2">
        <f>HYPERLINK("https://vdatum.noaa.gov/vdatumweb/api/convert?s_x=-76.67&amp;s_y=34.72&amp;s_z=0.0&amp;region=contiguous&amp;s_h_frame=NAD83_2011&amp;s_coor=geo&amp;s_v_frame=NAVD88&amp;s_v_unit=us_ft&amp;t_h_frame=NAD83_2011&amp;t_coor=geo&amp;t_v_frame=MHHW&amp;t_v_unit=us_ft", "NAVD88 to MHHW")</f>
        <v>0</v>
      </c>
    </row>
    <row r="166" spans="1:52">
      <c r="A166" s="1" t="s">
        <v>190</v>
      </c>
      <c r="B166" s="1" t="s">
        <v>620</v>
      </c>
      <c r="D166" s="1" t="s">
        <v>652</v>
      </c>
      <c r="L166" s="1">
        <v>-77.495</v>
      </c>
      <c r="M166" s="1">
        <v>34.4517</v>
      </c>
      <c r="N166" s="1">
        <v>8657419</v>
      </c>
      <c r="O166" s="1" t="s">
        <v>861</v>
      </c>
      <c r="P166" s="1" t="s">
        <v>866</v>
      </c>
      <c r="Q166" s="2">
        <f>HYPERLINK("https://tidesandcurrents.noaa.gov/stationhome.html?id=8657419", "Station Info")</f>
        <v>0</v>
      </c>
      <c r="R166" s="2">
        <f>HYPERLINK("https://tidesandcurrents.noaa.gov/datums.html?datum=MLLW&amp;units=0&amp;epoch=0&amp;id=8657419", "Datum Info")</f>
        <v>0</v>
      </c>
      <c r="S166" s="2">
        <f>HYPERLINK("https://api.tidesandcurrents.noaa.gov/mdapi/prod/webapi/stations/8657419.json", "More Info")</f>
        <v>0</v>
      </c>
      <c r="T166" s="1">
        <v>1804150</v>
      </c>
      <c r="U166" s="1">
        <v>0</v>
      </c>
      <c r="V166" s="1" t="s">
        <v>869</v>
      </c>
      <c r="W166" s="1" t="s">
        <v>874</v>
      </c>
      <c r="X166" s="1" t="s">
        <v>886</v>
      </c>
      <c r="Y166" s="1">
        <v>4.67</v>
      </c>
      <c r="Z166" s="1">
        <v>4.35</v>
      </c>
      <c r="AA166" s="1">
        <v>2.25</v>
      </c>
      <c r="AB166" s="1">
        <v>2.26</v>
      </c>
      <c r="AC166" s="1">
        <v>2.34</v>
      </c>
      <c r="AD166" s="1">
        <v>0.15</v>
      </c>
      <c r="AE166" s="1">
        <v>0</v>
      </c>
      <c r="AF166" s="1" t="s">
        <v>998</v>
      </c>
      <c r="AG166" s="1">
        <v>-3.56</v>
      </c>
      <c r="AH166" s="1" t="s">
        <v>1167</v>
      </c>
      <c r="AI166" s="1" t="s">
        <v>1203</v>
      </c>
      <c r="AJ166" s="1">
        <v>2.616</v>
      </c>
      <c r="AK166" s="1">
        <v>-2.059</v>
      </c>
      <c r="AY166" s="2">
        <f>HYPERLINK("https://vdatum.noaa.gov/vdatumweb/api/convert?s_x=-77.495&amp;s_y=34.4517&amp;s_z=0.0&amp;region=contiguous&amp;s_h_frame=NAD83_2011&amp;s_coor=geo&amp;s_v_frame=NAVD88&amp;s_v_unit=us_ft&amp;t_h_frame=NAD83_2011&amp;t_coor=geo&amp;t_v_frame=MLLW&amp;t_v_unit=us_ft", "NAVD88 to MLLW")</f>
        <v>0</v>
      </c>
      <c r="AZ166" s="2">
        <f>HYPERLINK("https://vdatum.noaa.gov/vdatumweb/api/convert?s_x=-77.495&amp;s_y=34.4517&amp;s_z=0.0&amp;region=contiguous&amp;s_h_frame=NAD83_2011&amp;s_coor=geo&amp;s_v_frame=NAVD88&amp;s_v_unit=us_ft&amp;t_h_frame=NAD83_2011&amp;t_coor=geo&amp;t_v_frame=MHHW&amp;t_v_unit=us_ft", "NAVD88 to MHHW")</f>
        <v>0</v>
      </c>
    </row>
    <row r="167" spans="1:52">
      <c r="A167" s="1" t="s">
        <v>191</v>
      </c>
      <c r="B167" s="1" t="s">
        <v>620</v>
      </c>
      <c r="D167" s="1" t="s">
        <v>652</v>
      </c>
      <c r="L167" s="1">
        <v>-76.04000000000001</v>
      </c>
      <c r="M167" s="1">
        <v>35.65</v>
      </c>
      <c r="N167" s="1" t="s">
        <v>859</v>
      </c>
      <c r="O167" s="1" t="s">
        <v>861</v>
      </c>
      <c r="P167" s="1" t="s">
        <v>859</v>
      </c>
      <c r="T167" s="1">
        <v>8149510</v>
      </c>
      <c r="U167" s="1">
        <v>0</v>
      </c>
      <c r="V167" s="1" t="s">
        <v>869</v>
      </c>
      <c r="W167" s="1" t="s">
        <v>874</v>
      </c>
      <c r="AJ167" s="1">
        <v>0.127</v>
      </c>
      <c r="AK167" s="1">
        <v>0.127</v>
      </c>
      <c r="AY167" s="2">
        <f>HYPERLINK("https://vdatum.noaa.gov/vdatumweb/api/convert?s_x=-76.04&amp;s_y=35.65&amp;s_z=0.0&amp;region=contiguous&amp;s_h_frame=NAD83_2011&amp;s_coor=geo&amp;s_v_frame=NAVD88&amp;s_v_unit=us_ft&amp;t_h_frame=NAD83_2011&amp;t_coor=geo&amp;t_v_frame=MLLW&amp;t_v_unit=us_ft", "NAVD88 to MLLW")</f>
        <v>0</v>
      </c>
      <c r="AZ167" s="2">
        <f>HYPERLINK("https://vdatum.noaa.gov/vdatumweb/api/convert?s_x=-76.04&amp;s_y=35.65&amp;s_z=0.0&amp;region=contiguous&amp;s_h_frame=NAD83_2011&amp;s_coor=geo&amp;s_v_frame=NAVD88&amp;s_v_unit=us_ft&amp;t_h_frame=NAD83_2011&amp;t_coor=geo&amp;t_v_frame=MHHW&amp;t_v_unit=us_ft", "NAVD88 to MHHW")</f>
        <v>0</v>
      </c>
    </row>
    <row r="168" spans="1:52">
      <c r="A168" s="1" t="s">
        <v>192</v>
      </c>
      <c r="B168" s="1" t="s">
        <v>620</v>
      </c>
      <c r="C168" s="1" t="s">
        <v>645</v>
      </c>
      <c r="D168" s="1" t="s">
        <v>652</v>
      </c>
      <c r="L168" s="1">
        <v>-77.04000000000001</v>
      </c>
      <c r="M168" s="1">
        <v>35.1</v>
      </c>
      <c r="N168" s="1" t="s">
        <v>859</v>
      </c>
      <c r="O168" s="1" t="s">
        <v>861</v>
      </c>
      <c r="P168" s="1" t="s">
        <v>859</v>
      </c>
      <c r="T168" s="1">
        <v>6581263</v>
      </c>
      <c r="U168" s="1">
        <v>0</v>
      </c>
      <c r="V168" s="1" t="s">
        <v>869</v>
      </c>
      <c r="W168" s="1" t="s">
        <v>874</v>
      </c>
      <c r="AJ168" s="1">
        <v>0.275</v>
      </c>
      <c r="AK168" s="1">
        <v>0.275</v>
      </c>
      <c r="AY168" s="2">
        <f>HYPERLINK("https://vdatum.noaa.gov/vdatumweb/api/convert?s_x=-77.04&amp;s_y=35.1&amp;s_z=0.0&amp;region=contiguous&amp;s_h_frame=NAD83_2011&amp;s_coor=geo&amp;s_v_frame=NAVD88&amp;s_v_unit=us_ft&amp;t_h_frame=NAD83_2011&amp;t_coor=geo&amp;t_v_frame=MLLW&amp;t_v_unit=us_ft", "NAVD88 to MLLW")</f>
        <v>0</v>
      </c>
      <c r="AZ168" s="2">
        <f>HYPERLINK("https://vdatum.noaa.gov/vdatumweb/api/convert?s_x=-77.04&amp;s_y=35.1&amp;s_z=0.0&amp;region=contiguous&amp;s_h_frame=NAD83_2011&amp;s_coor=geo&amp;s_v_frame=NAVD88&amp;s_v_unit=us_ft&amp;t_h_frame=NAD83_2011&amp;t_coor=geo&amp;t_v_frame=MHHW&amp;t_v_unit=us_ft", "NAVD88 to MHHW")</f>
        <v>0</v>
      </c>
    </row>
    <row r="169" spans="1:52">
      <c r="A169" s="1" t="s">
        <v>193</v>
      </c>
      <c r="B169" s="1" t="s">
        <v>620</v>
      </c>
      <c r="C169" s="1" t="s">
        <v>645</v>
      </c>
      <c r="D169" s="1" t="s">
        <v>652</v>
      </c>
      <c r="E169" s="1" t="s">
        <v>688</v>
      </c>
      <c r="F169" s="1" t="s">
        <v>832</v>
      </c>
      <c r="G169" s="1" t="s">
        <v>854</v>
      </c>
      <c r="L169" s="1">
        <v>-76.62</v>
      </c>
      <c r="M169" s="1">
        <v>35.54</v>
      </c>
      <c r="N169" s="1" t="s">
        <v>859</v>
      </c>
      <c r="O169" s="1" t="s">
        <v>861</v>
      </c>
      <c r="P169" s="1" t="s">
        <v>859</v>
      </c>
      <c r="T169" s="1">
        <v>7326074</v>
      </c>
      <c r="U169" s="1">
        <v>0</v>
      </c>
      <c r="V169" s="1" t="s">
        <v>869</v>
      </c>
      <c r="W169" s="1" t="s">
        <v>874</v>
      </c>
      <c r="AJ169" s="1">
        <v>0.54</v>
      </c>
      <c r="AK169" s="1">
        <v>-0.156</v>
      </c>
      <c r="AY169" s="2">
        <f>HYPERLINK("https://vdatum.noaa.gov/vdatumweb/api/convert?s_x=-76.62&amp;s_y=35.54&amp;s_z=0.0&amp;region=contiguous&amp;s_h_frame=NAD83_2011&amp;s_coor=geo&amp;s_v_frame=NAVD88&amp;s_v_unit=us_ft&amp;t_h_frame=NAD83_2011&amp;t_coor=geo&amp;t_v_frame=MLLW&amp;t_v_unit=us_ft", "NAVD88 to MLLW")</f>
        <v>0</v>
      </c>
      <c r="AZ169" s="2">
        <f>HYPERLINK("https://vdatum.noaa.gov/vdatumweb/api/convert?s_x=-76.62&amp;s_y=35.54&amp;s_z=0.0&amp;region=contiguous&amp;s_h_frame=NAD83_2011&amp;s_coor=geo&amp;s_v_frame=NAVD88&amp;s_v_unit=us_ft&amp;t_h_frame=NAD83_2011&amp;t_coor=geo&amp;t_v_frame=MHHW&amp;t_v_unit=us_ft", "NAVD88 to MHHW")</f>
        <v>0</v>
      </c>
    </row>
    <row r="170" spans="1:52">
      <c r="A170" s="1" t="s">
        <v>194</v>
      </c>
      <c r="B170" s="1" t="s">
        <v>620</v>
      </c>
      <c r="D170" s="1" t="s">
        <v>652</v>
      </c>
      <c r="L170" s="1">
        <v>-77.09999999999999</v>
      </c>
      <c r="M170" s="1">
        <v>34.65</v>
      </c>
      <c r="N170" s="1" t="s">
        <v>859</v>
      </c>
      <c r="O170" s="1" t="s">
        <v>861</v>
      </c>
      <c r="P170" s="1" t="s">
        <v>859</v>
      </c>
      <c r="T170" s="1">
        <v>3484890</v>
      </c>
      <c r="U170" s="1">
        <v>0</v>
      </c>
      <c r="V170" s="1" t="s">
        <v>869</v>
      </c>
      <c r="W170" s="1" t="s">
        <v>874</v>
      </c>
      <c r="AJ170" s="1">
        <v>2.134</v>
      </c>
      <c r="AK170" s="1">
        <v>-1.612</v>
      </c>
      <c r="AY170" s="2">
        <f>HYPERLINK("https://vdatum.noaa.gov/vdatumweb/api/convert?s_x=-77.1&amp;s_y=34.65&amp;s_z=0.0&amp;region=contiguous&amp;s_h_frame=NAD83_2011&amp;s_coor=geo&amp;s_v_frame=NAVD88&amp;s_v_unit=us_ft&amp;t_h_frame=NAD83_2011&amp;t_coor=geo&amp;t_v_frame=MLLW&amp;t_v_unit=us_ft", "NAVD88 to MLLW")</f>
        <v>0</v>
      </c>
      <c r="AZ170" s="2">
        <f>HYPERLINK("https://vdatum.noaa.gov/vdatumweb/api/convert?s_x=-77.1&amp;s_y=34.65&amp;s_z=0.0&amp;region=contiguous&amp;s_h_frame=NAD83_2011&amp;s_coor=geo&amp;s_v_frame=NAVD88&amp;s_v_unit=us_ft&amp;t_h_frame=NAD83_2011&amp;t_coor=geo&amp;t_v_frame=MHHW&amp;t_v_unit=us_ft", "NAVD88 to MHHW")</f>
        <v>0</v>
      </c>
    </row>
    <row r="171" spans="1:52">
      <c r="A171" s="1" t="s">
        <v>195</v>
      </c>
      <c r="B171" s="1" t="s">
        <v>620</v>
      </c>
      <c r="C171" s="1" t="s">
        <v>645</v>
      </c>
      <c r="D171" s="1" t="s">
        <v>652</v>
      </c>
      <c r="E171" s="1" t="s">
        <v>716</v>
      </c>
      <c r="F171" s="1" t="s">
        <v>832</v>
      </c>
      <c r="G171" s="1" t="s">
        <v>854</v>
      </c>
      <c r="L171" s="1">
        <v>-76.25</v>
      </c>
      <c r="M171" s="1">
        <v>35.92</v>
      </c>
      <c r="N171" s="1" t="s">
        <v>859</v>
      </c>
      <c r="O171" s="1" t="s">
        <v>861</v>
      </c>
      <c r="P171" s="1" t="s">
        <v>859</v>
      </c>
      <c r="T171" s="1">
        <v>8741679</v>
      </c>
      <c r="U171" s="1">
        <v>0</v>
      </c>
      <c r="V171" s="1" t="s">
        <v>869</v>
      </c>
      <c r="W171" s="1" t="s">
        <v>874</v>
      </c>
      <c r="AJ171" s="1">
        <v>-999999</v>
      </c>
      <c r="AK171" s="1">
        <v>-999999</v>
      </c>
      <c r="AY171" s="2">
        <f>HYPERLINK("https://vdatum.noaa.gov/vdatumweb/api/convert?s_x=-76.25&amp;s_y=35.92&amp;s_z=0.0&amp;region=contiguous&amp;s_h_frame=NAD83_2011&amp;s_coor=geo&amp;s_v_frame=NAVD88&amp;s_v_unit=us_ft&amp;t_h_frame=NAD83_2011&amp;t_coor=geo&amp;t_v_frame=MLLW&amp;t_v_unit=us_ft", "Missing")</f>
        <v>0</v>
      </c>
      <c r="AZ171" s="2">
        <f>HYPERLINK("https://vdatum.noaa.gov/vdatumweb/api/convert?s_x=-76.25&amp;s_y=35.92&amp;s_z=0.0&amp;region=contiguous&amp;s_h_frame=NAD83_2011&amp;s_coor=geo&amp;s_v_frame=NAVD88&amp;s_v_unit=us_ft&amp;t_h_frame=NAD83_2011&amp;t_coor=geo&amp;t_v_frame=MHHW&amp;t_v_unit=us_ft", "Missing")</f>
        <v>0</v>
      </c>
    </row>
    <row r="172" spans="1:52">
      <c r="A172" s="1" t="s">
        <v>196</v>
      </c>
      <c r="B172" s="1" t="s">
        <v>620</v>
      </c>
      <c r="C172" s="1" t="s">
        <v>645</v>
      </c>
      <c r="D172" s="1" t="s">
        <v>652</v>
      </c>
      <c r="E172" s="1" t="s">
        <v>715</v>
      </c>
      <c r="F172" s="1" t="s">
        <v>832</v>
      </c>
      <c r="G172" s="1" t="s">
        <v>854</v>
      </c>
      <c r="L172" s="1">
        <v>-75.98999999999999</v>
      </c>
      <c r="M172" s="1">
        <v>35.51</v>
      </c>
      <c r="N172" s="1" t="s">
        <v>859</v>
      </c>
      <c r="O172" s="1" t="s">
        <v>860</v>
      </c>
      <c r="P172" s="1" t="s">
        <v>859</v>
      </c>
      <c r="T172" s="1">
        <v>7323174</v>
      </c>
      <c r="U172" s="1">
        <v>0</v>
      </c>
      <c r="V172" s="1" t="s">
        <v>869</v>
      </c>
      <c r="W172" s="1" t="s">
        <v>874</v>
      </c>
      <c r="AJ172" s="1">
        <v>0.433</v>
      </c>
      <c r="AK172" s="1">
        <v>-0.235</v>
      </c>
      <c r="AY172" s="2">
        <f>HYPERLINK("https://vdatum.noaa.gov/vdatumweb/api/convert?s_x=-75.99&amp;s_y=35.51&amp;s_z=0.0&amp;region=contiguous&amp;s_h_frame=NAD83_2011&amp;s_coor=geo&amp;s_v_frame=NAVD88&amp;s_v_unit=us_ft&amp;t_h_frame=NAD83_2011&amp;t_coor=geo&amp;t_v_frame=MLLW&amp;t_v_unit=us_ft", "NAVD88 to MLLW")</f>
        <v>0</v>
      </c>
      <c r="AZ172" s="2">
        <f>HYPERLINK("https://vdatum.noaa.gov/vdatumweb/api/convert?s_x=-75.99&amp;s_y=35.51&amp;s_z=0.0&amp;region=contiguous&amp;s_h_frame=NAD83_2011&amp;s_coor=geo&amp;s_v_frame=NAVD88&amp;s_v_unit=us_ft&amp;t_h_frame=NAD83_2011&amp;t_coor=geo&amp;t_v_frame=MHHW&amp;t_v_unit=us_ft", "NAVD88 to MHHW")</f>
        <v>0</v>
      </c>
    </row>
    <row r="173" spans="1:52">
      <c r="A173" s="1" t="s">
        <v>197</v>
      </c>
      <c r="B173" s="1" t="s">
        <v>620</v>
      </c>
      <c r="C173" s="1" t="s">
        <v>645</v>
      </c>
      <c r="D173" s="1" t="s">
        <v>652</v>
      </c>
      <c r="L173" s="1">
        <v>-77.0634</v>
      </c>
      <c r="M173" s="1">
        <v>34.6677</v>
      </c>
      <c r="N173" s="1" t="s">
        <v>859</v>
      </c>
      <c r="O173" s="1" t="s">
        <v>861</v>
      </c>
      <c r="P173" s="1" t="s">
        <v>859</v>
      </c>
      <c r="T173" s="1">
        <v>3815606</v>
      </c>
      <c r="U173" s="1">
        <v>0</v>
      </c>
      <c r="V173" s="1" t="s">
        <v>869</v>
      </c>
      <c r="W173" s="1" t="s">
        <v>874</v>
      </c>
      <c r="AJ173" s="1">
        <v>1.213</v>
      </c>
      <c r="AK173" s="1">
        <v>-0.616</v>
      </c>
      <c r="AY173" s="2">
        <f>HYPERLINK("https://vdatum.noaa.gov/vdatumweb/api/convert?s_x=-77.0634&amp;s_y=34.6677&amp;s_z=0.0&amp;region=contiguous&amp;s_h_frame=NAD83_2011&amp;s_coor=geo&amp;s_v_frame=NAVD88&amp;s_v_unit=us_ft&amp;t_h_frame=NAD83_2011&amp;t_coor=geo&amp;t_v_frame=MLLW&amp;t_v_unit=us_ft", "NAVD88 to MLLW")</f>
        <v>0</v>
      </c>
      <c r="AZ173" s="2">
        <f>HYPERLINK("https://vdatum.noaa.gov/vdatumweb/api/convert?s_x=-77.0634&amp;s_y=34.6677&amp;s_z=0.0&amp;region=contiguous&amp;s_h_frame=NAD83_2011&amp;s_coor=geo&amp;s_v_frame=NAVD88&amp;s_v_unit=us_ft&amp;t_h_frame=NAD83_2011&amp;t_coor=geo&amp;t_v_frame=MHHW&amp;t_v_unit=us_ft", "NAVD88 to MHHW")</f>
        <v>0</v>
      </c>
    </row>
    <row r="174" spans="1:52">
      <c r="A174" s="1" t="s">
        <v>198</v>
      </c>
      <c r="B174" s="1" t="s">
        <v>620</v>
      </c>
      <c r="C174" s="1" t="s">
        <v>645</v>
      </c>
      <c r="D174" s="1" t="s">
        <v>652</v>
      </c>
      <c r="E174" s="1" t="s">
        <v>714</v>
      </c>
      <c r="F174" s="1" t="s">
        <v>832</v>
      </c>
      <c r="G174" s="1" t="s">
        <v>854</v>
      </c>
      <c r="L174" s="1">
        <v>-75.5218</v>
      </c>
      <c r="M174" s="1">
        <v>35.2676</v>
      </c>
      <c r="N174" s="1" t="s">
        <v>859</v>
      </c>
      <c r="O174" s="1" t="s">
        <v>861</v>
      </c>
      <c r="P174" s="1" t="s">
        <v>859</v>
      </c>
      <c r="T174" s="1">
        <v>2902838</v>
      </c>
      <c r="U174" s="1">
        <v>0</v>
      </c>
      <c r="V174" s="1" t="s">
        <v>869</v>
      </c>
      <c r="W174" s="1" t="s">
        <v>874</v>
      </c>
      <c r="AJ174" s="1">
        <v>0.414</v>
      </c>
      <c r="AK174" s="1">
        <v>-0.225</v>
      </c>
      <c r="AY174" s="2">
        <f>HYPERLINK("https://vdatum.noaa.gov/vdatumweb/api/convert?s_x=-75.5218&amp;s_y=35.2676&amp;s_z=0.0&amp;region=contiguous&amp;s_h_frame=NAD83_2011&amp;s_coor=geo&amp;s_v_frame=NAVD88&amp;s_v_unit=us_ft&amp;t_h_frame=NAD83_2011&amp;t_coor=geo&amp;t_v_frame=MLLW&amp;t_v_unit=us_ft", "NAVD88 to MLLW")</f>
        <v>0</v>
      </c>
      <c r="AZ174" s="2">
        <f>HYPERLINK("https://vdatum.noaa.gov/vdatumweb/api/convert?s_x=-75.5218&amp;s_y=35.2676&amp;s_z=0.0&amp;region=contiguous&amp;s_h_frame=NAD83_2011&amp;s_coor=geo&amp;s_v_frame=NAVD88&amp;s_v_unit=us_ft&amp;t_h_frame=NAD83_2011&amp;t_coor=geo&amp;t_v_frame=MHHW&amp;t_v_unit=us_ft", "NAVD88 to MHHW")</f>
        <v>0</v>
      </c>
    </row>
    <row r="175" spans="1:52">
      <c r="A175" s="1" t="s">
        <v>199</v>
      </c>
      <c r="B175" s="1" t="s">
        <v>620</v>
      </c>
      <c r="C175" s="1" t="s">
        <v>645</v>
      </c>
      <c r="D175" s="1" t="s">
        <v>652</v>
      </c>
      <c r="E175" s="1" t="s">
        <v>717</v>
      </c>
      <c r="F175" s="1" t="s">
        <v>832</v>
      </c>
      <c r="G175" s="1" t="s">
        <v>854</v>
      </c>
      <c r="L175" s="1">
        <v>-77.17583</v>
      </c>
      <c r="M175" s="1">
        <v>35.57389</v>
      </c>
      <c r="N175" s="1" t="s">
        <v>859</v>
      </c>
      <c r="O175" s="1" t="s">
        <v>861</v>
      </c>
      <c r="P175" s="1" t="s">
        <v>859</v>
      </c>
      <c r="T175" s="1">
        <v>3660720</v>
      </c>
      <c r="U175" s="1">
        <v>0</v>
      </c>
      <c r="V175" s="1" t="s">
        <v>869</v>
      </c>
      <c r="W175" s="1" t="s">
        <v>874</v>
      </c>
      <c r="AJ175" s="1">
        <v>-999999</v>
      </c>
      <c r="AK175" s="1">
        <v>-999999</v>
      </c>
      <c r="AY175" s="2">
        <f>HYPERLINK("https://vdatum.noaa.gov/vdatumweb/api/convert?s_x=-77.17583&amp;s_y=35.57389&amp;s_z=0.0&amp;region=contiguous&amp;s_h_frame=NAD83_2011&amp;s_coor=geo&amp;s_v_frame=NAVD88&amp;s_v_unit=us_ft&amp;t_h_frame=NAD83_2011&amp;t_coor=geo&amp;t_v_frame=MLLW&amp;t_v_unit=us_ft", "Missing")</f>
        <v>0</v>
      </c>
      <c r="AZ175" s="2">
        <f>HYPERLINK("https://vdatum.noaa.gov/vdatumweb/api/convert?s_x=-77.17583&amp;s_y=35.57389&amp;s_z=0.0&amp;region=contiguous&amp;s_h_frame=NAD83_2011&amp;s_coor=geo&amp;s_v_frame=NAVD88&amp;s_v_unit=us_ft&amp;t_h_frame=NAD83_2011&amp;t_coor=geo&amp;t_v_frame=MHHW&amp;t_v_unit=us_ft", "Missing")</f>
        <v>0</v>
      </c>
    </row>
    <row r="176" spans="1:52">
      <c r="A176" s="1" t="s">
        <v>200</v>
      </c>
      <c r="B176" s="1" t="s">
        <v>620</v>
      </c>
      <c r="C176" s="1" t="s">
        <v>645</v>
      </c>
      <c r="D176" s="1" t="s">
        <v>652</v>
      </c>
      <c r="E176" s="1" t="s">
        <v>718</v>
      </c>
      <c r="F176" s="1" t="s">
        <v>832</v>
      </c>
      <c r="G176" s="1" t="s">
        <v>854</v>
      </c>
      <c r="L176" s="1">
        <v>-76.923</v>
      </c>
      <c r="M176" s="1">
        <v>34.891</v>
      </c>
      <c r="N176" s="1" t="s">
        <v>859</v>
      </c>
      <c r="O176" s="1" t="s">
        <v>861</v>
      </c>
      <c r="P176" s="1" t="s">
        <v>859</v>
      </c>
      <c r="T176" s="1">
        <v>7552979</v>
      </c>
      <c r="U176" s="1">
        <v>0</v>
      </c>
      <c r="V176" s="1" t="s">
        <v>869</v>
      </c>
      <c r="W176" s="1" t="s">
        <v>874</v>
      </c>
      <c r="AJ176" s="1">
        <v>-999999</v>
      </c>
      <c r="AK176" s="1">
        <v>-999999</v>
      </c>
      <c r="AY176" s="2">
        <f>HYPERLINK("https://vdatum.noaa.gov/vdatumweb/api/convert?s_x=-76.923&amp;s_y=34.891&amp;s_z=0.0&amp;region=contiguous&amp;s_h_frame=NAD83_2011&amp;s_coor=geo&amp;s_v_frame=NAVD88&amp;s_v_unit=us_ft&amp;t_h_frame=NAD83_2011&amp;t_coor=geo&amp;t_v_frame=MLLW&amp;t_v_unit=us_ft", "Missing")</f>
        <v>0</v>
      </c>
      <c r="AZ176" s="2">
        <f>HYPERLINK("https://vdatum.noaa.gov/vdatumweb/api/convert?s_x=-76.923&amp;s_y=34.891&amp;s_z=0.0&amp;region=contiguous&amp;s_h_frame=NAD83_2011&amp;s_coor=geo&amp;s_v_frame=NAVD88&amp;s_v_unit=us_ft&amp;t_h_frame=NAD83_2011&amp;t_coor=geo&amp;t_v_frame=MHHW&amp;t_v_unit=us_ft", "Missing")</f>
        <v>0</v>
      </c>
    </row>
    <row r="177" spans="1:52">
      <c r="A177" s="1" t="s">
        <v>201</v>
      </c>
      <c r="B177" s="1" t="s">
        <v>620</v>
      </c>
      <c r="C177" s="1" t="s">
        <v>645</v>
      </c>
      <c r="D177" s="1" t="s">
        <v>652</v>
      </c>
      <c r="L177" s="1">
        <v>-77.43778</v>
      </c>
      <c r="M177" s="1">
        <v>34.74889</v>
      </c>
      <c r="N177" s="1" t="s">
        <v>859</v>
      </c>
      <c r="O177" s="1" t="s">
        <v>861</v>
      </c>
      <c r="P177" s="1" t="s">
        <v>859</v>
      </c>
      <c r="T177" s="1">
        <v>5070096</v>
      </c>
      <c r="U177" s="1">
        <v>0</v>
      </c>
      <c r="V177" s="1" t="s">
        <v>869</v>
      </c>
      <c r="W177" s="1" t="s">
        <v>874</v>
      </c>
      <c r="AJ177" s="1">
        <v>0.433</v>
      </c>
      <c r="AK177" s="1">
        <v>-0.23</v>
      </c>
      <c r="AY177" s="2">
        <f>HYPERLINK("https://vdatum.noaa.gov/vdatumweb/api/convert?s_x=-77.43778&amp;s_y=34.74889&amp;s_z=0.0&amp;region=contiguous&amp;s_h_frame=NAD83_2011&amp;s_coor=geo&amp;s_v_frame=NAVD88&amp;s_v_unit=us_ft&amp;t_h_frame=NAD83_2011&amp;t_coor=geo&amp;t_v_frame=MLLW&amp;t_v_unit=us_ft", "NAVD88 to MLLW")</f>
        <v>0</v>
      </c>
      <c r="AZ177" s="2">
        <f>HYPERLINK("https://vdatum.noaa.gov/vdatumweb/api/convert?s_x=-77.43778&amp;s_y=34.74889&amp;s_z=0.0&amp;region=contiguous&amp;s_h_frame=NAD83_2011&amp;s_coor=geo&amp;s_v_frame=NAVD88&amp;s_v_unit=us_ft&amp;t_h_frame=NAD83_2011&amp;t_coor=geo&amp;t_v_frame=MHHW&amp;t_v_unit=us_ft", "NAVD88 to MHHW")</f>
        <v>0</v>
      </c>
    </row>
    <row r="178" spans="1:52">
      <c r="A178" s="1" t="s">
        <v>202</v>
      </c>
      <c r="B178" s="1" t="s">
        <v>620</v>
      </c>
      <c r="C178" s="1" t="s">
        <v>645</v>
      </c>
      <c r="D178" s="1" t="s">
        <v>652</v>
      </c>
      <c r="E178" s="1" t="s">
        <v>714</v>
      </c>
      <c r="F178" s="1" t="s">
        <v>832</v>
      </c>
      <c r="G178" s="1" t="s">
        <v>854</v>
      </c>
      <c r="L178" s="1">
        <v>-75.69994</v>
      </c>
      <c r="M178" s="1">
        <v>36.06071</v>
      </c>
      <c r="N178" s="1" t="s">
        <v>859</v>
      </c>
      <c r="O178" s="1" t="s">
        <v>861</v>
      </c>
      <c r="P178" s="1" t="s">
        <v>859</v>
      </c>
      <c r="T178" s="1">
        <v>3308803</v>
      </c>
      <c r="U178" s="1">
        <v>0</v>
      </c>
      <c r="V178" s="1" t="s">
        <v>869</v>
      </c>
      <c r="W178" s="1" t="s">
        <v>874</v>
      </c>
      <c r="AJ178" s="1">
        <v>0.064</v>
      </c>
      <c r="AK178" s="1">
        <v>0.064</v>
      </c>
      <c r="AY178" s="2">
        <f>HYPERLINK("https://vdatum.noaa.gov/vdatumweb/api/convert?s_x=-75.69994&amp;s_y=36.06071&amp;s_z=0.0&amp;region=contiguous&amp;s_h_frame=NAD83_2011&amp;s_coor=geo&amp;s_v_frame=NAVD88&amp;s_v_unit=us_ft&amp;t_h_frame=NAD83_2011&amp;t_coor=geo&amp;t_v_frame=MLLW&amp;t_v_unit=us_ft", "NAVD88 to MLLW")</f>
        <v>0</v>
      </c>
      <c r="AZ178" s="2">
        <f>HYPERLINK("https://vdatum.noaa.gov/vdatumweb/api/convert?s_x=-75.69994&amp;s_y=36.06071&amp;s_z=0.0&amp;region=contiguous&amp;s_h_frame=NAD83_2011&amp;s_coor=geo&amp;s_v_frame=NAVD88&amp;s_v_unit=us_ft&amp;t_h_frame=NAD83_2011&amp;t_coor=geo&amp;t_v_frame=MHHW&amp;t_v_unit=us_ft", "NAVD88 to MHHW")</f>
        <v>0</v>
      </c>
    </row>
    <row r="179" spans="1:52">
      <c r="A179" s="1" t="s">
        <v>203</v>
      </c>
      <c r="B179" s="1" t="s">
        <v>620</v>
      </c>
      <c r="C179" s="1" t="s">
        <v>645</v>
      </c>
      <c r="D179" s="1" t="s">
        <v>652</v>
      </c>
      <c r="E179" s="1" t="s">
        <v>719</v>
      </c>
      <c r="F179" s="1" t="s">
        <v>832</v>
      </c>
      <c r="G179" s="1" t="s">
        <v>854</v>
      </c>
      <c r="L179" s="1">
        <v>-76.6919444</v>
      </c>
      <c r="M179" s="1">
        <v>35.0244</v>
      </c>
      <c r="N179" s="1" t="s">
        <v>859</v>
      </c>
      <c r="O179" s="1" t="s">
        <v>861</v>
      </c>
      <c r="P179" s="1" t="s">
        <v>859</v>
      </c>
      <c r="T179" s="1">
        <v>8691685</v>
      </c>
      <c r="U179" s="1">
        <v>0</v>
      </c>
      <c r="V179" s="1" t="s">
        <v>869</v>
      </c>
      <c r="W179" s="1" t="s">
        <v>874</v>
      </c>
      <c r="AJ179" s="1">
        <v>0.294</v>
      </c>
      <c r="AK179" s="1">
        <v>0.294</v>
      </c>
      <c r="AY179" s="2">
        <f>HYPERLINK("https://vdatum.noaa.gov/vdatumweb/api/convert?s_x=-76.6919444&amp;s_y=35.0244&amp;s_z=0.0&amp;region=contiguous&amp;s_h_frame=NAD83_2011&amp;s_coor=geo&amp;s_v_frame=NAVD88&amp;s_v_unit=us_ft&amp;t_h_frame=NAD83_2011&amp;t_coor=geo&amp;t_v_frame=MLLW&amp;t_v_unit=us_ft", "NAVD88 to MLLW")</f>
        <v>0</v>
      </c>
      <c r="AZ179" s="2">
        <f>HYPERLINK("https://vdatum.noaa.gov/vdatumweb/api/convert?s_x=-76.6919444&amp;s_y=35.0244&amp;s_z=0.0&amp;region=contiguous&amp;s_h_frame=NAD83_2011&amp;s_coor=geo&amp;s_v_frame=NAVD88&amp;s_v_unit=us_ft&amp;t_h_frame=NAD83_2011&amp;t_coor=geo&amp;t_v_frame=MHHW&amp;t_v_unit=us_ft", "NAVD88 to MHHW")</f>
        <v>0</v>
      </c>
    </row>
    <row r="180" spans="1:52">
      <c r="A180" s="1" t="s">
        <v>204</v>
      </c>
      <c r="B180" s="1" t="s">
        <v>620</v>
      </c>
      <c r="C180" s="1" t="s">
        <v>645</v>
      </c>
      <c r="D180" s="1" t="s">
        <v>652</v>
      </c>
      <c r="E180" s="1" t="s">
        <v>715</v>
      </c>
      <c r="F180" s="1" t="s">
        <v>832</v>
      </c>
      <c r="G180" s="1" t="s">
        <v>854</v>
      </c>
      <c r="L180" s="1">
        <v>-76.33</v>
      </c>
      <c r="M180" s="1">
        <v>35.39</v>
      </c>
      <c r="N180" s="1" t="s">
        <v>859</v>
      </c>
      <c r="O180" s="1" t="s">
        <v>861</v>
      </c>
      <c r="P180" s="1" t="s">
        <v>859</v>
      </c>
      <c r="T180" s="1">
        <v>7901299</v>
      </c>
      <c r="U180" s="1">
        <v>0</v>
      </c>
      <c r="V180" s="1" t="s">
        <v>869</v>
      </c>
      <c r="W180" s="1" t="s">
        <v>874</v>
      </c>
      <c r="AJ180" s="1">
        <v>0.166</v>
      </c>
      <c r="AK180" s="1">
        <v>0.166</v>
      </c>
      <c r="AY180" s="2">
        <f>HYPERLINK("https://vdatum.noaa.gov/vdatumweb/api/convert?s_x=-76.33&amp;s_y=35.39&amp;s_z=0.0&amp;region=contiguous&amp;s_h_frame=NAD83_2011&amp;s_coor=geo&amp;s_v_frame=NAVD88&amp;s_v_unit=us_ft&amp;t_h_frame=NAD83_2011&amp;t_coor=geo&amp;t_v_frame=MLLW&amp;t_v_unit=us_ft", "NAVD88 to MLLW")</f>
        <v>0</v>
      </c>
      <c r="AZ180" s="2">
        <f>HYPERLINK("https://vdatum.noaa.gov/vdatumweb/api/convert?s_x=-76.33&amp;s_y=35.39&amp;s_z=0.0&amp;region=contiguous&amp;s_h_frame=NAD83_2011&amp;s_coor=geo&amp;s_v_frame=NAVD88&amp;s_v_unit=us_ft&amp;t_h_frame=NAD83_2011&amp;t_coor=geo&amp;t_v_frame=MHHW&amp;t_v_unit=us_ft", "NAVD88 to MHHW")</f>
        <v>0</v>
      </c>
    </row>
    <row r="181" spans="1:52">
      <c r="A181" s="1" t="s">
        <v>205</v>
      </c>
      <c r="B181" s="1" t="s">
        <v>620</v>
      </c>
      <c r="D181" s="1" t="s">
        <v>652</v>
      </c>
      <c r="H181" s="1" t="s">
        <v>1776</v>
      </c>
      <c r="I181" s="1" t="s">
        <v>1857</v>
      </c>
      <c r="J181" s="1" t="s">
        <v>1901</v>
      </c>
      <c r="K181" s="1" t="s">
        <v>2060</v>
      </c>
      <c r="L181" s="1">
        <v>-77.06194228</v>
      </c>
      <c r="M181" s="1">
        <v>35.54332622</v>
      </c>
      <c r="N181" s="1" t="s">
        <v>2201</v>
      </c>
      <c r="O181" s="1" t="s">
        <v>861</v>
      </c>
      <c r="P181" s="1" t="s">
        <v>867</v>
      </c>
      <c r="Q181" s="2">
        <f>HYPERLINK("https://waterdata.usgs.gov/nwis/nwismap/?site_no=02084472&amp;agency_cd=USGS", "Station Info")</f>
        <v>0</v>
      </c>
      <c r="R181" s="2">
        <f>HYPERLINK("https://waterservices.usgs.gov/nwis/site/?site=02084472&amp;format=rdb", "Datum Info")</f>
        <v>0</v>
      </c>
      <c r="T181" s="1">
        <v>4831325</v>
      </c>
      <c r="U181" s="1">
        <v>-0.3</v>
      </c>
      <c r="V181" s="1" t="s">
        <v>869</v>
      </c>
      <c r="W181" s="1" t="s">
        <v>874</v>
      </c>
      <c r="X181" s="1" t="s">
        <v>887</v>
      </c>
      <c r="AF181" s="1" t="s">
        <v>999</v>
      </c>
      <c r="AJ181" s="1">
        <v>0.931</v>
      </c>
      <c r="AK181" s="1">
        <v>-0.121</v>
      </c>
      <c r="AM181" s="1">
        <v>0.93</v>
      </c>
      <c r="AN181" s="1" t="s">
        <v>1633</v>
      </c>
      <c r="AP181" s="1" t="s">
        <v>1705</v>
      </c>
      <c r="AS181" s="1">
        <v>3.5</v>
      </c>
      <c r="AT181" s="1">
        <v>4</v>
      </c>
      <c r="AU181" s="1">
        <v>5</v>
      </c>
      <c r="AV181" s="1">
        <v>7</v>
      </c>
      <c r="AW181" s="1" t="s">
        <v>1744</v>
      </c>
      <c r="AX181" s="2">
        <f>HYPERLINK("https://water.weather.gov/ahps2/hydrograph.php?wfo=mhx&amp;gage=pamn7", "AHPS Data")</f>
        <v>0</v>
      </c>
      <c r="AY181" s="2">
        <f>HYPERLINK("https://vdatum.noaa.gov/vdatumweb/api/convert?s_x=-77.06194228&amp;s_y=35.54332622&amp;s_z=0.0&amp;region=contiguous&amp;s_h_frame=NAD83_2011&amp;s_coor=geo&amp;s_v_frame=NAVD88&amp;s_v_unit=us_ft&amp;t_h_frame=NAD83_2011&amp;t_coor=geo&amp;t_v_frame=MLLW&amp;t_v_unit=us_ft", "NAVD88 to MLLW")</f>
        <v>0</v>
      </c>
      <c r="AZ181" s="2">
        <f>HYPERLINK("https://vdatum.noaa.gov/vdatumweb/api/convert?s_x=-77.06194228&amp;s_y=35.54332622&amp;s_z=0.0&amp;region=contiguous&amp;s_h_frame=NAD83_2011&amp;s_coor=geo&amp;s_v_frame=NAVD88&amp;s_v_unit=us_ft&amp;t_h_frame=NAD83_2011&amp;t_coor=geo&amp;t_v_frame=MHHW&amp;t_v_unit=us_ft", "NAVD88 to MHHW")</f>
        <v>0</v>
      </c>
    </row>
    <row r="182" spans="1:52">
      <c r="A182" s="1" t="s">
        <v>206</v>
      </c>
      <c r="B182" s="1" t="s">
        <v>621</v>
      </c>
      <c r="D182" s="1" t="s">
        <v>652</v>
      </c>
      <c r="L182" s="1">
        <v>-72.0955</v>
      </c>
      <c r="M182" s="1">
        <v>41.3717</v>
      </c>
      <c r="N182" s="1">
        <v>8461490</v>
      </c>
      <c r="O182" s="1" t="s">
        <v>860</v>
      </c>
      <c r="P182" s="1" t="s">
        <v>866</v>
      </c>
      <c r="Q182" s="2">
        <f>HYPERLINK("https://tidesandcurrents.noaa.gov/stationhome.html?id=8461490", "Station Info")</f>
        <v>0</v>
      </c>
      <c r="R182" s="2">
        <f>HYPERLINK("https://tidesandcurrents.noaa.gov/datums.html?datum=MLLW&amp;units=0&amp;epoch=0&amp;id=8461490", "Datum Info")</f>
        <v>0</v>
      </c>
      <c r="S182" s="2">
        <f>HYPERLINK("https://api.tidesandcurrents.noaa.gov/mdapi/prod/webapi/stations/8461490.json", "More Info")</f>
        <v>0</v>
      </c>
      <c r="T182" s="1">
        <v>2142348</v>
      </c>
      <c r="U182" s="1">
        <v>0</v>
      </c>
      <c r="V182" s="1" t="s">
        <v>869</v>
      </c>
      <c r="W182" s="1" t="s">
        <v>874</v>
      </c>
      <c r="X182" s="1" t="s">
        <v>886</v>
      </c>
      <c r="Y182" s="1">
        <v>3.05</v>
      </c>
      <c r="Z182" s="1">
        <v>2.76</v>
      </c>
      <c r="AA182" s="1">
        <v>1.48</v>
      </c>
      <c r="AB182" s="1">
        <v>1.54</v>
      </c>
      <c r="AC182" s="1">
        <v>1.53</v>
      </c>
      <c r="AD182" s="1">
        <v>0.19</v>
      </c>
      <c r="AE182" s="1">
        <v>0</v>
      </c>
      <c r="AF182" s="1">
        <v>1.84</v>
      </c>
      <c r="AG182" s="1">
        <v>-3.52</v>
      </c>
      <c r="AH182" s="1" t="s">
        <v>1168</v>
      </c>
      <c r="AI182" s="1" t="s">
        <v>1435</v>
      </c>
      <c r="AJ182" s="1">
        <v>1.864</v>
      </c>
      <c r="AK182" s="1">
        <v>-1.245</v>
      </c>
      <c r="AY182" s="2">
        <f>HYPERLINK("https://vdatum.noaa.gov/vdatumweb/api/convert?s_x=-72.0955&amp;s_y=41.3717&amp;s_z=0.0&amp;region=contiguous&amp;s_h_frame=NAD83_2011&amp;s_coor=geo&amp;s_v_frame=NAVD88&amp;s_v_unit=us_ft&amp;t_h_frame=NAD83_2011&amp;t_coor=geo&amp;t_v_frame=MLLW&amp;t_v_unit=us_ft", "NAVD88 to MLLW")</f>
        <v>0</v>
      </c>
      <c r="AZ182" s="2">
        <f>HYPERLINK("https://vdatum.noaa.gov/vdatumweb/api/convert?s_x=-72.0955&amp;s_y=41.3717&amp;s_z=0.0&amp;region=contiguous&amp;s_h_frame=NAD83_2011&amp;s_coor=geo&amp;s_v_frame=NAVD88&amp;s_v_unit=us_ft&amp;t_h_frame=NAD83_2011&amp;t_coor=geo&amp;t_v_frame=MHHW&amp;t_v_unit=us_ft", "NAVD88 to MHHW")</f>
        <v>0</v>
      </c>
    </row>
    <row r="183" spans="1:52">
      <c r="A183" s="1" t="s">
        <v>207</v>
      </c>
      <c r="B183" s="1" t="s">
        <v>621</v>
      </c>
      <c r="D183" s="1" t="s">
        <v>652</v>
      </c>
      <c r="E183" s="1" t="s">
        <v>679</v>
      </c>
      <c r="F183" s="1" t="s">
        <v>841</v>
      </c>
      <c r="G183" s="1" t="s">
        <v>854</v>
      </c>
      <c r="J183" s="1" t="s">
        <v>1902</v>
      </c>
      <c r="L183" s="1">
        <v>-72.34999999999999</v>
      </c>
      <c r="M183" s="1">
        <v>41.283333</v>
      </c>
      <c r="N183" s="1">
        <v>8462752</v>
      </c>
      <c r="O183" s="1" t="s">
        <v>861</v>
      </c>
      <c r="P183" s="1" t="s">
        <v>866</v>
      </c>
      <c r="Q183" s="2">
        <f>HYPERLINK("https://tidesandcurrents.noaa.gov/stationhome.html?id=8462752", "Station Info")</f>
        <v>0</v>
      </c>
      <c r="R183" s="2">
        <f>HYPERLINK("https://tidesandcurrents.noaa.gov/datums.html?datum=MLLW&amp;units=0&amp;epoch=0&amp;id=8462752", "Datum Info")</f>
        <v>0</v>
      </c>
      <c r="S183" s="2">
        <f>HYPERLINK("https://api.tidesandcurrents.noaa.gov/mdapi/prod/webapi/stations/8462752.json", "More Info")</f>
        <v>0</v>
      </c>
      <c r="T183" s="1">
        <v>4852834</v>
      </c>
      <c r="U183" s="1">
        <v>0</v>
      </c>
      <c r="V183" s="1" t="s">
        <v>869</v>
      </c>
      <c r="W183" s="1" t="s">
        <v>874</v>
      </c>
      <c r="AJ183" s="1">
        <v>2.115</v>
      </c>
      <c r="AK183" s="1">
        <v>-1.662</v>
      </c>
      <c r="AY183" s="2">
        <f>HYPERLINK("https://vdatum.noaa.gov/vdatumweb/api/convert?s_x=-72.35&amp;s_y=41.283333&amp;s_z=0.0&amp;region=contiguous&amp;s_h_frame=NAD83_2011&amp;s_coor=geo&amp;s_v_frame=NAVD88&amp;s_v_unit=us_ft&amp;t_h_frame=NAD83_2011&amp;t_coor=geo&amp;t_v_frame=MLLW&amp;t_v_unit=us_ft", "NAVD88 to MLLW")</f>
        <v>0</v>
      </c>
      <c r="AZ183" s="2">
        <f>HYPERLINK("https://vdatum.noaa.gov/vdatumweb/api/convert?s_x=-72.35&amp;s_y=41.283333&amp;s_z=0.0&amp;region=contiguous&amp;s_h_frame=NAD83_2011&amp;s_coor=geo&amp;s_v_frame=NAVD88&amp;s_v_unit=us_ft&amp;t_h_frame=NAD83_2011&amp;t_coor=geo&amp;t_v_frame=MHHW&amp;t_v_unit=us_ft", "NAVD88 to MHHW")</f>
        <v>0</v>
      </c>
    </row>
    <row r="184" spans="1:52">
      <c r="A184" s="1" t="s">
        <v>208</v>
      </c>
      <c r="B184" s="1" t="s">
        <v>621</v>
      </c>
      <c r="C184" s="1" t="s">
        <v>646</v>
      </c>
      <c r="D184" s="1" t="s">
        <v>652</v>
      </c>
      <c r="E184" s="1" t="s">
        <v>720</v>
      </c>
      <c r="F184" s="1" t="s">
        <v>841</v>
      </c>
      <c r="G184" s="1" t="s">
        <v>854</v>
      </c>
      <c r="J184" s="1" t="s">
        <v>1903</v>
      </c>
      <c r="L184" s="1">
        <v>-72.1867</v>
      </c>
      <c r="M184" s="1">
        <v>41.325</v>
      </c>
      <c r="N184" s="1">
        <v>8462925</v>
      </c>
      <c r="O184" s="1" t="s">
        <v>860</v>
      </c>
      <c r="P184" s="1" t="s">
        <v>866</v>
      </c>
      <c r="Q184" s="2">
        <f>HYPERLINK("https://tidesandcurrents.noaa.gov/stationhome.html?id=8462925", "Station Info")</f>
        <v>0</v>
      </c>
      <c r="R184" s="2">
        <f>HYPERLINK("https://tidesandcurrents.noaa.gov/datums.html?datum=MLLW&amp;units=0&amp;epoch=0&amp;id=8462925", "Datum Info")</f>
        <v>0</v>
      </c>
      <c r="S184" s="2">
        <f>HYPERLINK("https://api.tidesandcurrents.noaa.gov/mdapi/prod/webapi/stations/8462925.json", "More Info")</f>
        <v>0</v>
      </c>
      <c r="T184" s="1">
        <v>4158678</v>
      </c>
      <c r="U184" s="1">
        <v>0</v>
      </c>
      <c r="V184" s="1" t="s">
        <v>869</v>
      </c>
      <c r="W184" s="1" t="s">
        <v>874</v>
      </c>
      <c r="AJ184" s="1">
        <v>1.827</v>
      </c>
      <c r="AK184" s="1">
        <v>-1.265</v>
      </c>
      <c r="AY184" s="2">
        <f>HYPERLINK("https://vdatum.noaa.gov/vdatumweb/api/convert?s_x=-72.1867&amp;s_y=41.325&amp;s_z=0.0&amp;region=contiguous&amp;s_h_frame=NAD83_2011&amp;s_coor=geo&amp;s_v_frame=NAVD88&amp;s_v_unit=us_ft&amp;t_h_frame=NAD83_2011&amp;t_coor=geo&amp;t_v_frame=MLLW&amp;t_v_unit=us_ft", "NAVD88 to MLLW")</f>
        <v>0</v>
      </c>
      <c r="AZ184" s="2">
        <f>HYPERLINK("https://vdatum.noaa.gov/vdatumweb/api/convert?s_x=-72.1867&amp;s_y=41.325&amp;s_z=0.0&amp;region=contiguous&amp;s_h_frame=NAD83_2011&amp;s_coor=geo&amp;s_v_frame=NAVD88&amp;s_v_unit=us_ft&amp;t_h_frame=NAD83_2011&amp;t_coor=geo&amp;t_v_frame=MHHW&amp;t_v_unit=us_ft", "NAVD88 to MHHW")</f>
        <v>0</v>
      </c>
    </row>
    <row r="185" spans="1:52">
      <c r="A185" s="1" t="s">
        <v>209</v>
      </c>
      <c r="B185" s="1" t="s">
        <v>621</v>
      </c>
      <c r="C185" s="1" t="s">
        <v>646</v>
      </c>
      <c r="D185" s="1" t="s">
        <v>652</v>
      </c>
      <c r="L185" s="1">
        <v>-72.5317</v>
      </c>
      <c r="M185" s="1">
        <v>41.2683</v>
      </c>
      <c r="N185" s="1">
        <v>8463701</v>
      </c>
      <c r="O185" s="1" t="s">
        <v>861</v>
      </c>
      <c r="P185" s="1" t="s">
        <v>866</v>
      </c>
      <c r="Q185" s="2">
        <f>HYPERLINK("https://tidesandcurrents.noaa.gov/stationhome.html?id=8463701", "Station Info")</f>
        <v>0</v>
      </c>
      <c r="R185" s="2">
        <f>HYPERLINK("https://tidesandcurrents.noaa.gov/datums.html?datum=MLLW&amp;units=0&amp;epoch=0&amp;id=8463701", "Datum Info")</f>
        <v>0</v>
      </c>
      <c r="S185" s="2">
        <f>HYPERLINK("https://api.tidesandcurrents.noaa.gov/mdapi/prod/webapi/stations/8463701.json", "More Info")</f>
        <v>0</v>
      </c>
      <c r="T185" s="1">
        <v>2825961</v>
      </c>
      <c r="U185" s="1">
        <v>0</v>
      </c>
      <c r="V185" s="1" t="s">
        <v>869</v>
      </c>
      <c r="W185" s="1" t="s">
        <v>874</v>
      </c>
      <c r="X185" s="1" t="s">
        <v>886</v>
      </c>
      <c r="Y185" s="1">
        <v>5.09</v>
      </c>
      <c r="Z185" s="1">
        <v>4.79</v>
      </c>
      <c r="AA185" s="1">
        <v>2.51</v>
      </c>
      <c r="AB185" s="1">
        <v>2.47</v>
      </c>
      <c r="AC185" s="1">
        <v>2.55</v>
      </c>
      <c r="AD185" s="1">
        <v>0.24</v>
      </c>
      <c r="AE185" s="1">
        <v>0</v>
      </c>
      <c r="AF185" s="1">
        <v>2.8</v>
      </c>
      <c r="AG185" s="1">
        <v>-25.25</v>
      </c>
      <c r="AH185" s="1" t="s">
        <v>1169</v>
      </c>
      <c r="AI185" s="1" t="s">
        <v>1436</v>
      </c>
      <c r="AJ185" s="1">
        <v>2.802</v>
      </c>
      <c r="AK185" s="1">
        <v>-2.258</v>
      </c>
      <c r="AY185" s="2">
        <f>HYPERLINK("https://vdatum.noaa.gov/vdatumweb/api/convert?s_x=-72.5317&amp;s_y=41.2683&amp;s_z=0.0&amp;region=contiguous&amp;s_h_frame=NAD83_2011&amp;s_coor=geo&amp;s_v_frame=NAVD88&amp;s_v_unit=us_ft&amp;t_h_frame=NAD83_2011&amp;t_coor=geo&amp;t_v_frame=MLLW&amp;t_v_unit=us_ft", "NAVD88 to MLLW")</f>
        <v>0</v>
      </c>
      <c r="AZ185" s="2">
        <f>HYPERLINK("https://vdatum.noaa.gov/vdatumweb/api/convert?s_x=-72.5317&amp;s_y=41.2683&amp;s_z=0.0&amp;region=contiguous&amp;s_h_frame=NAD83_2011&amp;s_coor=geo&amp;s_v_frame=NAVD88&amp;s_v_unit=us_ft&amp;t_h_frame=NAD83_2011&amp;t_coor=geo&amp;t_v_frame=MHHW&amp;t_v_unit=us_ft", "NAVD88 to MHHW")</f>
        <v>0</v>
      </c>
    </row>
    <row r="186" spans="1:52">
      <c r="A186" s="1" t="s">
        <v>210</v>
      </c>
      <c r="B186" s="1" t="s">
        <v>621</v>
      </c>
      <c r="D186" s="1" t="s">
        <v>652</v>
      </c>
      <c r="L186" s="1">
        <v>-72.9083</v>
      </c>
      <c r="M186" s="1">
        <v>41.28333</v>
      </c>
      <c r="N186" s="1">
        <v>8465705</v>
      </c>
      <c r="O186" s="1" t="s">
        <v>860</v>
      </c>
      <c r="P186" s="1" t="s">
        <v>866</v>
      </c>
      <c r="Q186" s="2">
        <f>HYPERLINK("https://tidesandcurrents.noaa.gov/stationhome.html?id=8465705", "Station Info")</f>
        <v>0</v>
      </c>
      <c r="R186" s="2">
        <f>HYPERLINK("https://tidesandcurrents.noaa.gov/datums.html?datum=MLLW&amp;units=0&amp;epoch=0&amp;id=8465705", "Datum Info")</f>
        <v>0</v>
      </c>
      <c r="S186" s="2">
        <f>HYPERLINK("https://api.tidesandcurrents.noaa.gov/mdapi/prod/webapi/stations/8465705.json", "More Info")</f>
        <v>0</v>
      </c>
      <c r="T186" s="1">
        <v>2230210</v>
      </c>
      <c r="U186" s="1">
        <v>-0.09</v>
      </c>
      <c r="V186" s="1" t="s">
        <v>869</v>
      </c>
      <c r="W186" s="1" t="s">
        <v>874</v>
      </c>
      <c r="X186" s="1" t="s">
        <v>886</v>
      </c>
      <c r="Y186" s="1">
        <v>6.72</v>
      </c>
      <c r="Z186" s="1">
        <v>6.4</v>
      </c>
      <c r="AA186" s="1">
        <v>3.32</v>
      </c>
      <c r="AB186" s="1">
        <v>3.33</v>
      </c>
      <c r="AC186" s="1">
        <v>3.36</v>
      </c>
      <c r="AD186" s="1">
        <v>0.24</v>
      </c>
      <c r="AE186" s="1">
        <v>0</v>
      </c>
      <c r="AF186" s="1" t="s">
        <v>1000</v>
      </c>
      <c r="AG186" s="1">
        <v>-18.42</v>
      </c>
      <c r="AH186" s="1" t="s">
        <v>1170</v>
      </c>
      <c r="AI186" s="1" t="s">
        <v>1437</v>
      </c>
      <c r="AJ186" s="1">
        <v>3.622</v>
      </c>
      <c r="AK186" s="1">
        <v>-3.107</v>
      </c>
      <c r="AY186" s="2">
        <f>HYPERLINK("https://vdatum.noaa.gov/vdatumweb/api/convert?s_x=-72.9083&amp;s_y=41.28333&amp;s_z=0.0&amp;region=contiguous&amp;s_h_frame=NAD83_2011&amp;s_coor=geo&amp;s_v_frame=NAVD88&amp;s_v_unit=us_ft&amp;t_h_frame=NAD83_2011&amp;t_coor=geo&amp;t_v_frame=MLLW&amp;t_v_unit=us_ft", "NAVD88 to MLLW")</f>
        <v>0</v>
      </c>
      <c r="AZ186" s="2">
        <f>HYPERLINK("https://vdatum.noaa.gov/vdatumweb/api/convert?s_x=-72.9083&amp;s_y=41.28333&amp;s_z=0.0&amp;region=contiguous&amp;s_h_frame=NAD83_2011&amp;s_coor=geo&amp;s_v_frame=NAVD88&amp;s_v_unit=us_ft&amp;t_h_frame=NAD83_2011&amp;t_coor=geo&amp;t_v_frame=MHHW&amp;t_v_unit=us_ft", "NAVD88 to MHHW")</f>
        <v>0</v>
      </c>
    </row>
    <row r="187" spans="1:52">
      <c r="A187" s="1" t="s">
        <v>211</v>
      </c>
      <c r="B187" s="1" t="s">
        <v>621</v>
      </c>
      <c r="C187" s="1" t="s">
        <v>646</v>
      </c>
      <c r="D187" s="1" t="s">
        <v>652</v>
      </c>
      <c r="E187" s="1" t="s">
        <v>721</v>
      </c>
      <c r="F187" s="1" t="s">
        <v>841</v>
      </c>
      <c r="G187" s="1" t="s">
        <v>854</v>
      </c>
      <c r="L187" s="1">
        <v>-73.18170000000001</v>
      </c>
      <c r="M187" s="1">
        <v>41.1733</v>
      </c>
      <c r="N187" s="1">
        <v>8467150</v>
      </c>
      <c r="O187" s="1" t="s">
        <v>860</v>
      </c>
      <c r="P187" s="1" t="s">
        <v>866</v>
      </c>
      <c r="Q187" s="2">
        <f>HYPERLINK("https://tidesandcurrents.noaa.gov/stationhome.html?id=8467150", "Station Info")</f>
        <v>0</v>
      </c>
      <c r="R187" s="2">
        <f>HYPERLINK("https://tidesandcurrents.noaa.gov/datums.html?datum=MLLW&amp;units=0&amp;epoch=0&amp;id=8467150", "Datum Info")</f>
        <v>0</v>
      </c>
      <c r="S187" s="2">
        <f>HYPERLINK("https://api.tidesandcurrents.noaa.gov/mdapi/prod/webapi/stations/8467150.json", "More Info")</f>
        <v>0</v>
      </c>
      <c r="T187" s="1">
        <v>2825175</v>
      </c>
      <c r="U187" s="1">
        <v>0</v>
      </c>
      <c r="V187" s="1" t="s">
        <v>869</v>
      </c>
      <c r="W187" s="1" t="s">
        <v>874</v>
      </c>
      <c r="X187" s="1" t="s">
        <v>886</v>
      </c>
      <c r="Y187" s="1">
        <v>7.32</v>
      </c>
      <c r="Z187" s="1">
        <v>6.99</v>
      </c>
      <c r="AA187" s="1">
        <v>3.61</v>
      </c>
      <c r="AB187" s="1">
        <v>3.62</v>
      </c>
      <c r="AC187" s="1">
        <v>3.66</v>
      </c>
      <c r="AD187" s="1">
        <v>0.24</v>
      </c>
      <c r="AE187" s="1">
        <v>0</v>
      </c>
      <c r="AF187" s="1">
        <v>3.84</v>
      </c>
      <c r="AG187" s="1">
        <v>-1.98</v>
      </c>
      <c r="AH187" s="1" t="s">
        <v>1171</v>
      </c>
      <c r="AI187" s="1" t="s">
        <v>1438</v>
      </c>
      <c r="AJ187" s="1">
        <v>3.841</v>
      </c>
      <c r="AK187" s="1">
        <v>-3.494</v>
      </c>
      <c r="AY187" s="2">
        <f>HYPERLINK("https://vdatum.noaa.gov/vdatumweb/api/convert?s_x=-73.1817&amp;s_y=41.1733&amp;s_z=0.0&amp;region=contiguous&amp;s_h_frame=NAD83_2011&amp;s_coor=geo&amp;s_v_frame=NAVD88&amp;s_v_unit=us_ft&amp;t_h_frame=NAD83_2011&amp;t_coor=geo&amp;t_v_frame=MLLW&amp;t_v_unit=us_ft", "NAVD88 to MLLW")</f>
        <v>0</v>
      </c>
      <c r="AZ187" s="2">
        <f>HYPERLINK("https://vdatum.noaa.gov/vdatumweb/api/convert?s_x=-73.1817&amp;s_y=41.1733&amp;s_z=0.0&amp;region=contiguous&amp;s_h_frame=NAD83_2011&amp;s_coor=geo&amp;s_v_frame=NAVD88&amp;s_v_unit=us_ft&amp;t_h_frame=NAD83_2011&amp;t_coor=geo&amp;t_v_frame=MHHW&amp;t_v_unit=us_ft", "NAVD88 to MHHW")</f>
        <v>0</v>
      </c>
    </row>
    <row r="188" spans="1:52">
      <c r="A188" s="1" t="s">
        <v>212</v>
      </c>
      <c r="B188" s="1" t="s">
        <v>621</v>
      </c>
      <c r="C188" s="1" t="s">
        <v>646</v>
      </c>
      <c r="D188" s="1" t="s">
        <v>652</v>
      </c>
      <c r="E188" s="1" t="s">
        <v>721</v>
      </c>
      <c r="F188" s="1" t="s">
        <v>841</v>
      </c>
      <c r="G188" s="1" t="s">
        <v>854</v>
      </c>
      <c r="H188" s="1" t="s">
        <v>1777</v>
      </c>
      <c r="I188" s="1" t="s">
        <v>1858</v>
      </c>
      <c r="J188" s="1" t="s">
        <v>1904</v>
      </c>
      <c r="K188" s="1" t="s">
        <v>2061</v>
      </c>
      <c r="L188" s="1">
        <v>-73.5467</v>
      </c>
      <c r="M188" s="1">
        <v>41.0383</v>
      </c>
      <c r="N188" s="1">
        <v>8469198</v>
      </c>
      <c r="O188" s="1" t="s">
        <v>860</v>
      </c>
      <c r="P188" s="1" t="s">
        <v>866</v>
      </c>
      <c r="Q188" s="2">
        <f>HYPERLINK("https://tidesandcurrents.noaa.gov/stationhome.html?id=8469198", "Station Info")</f>
        <v>0</v>
      </c>
      <c r="R188" s="2">
        <f>HYPERLINK("https://tidesandcurrents.noaa.gov/datums.html?datum=MLLW&amp;units=0&amp;epoch=0&amp;id=8469198", "Datum Info")</f>
        <v>0</v>
      </c>
      <c r="S188" s="2">
        <f>HYPERLINK("https://api.tidesandcurrents.noaa.gov/mdapi/prod/webapi/stations/8469198.json", "More Info")</f>
        <v>0</v>
      </c>
      <c r="T188" s="1">
        <v>2137787</v>
      </c>
      <c r="U188" s="1">
        <v>0</v>
      </c>
      <c r="V188" s="1" t="s">
        <v>869</v>
      </c>
      <c r="W188" s="1" t="s">
        <v>874</v>
      </c>
      <c r="X188" s="1" t="s">
        <v>886</v>
      </c>
      <c r="Y188" s="1">
        <v>7.77</v>
      </c>
      <c r="Z188" s="1">
        <v>7.42</v>
      </c>
      <c r="AA188" s="1">
        <v>3.83</v>
      </c>
      <c r="AB188" s="1">
        <v>3.85</v>
      </c>
      <c r="AC188" s="1">
        <v>3.89</v>
      </c>
      <c r="AD188" s="1">
        <v>0.24</v>
      </c>
      <c r="AE188" s="1">
        <v>0</v>
      </c>
      <c r="AF188" s="1">
        <v>4.04</v>
      </c>
      <c r="AG188" s="1">
        <v>-6.57</v>
      </c>
      <c r="AH188" s="1" t="s">
        <v>1172</v>
      </c>
      <c r="AI188" s="1" t="s">
        <v>1439</v>
      </c>
      <c r="AJ188" s="1">
        <v>4.033</v>
      </c>
      <c r="AK188" s="1">
        <v>-3.746</v>
      </c>
      <c r="AS188" s="1">
        <v>0</v>
      </c>
      <c r="AT188" s="1">
        <v>9.4</v>
      </c>
      <c r="AU188" s="1">
        <v>11</v>
      </c>
      <c r="AV188" s="1">
        <v>12.4</v>
      </c>
      <c r="AW188" s="1" t="s">
        <v>1744</v>
      </c>
      <c r="AX188" s="2">
        <f>HYPERLINK("https://water.weather.gov/ahps2/hydrograph.php?wfo=okx&amp;gage=stdc3", "AHPS Data")</f>
        <v>0</v>
      </c>
      <c r="AY188" s="2">
        <f>HYPERLINK("https://vdatum.noaa.gov/vdatumweb/api/convert?s_x=-73.5467&amp;s_y=41.0383&amp;s_z=0.0&amp;region=contiguous&amp;s_h_frame=NAD83_2011&amp;s_coor=geo&amp;s_v_frame=NAVD88&amp;s_v_unit=us_ft&amp;t_h_frame=NAD83_2011&amp;t_coor=geo&amp;t_v_frame=MLLW&amp;t_v_unit=us_ft", "NAVD88 to MLLW")</f>
        <v>0</v>
      </c>
      <c r="AZ188" s="2">
        <f>HYPERLINK("https://vdatum.noaa.gov/vdatumweb/api/convert?s_x=-73.5467&amp;s_y=41.0383&amp;s_z=0.0&amp;region=contiguous&amp;s_h_frame=NAD83_2011&amp;s_coor=geo&amp;s_v_frame=NAVD88&amp;s_v_unit=us_ft&amp;t_h_frame=NAD83_2011&amp;t_coor=geo&amp;t_v_frame=MHHW&amp;t_v_unit=us_ft", "NAVD88 to MHHW")</f>
        <v>0</v>
      </c>
    </row>
    <row r="189" spans="1:52">
      <c r="A189" s="1" t="s">
        <v>213</v>
      </c>
      <c r="B189" s="1" t="s">
        <v>621</v>
      </c>
      <c r="D189" s="1" t="s">
        <v>652</v>
      </c>
      <c r="L189" s="1">
        <v>-71.9594</v>
      </c>
      <c r="M189" s="1">
        <v>41.04833</v>
      </c>
      <c r="N189" s="1">
        <v>8510560</v>
      </c>
      <c r="O189" s="1" t="s">
        <v>860</v>
      </c>
      <c r="P189" s="1" t="s">
        <v>866</v>
      </c>
      <c r="Q189" s="2">
        <f>HYPERLINK("https://tidesandcurrents.noaa.gov/stationhome.html?id=8510560", "Station Info")</f>
        <v>0</v>
      </c>
      <c r="R189" s="2">
        <f>HYPERLINK("https://tidesandcurrents.noaa.gov/datums.html?datum=MLLW&amp;units=0&amp;epoch=0&amp;id=8510560", "Datum Info")</f>
        <v>0</v>
      </c>
      <c r="S189" s="2">
        <f>HYPERLINK("https://api.tidesandcurrents.noaa.gov/mdapi/prod/webapi/stations/8510560.json", "More Info")</f>
        <v>0</v>
      </c>
      <c r="T189" s="1">
        <v>4161276</v>
      </c>
      <c r="U189" s="1">
        <v>0</v>
      </c>
      <c r="V189" s="1" t="s">
        <v>869</v>
      </c>
      <c r="W189" s="1" t="s">
        <v>874</v>
      </c>
      <c r="X189" s="1" t="s">
        <v>886</v>
      </c>
      <c r="Y189" s="1">
        <v>2.53</v>
      </c>
      <c r="Z189" s="1">
        <v>2.24</v>
      </c>
      <c r="AA189" s="1">
        <v>1.21</v>
      </c>
      <c r="AB189" s="1">
        <v>1.24</v>
      </c>
      <c r="AC189" s="1">
        <v>1.26</v>
      </c>
      <c r="AD189" s="1">
        <v>0.17</v>
      </c>
      <c r="AE189" s="1">
        <v>0</v>
      </c>
      <c r="AF189" s="1">
        <v>1.57</v>
      </c>
      <c r="AG189" s="1">
        <v>-3.86</v>
      </c>
      <c r="AH189" s="1" t="s">
        <v>1173</v>
      </c>
      <c r="AI189" s="1" t="s">
        <v>1440</v>
      </c>
      <c r="AJ189" s="1">
        <v>1.559</v>
      </c>
      <c r="AK189" s="1">
        <v>-0.959</v>
      </c>
      <c r="AY189" s="2">
        <f>HYPERLINK("https://vdatum.noaa.gov/vdatumweb/api/convert?s_x=-71.9594&amp;s_y=41.04833&amp;s_z=0.0&amp;region=contiguous&amp;s_h_frame=NAD83_2011&amp;s_coor=geo&amp;s_v_frame=NAVD88&amp;s_v_unit=us_ft&amp;t_h_frame=NAD83_2011&amp;t_coor=geo&amp;t_v_frame=MLLW&amp;t_v_unit=us_ft", "NAVD88 to MLLW")</f>
        <v>0</v>
      </c>
      <c r="AZ189" s="2">
        <f>HYPERLINK("https://vdatum.noaa.gov/vdatumweb/api/convert?s_x=-71.9594&amp;s_y=41.04833&amp;s_z=0.0&amp;region=contiguous&amp;s_h_frame=NAD83_2011&amp;s_coor=geo&amp;s_v_frame=NAVD88&amp;s_v_unit=us_ft&amp;t_h_frame=NAD83_2011&amp;t_coor=geo&amp;t_v_frame=MHHW&amp;t_v_unit=us_ft", "NAVD88 to MHHW")</f>
        <v>0</v>
      </c>
    </row>
    <row r="190" spans="1:52">
      <c r="A190" s="1" t="s">
        <v>214</v>
      </c>
      <c r="B190" s="1" t="s">
        <v>621</v>
      </c>
      <c r="D190" s="1" t="s">
        <v>652</v>
      </c>
      <c r="H190" s="1" t="s">
        <v>1778</v>
      </c>
      <c r="I190" s="1" t="s">
        <v>1858</v>
      </c>
      <c r="J190" s="1" t="s">
        <v>1905</v>
      </c>
      <c r="K190" s="1" t="s">
        <v>2062</v>
      </c>
      <c r="L190" s="1">
        <v>-72.30670000000001</v>
      </c>
      <c r="M190" s="1">
        <v>41.1367</v>
      </c>
      <c r="N190" s="1">
        <v>8511671</v>
      </c>
      <c r="O190" s="1" t="s">
        <v>860</v>
      </c>
      <c r="P190" s="1" t="s">
        <v>866</v>
      </c>
      <c r="Q190" s="2">
        <f>HYPERLINK("https://tidesandcurrents.noaa.gov/stationhome.html?id=8511671", "Station Info")</f>
        <v>0</v>
      </c>
      <c r="R190" s="2">
        <f>HYPERLINK("https://tidesandcurrents.noaa.gov/datums.html?datum=MLLW&amp;units=0&amp;epoch=0&amp;id=8511671", "Datum Info")</f>
        <v>0</v>
      </c>
      <c r="S190" s="2">
        <f>HYPERLINK("https://api.tidesandcurrents.noaa.gov/mdapi/prod/webapi/stations/8511671.json", "More Info")</f>
        <v>0</v>
      </c>
      <c r="T190" s="1">
        <v>6411226</v>
      </c>
      <c r="U190" s="1">
        <v>-0.081</v>
      </c>
      <c r="V190" s="1" t="s">
        <v>869</v>
      </c>
      <c r="W190" s="1" t="s">
        <v>874</v>
      </c>
      <c r="X190" s="1" t="s">
        <v>886</v>
      </c>
      <c r="Y190" s="1">
        <v>3.04</v>
      </c>
      <c r="Z190" s="1">
        <v>2.72</v>
      </c>
      <c r="AA190" s="1">
        <v>1.46</v>
      </c>
      <c r="AB190" s="1">
        <v>1.52</v>
      </c>
      <c r="AC190" s="1">
        <v>1.52</v>
      </c>
      <c r="AD190" s="1">
        <v>0.2</v>
      </c>
      <c r="AE190" s="1">
        <v>0</v>
      </c>
      <c r="AF190" s="1" t="s">
        <v>1001</v>
      </c>
      <c r="AG190" s="1">
        <v>-24.77</v>
      </c>
      <c r="AH190" s="1" t="s">
        <v>1174</v>
      </c>
      <c r="AI190" s="1" t="s">
        <v>1441</v>
      </c>
      <c r="AJ190" s="1">
        <v>1.739</v>
      </c>
      <c r="AK190" s="1">
        <v>-1.243</v>
      </c>
      <c r="AS190" s="1">
        <v>4.5</v>
      </c>
      <c r="AT190" s="1">
        <v>4.7</v>
      </c>
      <c r="AU190" s="1">
        <v>5.7</v>
      </c>
      <c r="AV190" s="1">
        <v>6.7</v>
      </c>
      <c r="AW190" s="1" t="s">
        <v>1744</v>
      </c>
      <c r="AX190" s="2">
        <f>HYPERLINK("https://water.weather.gov/ahps2/hydrograph.php?wfo=okx&amp;gage=orin6", "AHPS Data")</f>
        <v>0</v>
      </c>
      <c r="AY190" s="2">
        <f>HYPERLINK("https://vdatum.noaa.gov/vdatumweb/api/convert?s_x=-72.3067&amp;s_y=41.1367&amp;s_z=0.0&amp;region=contiguous&amp;s_h_frame=NAD83_2011&amp;s_coor=geo&amp;s_v_frame=NAVD88&amp;s_v_unit=us_ft&amp;t_h_frame=NAD83_2011&amp;t_coor=geo&amp;t_v_frame=MLLW&amp;t_v_unit=us_ft", "NAVD88 to MLLW")</f>
        <v>0</v>
      </c>
      <c r="AZ190" s="2">
        <f>HYPERLINK("https://vdatum.noaa.gov/vdatumweb/api/convert?s_x=-72.3067&amp;s_y=41.1367&amp;s_z=0.0&amp;region=contiguous&amp;s_h_frame=NAD83_2011&amp;s_coor=geo&amp;s_v_frame=NAVD88&amp;s_v_unit=us_ft&amp;t_h_frame=NAD83_2011&amp;t_coor=geo&amp;t_v_frame=MHHW&amp;t_v_unit=us_ft", "NAVD88 to MHHW")</f>
        <v>0</v>
      </c>
    </row>
    <row r="191" spans="1:52">
      <c r="A191" s="1" t="s">
        <v>215</v>
      </c>
      <c r="B191" s="1" t="s">
        <v>621</v>
      </c>
      <c r="C191" s="1" t="s">
        <v>646</v>
      </c>
      <c r="D191" s="1" t="s">
        <v>652</v>
      </c>
      <c r="E191" s="1" t="s">
        <v>722</v>
      </c>
      <c r="F191" s="1" t="s">
        <v>833</v>
      </c>
      <c r="G191" s="1" t="s">
        <v>854</v>
      </c>
      <c r="H191" s="1" t="s">
        <v>1779</v>
      </c>
      <c r="I191" s="1" t="s">
        <v>1858</v>
      </c>
      <c r="J191" s="1" t="s">
        <v>1906</v>
      </c>
      <c r="K191" s="1" t="s">
        <v>2063</v>
      </c>
      <c r="L191" s="1">
        <v>-72.5033</v>
      </c>
      <c r="M191" s="1">
        <v>40.85</v>
      </c>
      <c r="N191" s="1">
        <v>8512451</v>
      </c>
      <c r="O191" s="1" t="s">
        <v>860</v>
      </c>
      <c r="P191" s="1" t="s">
        <v>866</v>
      </c>
      <c r="Q191" s="2">
        <f>HYPERLINK("https://tidesandcurrents.noaa.gov/stationhome.html?id=8512451", "Station Info")</f>
        <v>0</v>
      </c>
      <c r="R191" s="2">
        <f>HYPERLINK("https://tidesandcurrents.noaa.gov/datums.html?datum=MLLW&amp;units=0&amp;epoch=0&amp;id=8512451", "Datum Info")</f>
        <v>0</v>
      </c>
      <c r="S191" s="2">
        <f>HYPERLINK("https://api.tidesandcurrents.noaa.gov/mdapi/prod/webapi/stations/8512451.json", "More Info")</f>
        <v>0</v>
      </c>
      <c r="T191" s="1">
        <v>3702215</v>
      </c>
      <c r="U191" s="1">
        <v>0</v>
      </c>
      <c r="V191" s="1" t="s">
        <v>869</v>
      </c>
      <c r="W191" s="1" t="s">
        <v>874</v>
      </c>
      <c r="X191" s="1" t="s">
        <v>886</v>
      </c>
      <c r="Y191" s="1">
        <v>3.18</v>
      </c>
      <c r="Z191" s="1">
        <v>2.93</v>
      </c>
      <c r="AA191" s="1">
        <v>1.52</v>
      </c>
      <c r="AB191" s="1">
        <v>1.52</v>
      </c>
      <c r="AC191" s="1">
        <v>1.59</v>
      </c>
      <c r="AD191" s="1">
        <v>0.13</v>
      </c>
      <c r="AE191" s="1">
        <v>0</v>
      </c>
      <c r="AF191" s="1">
        <v>1.82</v>
      </c>
      <c r="AG191" s="1">
        <v>-4.68</v>
      </c>
      <c r="AH191" s="1" t="s">
        <v>1175</v>
      </c>
      <c r="AI191" s="1" t="s">
        <v>1442</v>
      </c>
      <c r="AJ191" s="1">
        <v>1.757</v>
      </c>
      <c r="AK191" s="1">
        <v>-1.412</v>
      </c>
      <c r="AS191" s="1">
        <v>0</v>
      </c>
      <c r="AT191" s="1">
        <v>4.9</v>
      </c>
      <c r="AU191" s="1">
        <v>5.9</v>
      </c>
      <c r="AV191" s="1">
        <v>6.9</v>
      </c>
      <c r="AW191" s="1" t="s">
        <v>1744</v>
      </c>
      <c r="AX191" s="2">
        <f>HYPERLINK("https://water.weather.gov/ahps2/hydrograph.php?wfo=okx&amp;gage=shin6", "AHPS Data")</f>
        <v>0</v>
      </c>
      <c r="AY191" s="2">
        <f>HYPERLINK("https://vdatum.noaa.gov/vdatumweb/api/convert?s_x=-72.5033&amp;s_y=40.85&amp;s_z=0.0&amp;region=contiguous&amp;s_h_frame=NAD83_2011&amp;s_coor=geo&amp;s_v_frame=NAVD88&amp;s_v_unit=us_ft&amp;t_h_frame=NAD83_2011&amp;t_coor=geo&amp;t_v_frame=MLLW&amp;t_v_unit=us_ft", "NAVD88 to MLLW")</f>
        <v>0</v>
      </c>
      <c r="AZ191" s="2">
        <f>HYPERLINK("https://vdatum.noaa.gov/vdatumweb/api/convert?s_x=-72.5033&amp;s_y=40.85&amp;s_z=0.0&amp;region=contiguous&amp;s_h_frame=NAD83_2011&amp;s_coor=geo&amp;s_v_frame=NAVD88&amp;s_v_unit=us_ft&amp;t_h_frame=NAD83_2011&amp;t_coor=geo&amp;t_v_frame=MHHW&amp;t_v_unit=us_ft", "NAVD88 to MHHW")</f>
        <v>0</v>
      </c>
    </row>
    <row r="192" spans="1:52">
      <c r="A192" s="1" t="s">
        <v>216</v>
      </c>
      <c r="B192" s="1" t="s">
        <v>621</v>
      </c>
      <c r="D192" s="1" t="s">
        <v>652</v>
      </c>
      <c r="L192" s="1">
        <v>-72.5617</v>
      </c>
      <c r="M192" s="1">
        <v>41.015</v>
      </c>
      <c r="N192" s="1">
        <v>8512668</v>
      </c>
      <c r="O192" s="1" t="s">
        <v>861</v>
      </c>
      <c r="P192" s="1" t="s">
        <v>866</v>
      </c>
      <c r="Q192" s="2">
        <f>HYPERLINK("https://tidesandcurrents.noaa.gov/stationhome.html?id=8512668", "Station Info")</f>
        <v>0</v>
      </c>
      <c r="R192" s="2">
        <f>HYPERLINK("https://tidesandcurrents.noaa.gov/datums.html?datum=MLLW&amp;units=0&amp;epoch=0&amp;id=8512668", "Datum Info")</f>
        <v>0</v>
      </c>
      <c r="S192" s="2">
        <f>HYPERLINK("https://api.tidesandcurrents.noaa.gov/mdapi/prod/webapi/stations/8512668.json", "More Info")</f>
        <v>0</v>
      </c>
      <c r="T192" s="1">
        <v>2836611</v>
      </c>
      <c r="U192" s="1">
        <v>-0.11</v>
      </c>
      <c r="V192" s="1" t="s">
        <v>869</v>
      </c>
      <c r="W192" s="1" t="s">
        <v>874</v>
      </c>
      <c r="X192" s="1" t="s">
        <v>886</v>
      </c>
      <c r="Y192" s="1">
        <v>5.57</v>
      </c>
      <c r="Z192" s="1">
        <v>5.28</v>
      </c>
      <c r="AA192" s="1">
        <v>2.74</v>
      </c>
      <c r="AB192" s="1">
        <v>2.71</v>
      </c>
      <c r="AC192" s="1">
        <v>2.78</v>
      </c>
      <c r="AD192" s="1">
        <v>0.2</v>
      </c>
      <c r="AE192" s="1">
        <v>0</v>
      </c>
      <c r="AF192" s="1" t="s">
        <v>1002</v>
      </c>
      <c r="AG192" s="1">
        <v>-19.8</v>
      </c>
      <c r="AH192" s="1" t="s">
        <v>1176</v>
      </c>
      <c r="AI192" s="1" t="s">
        <v>1443</v>
      </c>
      <c r="AJ192" s="1">
        <v>3.07</v>
      </c>
      <c r="AK192" s="1">
        <v>-2.478</v>
      </c>
      <c r="AY192" s="2">
        <f>HYPERLINK("https://vdatum.noaa.gov/vdatumweb/api/convert?s_x=-72.5617&amp;s_y=41.015&amp;s_z=0.0&amp;region=contiguous&amp;s_h_frame=NAD83_2011&amp;s_coor=geo&amp;s_v_frame=NAVD88&amp;s_v_unit=us_ft&amp;t_h_frame=NAD83_2011&amp;t_coor=geo&amp;t_v_frame=MLLW&amp;t_v_unit=us_ft", "NAVD88 to MLLW")</f>
        <v>0</v>
      </c>
      <c r="AZ192" s="2">
        <f>HYPERLINK("https://vdatum.noaa.gov/vdatumweb/api/convert?s_x=-72.5617&amp;s_y=41.015&amp;s_z=0.0&amp;region=contiguous&amp;s_h_frame=NAD83_2011&amp;s_coor=geo&amp;s_v_frame=NAVD88&amp;s_v_unit=us_ft&amp;t_h_frame=NAD83_2011&amp;t_coor=geo&amp;t_v_frame=MHHW&amp;t_v_unit=us_ft", "NAVD88 to MHHW")</f>
        <v>0</v>
      </c>
    </row>
    <row r="193" spans="1:52">
      <c r="A193" s="1" t="s">
        <v>217</v>
      </c>
      <c r="B193" s="1" t="s">
        <v>621</v>
      </c>
      <c r="C193" s="1" t="s">
        <v>646</v>
      </c>
      <c r="D193" s="1" t="s">
        <v>652</v>
      </c>
      <c r="L193" s="1">
        <v>-72.5817</v>
      </c>
      <c r="M193" s="1">
        <v>40.935</v>
      </c>
      <c r="N193" s="1">
        <v>8512735</v>
      </c>
      <c r="O193" s="1" t="s">
        <v>861</v>
      </c>
      <c r="P193" s="1" t="s">
        <v>866</v>
      </c>
      <c r="Q193" s="2">
        <f>HYPERLINK("https://tidesandcurrents.noaa.gov/stationhome.html?id=8512735", "Station Info")</f>
        <v>0</v>
      </c>
      <c r="R193" s="2">
        <f>HYPERLINK("https://tidesandcurrents.noaa.gov/datums.html?datum=MLLW&amp;units=0&amp;epoch=0&amp;id=8512735", "Datum Info")</f>
        <v>0</v>
      </c>
      <c r="S193" s="2">
        <f>HYPERLINK("https://api.tidesandcurrents.noaa.gov/mdapi/prod/webapi/stations/8512735.json", "More Info")</f>
        <v>0</v>
      </c>
      <c r="T193" s="1">
        <v>3860754</v>
      </c>
      <c r="U193" s="1">
        <v>-1.66</v>
      </c>
      <c r="V193" s="1" t="s">
        <v>869</v>
      </c>
      <c r="W193" s="1" t="s">
        <v>874</v>
      </c>
      <c r="X193" s="1" t="s">
        <v>886</v>
      </c>
      <c r="Y193" s="1">
        <v>3.31</v>
      </c>
      <c r="Z193" s="1">
        <v>3.01</v>
      </c>
      <c r="AA193" s="1">
        <v>1.6</v>
      </c>
      <c r="AB193" s="1">
        <v>1.64</v>
      </c>
      <c r="AC193" s="1">
        <v>1.66</v>
      </c>
      <c r="AD193" s="1">
        <v>0.18</v>
      </c>
      <c r="AE193" s="1">
        <v>0</v>
      </c>
      <c r="AF193" s="1" t="s">
        <v>1003</v>
      </c>
      <c r="AG193" s="1">
        <v>-1.38</v>
      </c>
      <c r="AH193" s="1" t="s">
        <v>1092</v>
      </c>
      <c r="AI193" s="1" t="s">
        <v>1444</v>
      </c>
      <c r="AJ193" s="1">
        <v>2.065</v>
      </c>
      <c r="AK193" s="1">
        <v>-1.277</v>
      </c>
      <c r="AY193" s="2">
        <f>HYPERLINK("https://vdatum.noaa.gov/vdatumweb/api/convert?s_x=-72.5817&amp;s_y=40.935&amp;s_z=0.0&amp;region=contiguous&amp;s_h_frame=NAD83_2011&amp;s_coor=geo&amp;s_v_frame=NAVD88&amp;s_v_unit=us_ft&amp;t_h_frame=NAD83_2011&amp;t_coor=geo&amp;t_v_frame=MLLW&amp;t_v_unit=us_ft", "NAVD88 to MLLW")</f>
        <v>0</v>
      </c>
      <c r="AZ193" s="2">
        <f>HYPERLINK("https://vdatum.noaa.gov/vdatumweb/api/convert?s_x=-72.5817&amp;s_y=40.935&amp;s_z=0.0&amp;region=contiguous&amp;s_h_frame=NAD83_2011&amp;s_coor=geo&amp;s_v_frame=NAVD88&amp;s_v_unit=us_ft&amp;t_h_frame=NAD83_2011&amp;t_coor=geo&amp;t_v_frame=MHHW&amp;t_v_unit=us_ft", "NAVD88 to MHHW")</f>
        <v>0</v>
      </c>
    </row>
    <row r="194" spans="1:52">
      <c r="A194" s="1" t="s">
        <v>218</v>
      </c>
      <c r="B194" s="1" t="s">
        <v>621</v>
      </c>
      <c r="D194" s="1" t="s">
        <v>652</v>
      </c>
      <c r="H194" s="1" t="s">
        <v>1780</v>
      </c>
      <c r="I194" s="1" t="s">
        <v>1858</v>
      </c>
      <c r="J194" s="1" t="s">
        <v>1907</v>
      </c>
      <c r="K194" s="1" t="s">
        <v>2064</v>
      </c>
      <c r="L194" s="1">
        <v>-72.75</v>
      </c>
      <c r="M194" s="1">
        <v>40.7867</v>
      </c>
      <c r="N194" s="1">
        <v>8513388</v>
      </c>
      <c r="O194" s="1" t="s">
        <v>860</v>
      </c>
      <c r="P194" s="1" t="s">
        <v>866</v>
      </c>
      <c r="Q194" s="2">
        <f>HYPERLINK("https://tidesandcurrents.noaa.gov/stationhome.html?id=8513388", "Station Info")</f>
        <v>0</v>
      </c>
      <c r="R194" s="2">
        <f>HYPERLINK("https://tidesandcurrents.noaa.gov/datums.html?datum=MLLW&amp;units=0&amp;epoch=0&amp;id=8513388", "Datum Info")</f>
        <v>0</v>
      </c>
      <c r="S194" s="2">
        <f>HYPERLINK("https://api.tidesandcurrents.noaa.gov/mdapi/prod/webapi/stations/8513388.json", "More Info")</f>
        <v>0</v>
      </c>
      <c r="T194" s="1">
        <v>5586466</v>
      </c>
      <c r="U194" s="1">
        <v>-0.047</v>
      </c>
      <c r="V194" s="1" t="s">
        <v>869</v>
      </c>
      <c r="W194" s="1" t="s">
        <v>874</v>
      </c>
      <c r="X194" s="1" t="s">
        <v>886</v>
      </c>
      <c r="Y194" s="1">
        <v>2.5</v>
      </c>
      <c r="Z194" s="1">
        <v>2.27</v>
      </c>
      <c r="AA194" s="1">
        <v>1.2</v>
      </c>
      <c r="AB194" s="1">
        <v>1.19</v>
      </c>
      <c r="AC194" s="1">
        <v>1.25</v>
      </c>
      <c r="AD194" s="1">
        <v>0.12</v>
      </c>
      <c r="AE194" s="1">
        <v>0</v>
      </c>
      <c r="AF194" s="1" t="s">
        <v>1004</v>
      </c>
      <c r="AG194" s="1">
        <v>-1.74</v>
      </c>
      <c r="AH194" s="1" t="s">
        <v>1057</v>
      </c>
      <c r="AI194" s="1" t="s">
        <v>1445</v>
      </c>
      <c r="AJ194" s="1">
        <v>1.315</v>
      </c>
      <c r="AK194" s="1">
        <v>-1.128</v>
      </c>
      <c r="AS194" s="1">
        <v>4</v>
      </c>
      <c r="AT194" s="1">
        <v>4.4</v>
      </c>
      <c r="AU194" s="1">
        <v>5.4</v>
      </c>
      <c r="AV194" s="1">
        <v>6.4</v>
      </c>
      <c r="AW194" s="1" t="s">
        <v>1744</v>
      </c>
      <c r="AX194" s="2">
        <f>HYPERLINK("https://water.weather.gov/ahps2/hydrograph.php?wfo=okx&amp;gage=mobn6", "AHPS Data")</f>
        <v>0</v>
      </c>
      <c r="AY194" s="2">
        <f>HYPERLINK("https://vdatum.noaa.gov/vdatumweb/api/convert?s_x=-72.75&amp;s_y=40.7867&amp;s_z=0.0&amp;region=contiguous&amp;s_h_frame=NAD83_2011&amp;s_coor=geo&amp;s_v_frame=NAVD88&amp;s_v_unit=us_ft&amp;t_h_frame=NAD83_2011&amp;t_coor=geo&amp;t_v_frame=MLLW&amp;t_v_unit=us_ft", "NAVD88 to MLLW")</f>
        <v>0</v>
      </c>
      <c r="AZ194" s="2">
        <f>HYPERLINK("https://vdatum.noaa.gov/vdatumweb/api/convert?s_x=-72.75&amp;s_y=40.7867&amp;s_z=0.0&amp;region=contiguous&amp;s_h_frame=NAD83_2011&amp;s_coor=geo&amp;s_v_frame=NAVD88&amp;s_v_unit=us_ft&amp;t_h_frame=NAD83_2011&amp;t_coor=geo&amp;t_v_frame=MHHW&amp;t_v_unit=us_ft", "NAVD88 to MHHW")</f>
        <v>0</v>
      </c>
    </row>
    <row r="195" spans="1:52">
      <c r="A195" s="1" t="s">
        <v>219</v>
      </c>
      <c r="B195" s="1" t="s">
        <v>621</v>
      </c>
      <c r="C195" s="1" t="s">
        <v>646</v>
      </c>
      <c r="D195" s="1" t="s">
        <v>652</v>
      </c>
      <c r="E195" s="1" t="s">
        <v>722</v>
      </c>
      <c r="F195" s="1" t="s">
        <v>833</v>
      </c>
      <c r="G195" s="1" t="s">
        <v>854</v>
      </c>
      <c r="H195" s="1" t="s">
        <v>1781</v>
      </c>
      <c r="I195" s="1" t="s">
        <v>1858</v>
      </c>
      <c r="J195" s="1" t="s">
        <v>1908</v>
      </c>
      <c r="K195" s="1" t="s">
        <v>2065</v>
      </c>
      <c r="L195" s="1">
        <v>-73</v>
      </c>
      <c r="M195" s="1">
        <v>40.75</v>
      </c>
      <c r="N195" s="1">
        <v>8514322</v>
      </c>
      <c r="O195" s="1" t="s">
        <v>860</v>
      </c>
      <c r="P195" s="1" t="s">
        <v>866</v>
      </c>
      <c r="Q195" s="2">
        <f>HYPERLINK("https://tidesandcurrents.noaa.gov/stationhome.html?id=8514322", "Station Info")</f>
        <v>0</v>
      </c>
      <c r="R195" s="2">
        <f>HYPERLINK("https://tidesandcurrents.noaa.gov/datums.html?datum=MLLW&amp;units=0&amp;epoch=0&amp;id=8514322", "Datum Info")</f>
        <v>0</v>
      </c>
      <c r="S195" s="2">
        <f>HYPERLINK("https://api.tidesandcurrents.noaa.gov/mdapi/prod/webapi/stations/8514322.json", "More Info")</f>
        <v>0</v>
      </c>
      <c r="T195" s="1">
        <v>1978745</v>
      </c>
      <c r="U195" s="1">
        <v>-0.026</v>
      </c>
      <c r="V195" s="1" t="s">
        <v>869</v>
      </c>
      <c r="W195" s="1" t="s">
        <v>874</v>
      </c>
      <c r="X195" s="1" t="s">
        <v>886</v>
      </c>
      <c r="Y195" s="1">
        <v>1.38</v>
      </c>
      <c r="Z195" s="1">
        <v>1.22</v>
      </c>
      <c r="AA195" s="1">
        <v>0.66</v>
      </c>
      <c r="AB195" s="1">
        <v>0.66</v>
      </c>
      <c r="AC195" s="1">
        <v>0.6899999999999999</v>
      </c>
      <c r="AD195" s="1">
        <v>0.11</v>
      </c>
      <c r="AE195" s="1">
        <v>0</v>
      </c>
      <c r="AF195" s="1" t="s">
        <v>1005</v>
      </c>
      <c r="AG195" s="1">
        <v>-3.9</v>
      </c>
      <c r="AH195" s="1" t="s">
        <v>1177</v>
      </c>
      <c r="AI195" s="1" t="s">
        <v>1446</v>
      </c>
      <c r="AJ195" s="1">
        <v>0.704</v>
      </c>
      <c r="AK195" s="1">
        <v>-0.724</v>
      </c>
      <c r="AS195" s="1">
        <v>2.8</v>
      </c>
      <c r="AT195" s="1">
        <v>3.1</v>
      </c>
      <c r="AU195" s="1">
        <v>3.6</v>
      </c>
      <c r="AV195" s="1">
        <v>4.1</v>
      </c>
      <c r="AW195" s="1" t="s">
        <v>1744</v>
      </c>
      <c r="AX195" s="2">
        <f>HYPERLINK("https://water.weather.gov/ahps2/hydrograph.php?wfo=okx&amp;gage=firn6", "AHPS Data")</f>
        <v>0</v>
      </c>
      <c r="AY195" s="2">
        <f>HYPERLINK("https://vdatum.noaa.gov/vdatumweb/api/convert?s_x=-73.0&amp;s_y=40.75&amp;s_z=0.0&amp;region=contiguous&amp;s_h_frame=NAD83_2011&amp;s_coor=geo&amp;s_v_frame=NAVD88&amp;s_v_unit=us_ft&amp;t_h_frame=NAD83_2011&amp;t_coor=geo&amp;t_v_frame=MLLW&amp;t_v_unit=us_ft", "NAVD88 to MLLW")</f>
        <v>0</v>
      </c>
      <c r="AZ195" s="2">
        <f>HYPERLINK("https://vdatum.noaa.gov/vdatumweb/api/convert?s_x=-73.0&amp;s_y=40.75&amp;s_z=0.0&amp;region=contiguous&amp;s_h_frame=NAD83_2011&amp;s_coor=geo&amp;s_v_frame=NAVD88&amp;s_v_unit=us_ft&amp;t_h_frame=NAD83_2011&amp;t_coor=geo&amp;t_v_frame=MHHW&amp;t_v_unit=us_ft", "NAVD88 to MHHW")</f>
        <v>0</v>
      </c>
    </row>
    <row r="196" spans="1:52">
      <c r="A196" s="1" t="s">
        <v>220</v>
      </c>
      <c r="B196" s="1" t="s">
        <v>621</v>
      </c>
      <c r="D196" s="1" t="s">
        <v>652</v>
      </c>
      <c r="E196" s="1" t="s">
        <v>722</v>
      </c>
      <c r="F196" s="1" t="s">
        <v>833</v>
      </c>
      <c r="G196" s="1" t="s">
        <v>854</v>
      </c>
      <c r="H196" s="1" t="s">
        <v>1782</v>
      </c>
      <c r="I196" s="1" t="s">
        <v>1858</v>
      </c>
      <c r="J196" s="1" t="s">
        <v>1909</v>
      </c>
      <c r="K196" s="1" t="s">
        <v>2066</v>
      </c>
      <c r="L196" s="1">
        <v>-73.091667</v>
      </c>
      <c r="M196" s="1">
        <v>40.971666</v>
      </c>
      <c r="N196" s="1">
        <v>8514594</v>
      </c>
      <c r="O196" s="1" t="s">
        <v>860</v>
      </c>
      <c r="P196" s="1" t="s">
        <v>866</v>
      </c>
      <c r="Q196" s="2">
        <f>HYPERLINK("https://tidesandcurrents.noaa.gov/stationhome.html?id=8514594", "Station Info")</f>
        <v>0</v>
      </c>
      <c r="R196" s="2">
        <f>HYPERLINK("https://tidesandcurrents.noaa.gov/datums.html?datum=MLLW&amp;units=0&amp;epoch=0&amp;id=8514594", "Datum Info")</f>
        <v>0</v>
      </c>
      <c r="S196" s="2">
        <f>HYPERLINK("https://api.tidesandcurrents.noaa.gov/mdapi/prod/webapi/stations/8514594.json", "More Info")</f>
        <v>0</v>
      </c>
      <c r="T196" s="1">
        <v>4448810</v>
      </c>
      <c r="U196" s="1">
        <v>0</v>
      </c>
      <c r="V196" s="1" t="s">
        <v>869</v>
      </c>
      <c r="W196" s="1" t="s">
        <v>874</v>
      </c>
      <c r="AJ196" s="1">
        <v>3.691</v>
      </c>
      <c r="AK196" s="1">
        <v>-3.431</v>
      </c>
      <c r="AS196" s="1">
        <v>9</v>
      </c>
      <c r="AT196" s="1">
        <v>9.199999999999999</v>
      </c>
      <c r="AU196" s="1">
        <v>10.2</v>
      </c>
      <c r="AV196" s="1">
        <v>12.2</v>
      </c>
      <c r="AW196" s="1" t="s">
        <v>1744</v>
      </c>
      <c r="AX196" s="2">
        <f>HYPERLINK("https://water.weather.gov/ahps2/hydrograph.php?wfo=okx&amp;gage=flxn6", "AHPS Data")</f>
        <v>0</v>
      </c>
      <c r="AY196" s="2">
        <f>HYPERLINK("https://vdatum.noaa.gov/vdatumweb/api/convert?s_x=-73.091667&amp;s_y=40.971666&amp;s_z=0.0&amp;region=contiguous&amp;s_h_frame=NAD83_2011&amp;s_coor=geo&amp;s_v_frame=NAVD88&amp;s_v_unit=us_ft&amp;t_h_frame=NAD83_2011&amp;t_coor=geo&amp;t_v_frame=MLLW&amp;t_v_unit=us_ft", "NAVD88 to MLLW")</f>
        <v>0</v>
      </c>
      <c r="AZ196" s="2">
        <f>HYPERLINK("https://vdatum.noaa.gov/vdatumweb/api/convert?s_x=-73.091667&amp;s_y=40.971666&amp;s_z=0.0&amp;region=contiguous&amp;s_h_frame=NAD83_2011&amp;s_coor=geo&amp;s_v_frame=NAVD88&amp;s_v_unit=us_ft&amp;t_h_frame=NAD83_2011&amp;t_coor=geo&amp;t_v_frame=MHHW&amp;t_v_unit=us_ft", "NAVD88 to MHHW")</f>
        <v>0</v>
      </c>
    </row>
    <row r="197" spans="1:52">
      <c r="A197" s="1" t="s">
        <v>221</v>
      </c>
      <c r="B197" s="1" t="s">
        <v>621</v>
      </c>
      <c r="C197" s="1" t="s">
        <v>646</v>
      </c>
      <c r="D197" s="1" t="s">
        <v>652</v>
      </c>
      <c r="E197" s="1" t="s">
        <v>723</v>
      </c>
      <c r="F197" s="1" t="s">
        <v>833</v>
      </c>
      <c r="G197" s="1" t="s">
        <v>854</v>
      </c>
      <c r="H197" s="1" t="s">
        <v>1783</v>
      </c>
      <c r="I197" s="1" t="s">
        <v>1858</v>
      </c>
      <c r="J197" s="1" t="s">
        <v>1910</v>
      </c>
      <c r="K197" s="1" t="s">
        <v>2067</v>
      </c>
      <c r="L197" s="1">
        <v>-73.58</v>
      </c>
      <c r="M197" s="1">
        <v>40.59</v>
      </c>
      <c r="N197" s="1">
        <v>8516402</v>
      </c>
      <c r="O197" s="1" t="s">
        <v>860</v>
      </c>
      <c r="P197" s="1" t="s">
        <v>866</v>
      </c>
      <c r="Q197" s="2">
        <f>HYPERLINK("https://tidesandcurrents.noaa.gov/stationhome.html?id=8516402", "Station Info")</f>
        <v>0</v>
      </c>
      <c r="R197" s="2">
        <f>HYPERLINK("https://tidesandcurrents.noaa.gov/datums.html?datum=MLLW&amp;units=0&amp;epoch=0&amp;id=8516402", "Datum Info")</f>
        <v>0</v>
      </c>
      <c r="S197" s="2">
        <f>HYPERLINK("https://api.tidesandcurrents.noaa.gov/mdapi/prod/webapi/stations/8516402.json", "More Info")</f>
        <v>0</v>
      </c>
      <c r="T197" s="1">
        <v>3697461</v>
      </c>
      <c r="U197" s="1">
        <v>-0.109</v>
      </c>
      <c r="V197" s="1" t="s">
        <v>869</v>
      </c>
      <c r="W197" s="1" t="s">
        <v>874</v>
      </c>
      <c r="X197" s="1" t="s">
        <v>886</v>
      </c>
      <c r="Y197" s="1">
        <v>4.66</v>
      </c>
      <c r="Z197" s="1">
        <v>4.33</v>
      </c>
      <c r="AA197" s="1">
        <v>2.26</v>
      </c>
      <c r="AB197" s="1">
        <v>2.24</v>
      </c>
      <c r="AC197" s="1">
        <v>2.33</v>
      </c>
      <c r="AD197" s="1">
        <v>0.19</v>
      </c>
      <c r="AE197" s="1">
        <v>0</v>
      </c>
      <c r="AF197" s="1" t="s">
        <v>1006</v>
      </c>
      <c r="AG197" s="1">
        <v>-23.83</v>
      </c>
      <c r="AH197" s="1" t="s">
        <v>1178</v>
      </c>
      <c r="AI197" s="1" t="s">
        <v>1447</v>
      </c>
      <c r="AJ197" s="1">
        <v>2.639</v>
      </c>
      <c r="AK197" s="1">
        <v>-2.044</v>
      </c>
      <c r="AS197" s="1">
        <v>5.5</v>
      </c>
      <c r="AT197" s="1">
        <v>5.8</v>
      </c>
      <c r="AU197" s="1">
        <v>6.8</v>
      </c>
      <c r="AV197" s="1">
        <v>7.8</v>
      </c>
      <c r="AW197" s="1" t="s">
        <v>1744</v>
      </c>
      <c r="AX197" s="2">
        <f>HYPERLINK("https://water.weather.gov/ahps2/hydrograph.php?wfo=okx&amp;gage=reyn6", "AHPS Data")</f>
        <v>0</v>
      </c>
      <c r="AY197" s="2">
        <f>HYPERLINK("https://vdatum.noaa.gov/vdatumweb/api/convert?s_x=-73.58&amp;s_y=40.59&amp;s_z=0.0&amp;region=contiguous&amp;s_h_frame=NAD83_2011&amp;s_coor=geo&amp;s_v_frame=NAVD88&amp;s_v_unit=us_ft&amp;t_h_frame=NAD83_2011&amp;t_coor=geo&amp;t_v_frame=MLLW&amp;t_v_unit=us_ft", "NAVD88 to MLLW")</f>
        <v>0</v>
      </c>
      <c r="AZ197" s="2">
        <f>HYPERLINK("https://vdatum.noaa.gov/vdatumweb/api/convert?s_x=-73.58&amp;s_y=40.59&amp;s_z=0.0&amp;region=contiguous&amp;s_h_frame=NAD83_2011&amp;s_coor=geo&amp;s_v_frame=NAVD88&amp;s_v_unit=us_ft&amp;t_h_frame=NAD83_2011&amp;t_coor=geo&amp;t_v_frame=MHHW&amp;t_v_unit=us_ft", "NAVD88 to MHHW")</f>
        <v>0</v>
      </c>
    </row>
    <row r="198" spans="1:52">
      <c r="A198" s="1" t="s">
        <v>222</v>
      </c>
      <c r="B198" s="1" t="s">
        <v>621</v>
      </c>
      <c r="C198" s="1" t="s">
        <v>646</v>
      </c>
      <c r="D198" s="1" t="s">
        <v>652</v>
      </c>
      <c r="H198" s="1" t="s">
        <v>1784</v>
      </c>
      <c r="I198" s="1" t="s">
        <v>1856</v>
      </c>
      <c r="J198" s="1" t="s">
        <v>1911</v>
      </c>
      <c r="K198" s="1" t="s">
        <v>2068</v>
      </c>
      <c r="L198" s="1">
        <v>-73.584</v>
      </c>
      <c r="M198" s="1">
        <v>40.5939</v>
      </c>
      <c r="N198" s="1">
        <v>8516411</v>
      </c>
      <c r="O198" s="1" t="s">
        <v>860</v>
      </c>
      <c r="P198" s="1" t="s">
        <v>866</v>
      </c>
      <c r="Q198" s="2">
        <f>HYPERLINK("https://tidesandcurrents.noaa.gov/stationhome.html?id=8516411", "Station Info")</f>
        <v>0</v>
      </c>
      <c r="R198" s="2">
        <f>HYPERLINK("https://tidesandcurrents.noaa.gov/datums.html?datum=MLLW&amp;units=0&amp;epoch=0&amp;id=8516411", "Datum Info")</f>
        <v>0</v>
      </c>
      <c r="S198" s="2">
        <f>HYPERLINK("https://api.tidesandcurrents.noaa.gov/mdapi/prod/webapi/stations/8516411.json", "More Info")</f>
        <v>0</v>
      </c>
      <c r="T198" s="1">
        <v>3697468</v>
      </c>
      <c r="U198" s="1">
        <v>0</v>
      </c>
      <c r="V198" s="1" t="s">
        <v>869</v>
      </c>
      <c r="W198" s="1" t="s">
        <v>874</v>
      </c>
      <c r="AJ198" s="1">
        <v>2.676</v>
      </c>
      <c r="AK198" s="1">
        <v>-1.976</v>
      </c>
      <c r="AS198" s="1">
        <v>5.8</v>
      </c>
      <c r="AT198" s="1">
        <v>6</v>
      </c>
      <c r="AU198" s="1">
        <v>6.5</v>
      </c>
      <c r="AV198" s="1">
        <v>7.2</v>
      </c>
      <c r="AW198" s="1" t="s">
        <v>1744</v>
      </c>
      <c r="AX198" s="2">
        <f>HYPERLINK("https://water.weather.gov/ahps2/hydrograph.php?wfo=okx&amp;gage=frpn6", "AHPS Data")</f>
        <v>0</v>
      </c>
      <c r="AY198" s="2">
        <f>HYPERLINK("https://vdatum.noaa.gov/vdatumweb/api/convert?s_x=-73.584&amp;s_y=40.5939&amp;s_z=0.0&amp;region=contiguous&amp;s_h_frame=NAD83_2011&amp;s_coor=geo&amp;s_v_frame=NAVD88&amp;s_v_unit=us_ft&amp;t_h_frame=NAD83_2011&amp;t_coor=geo&amp;t_v_frame=MLLW&amp;t_v_unit=us_ft", "NAVD88 to MLLW")</f>
        <v>0</v>
      </c>
      <c r="AZ198" s="2">
        <f>HYPERLINK("https://vdatum.noaa.gov/vdatumweb/api/convert?s_x=-73.584&amp;s_y=40.5939&amp;s_z=0.0&amp;region=contiguous&amp;s_h_frame=NAD83_2011&amp;s_coor=geo&amp;s_v_frame=NAVD88&amp;s_v_unit=us_ft&amp;t_h_frame=NAD83_2011&amp;t_coor=geo&amp;t_v_frame=MHHW&amp;t_v_unit=us_ft", "NAVD88 to MHHW")</f>
        <v>0</v>
      </c>
    </row>
    <row r="199" spans="1:52">
      <c r="A199" s="1" t="s">
        <v>223</v>
      </c>
      <c r="B199" s="1" t="s">
        <v>621</v>
      </c>
      <c r="D199" s="1" t="s">
        <v>652</v>
      </c>
      <c r="H199" s="1" t="s">
        <v>1785</v>
      </c>
      <c r="I199" s="1" t="s">
        <v>1858</v>
      </c>
      <c r="J199" s="1" t="s">
        <v>1912</v>
      </c>
      <c r="K199" s="1" t="s">
        <v>2069</v>
      </c>
      <c r="L199" s="1">
        <v>-73.655</v>
      </c>
      <c r="M199" s="1">
        <v>40.8633</v>
      </c>
      <c r="N199" s="1">
        <v>8516614</v>
      </c>
      <c r="O199" s="1" t="s">
        <v>860</v>
      </c>
      <c r="P199" s="1" t="s">
        <v>866</v>
      </c>
      <c r="Q199" s="2">
        <f>HYPERLINK("https://tidesandcurrents.noaa.gov/stationhome.html?id=8516614", "Station Info")</f>
        <v>0</v>
      </c>
      <c r="R199" s="2">
        <f>HYPERLINK("https://tidesandcurrents.noaa.gov/datums.html?datum=MLLW&amp;units=0&amp;epoch=0&amp;id=8516614", "Datum Info")</f>
        <v>0</v>
      </c>
      <c r="S199" s="2">
        <f>HYPERLINK("https://api.tidesandcurrents.noaa.gov/mdapi/prod/webapi/stations/8516614.json", "More Info")</f>
        <v>0</v>
      </c>
      <c r="T199" s="1">
        <v>3018829</v>
      </c>
      <c r="U199" s="1">
        <v>0</v>
      </c>
      <c r="V199" s="1" t="s">
        <v>869</v>
      </c>
      <c r="W199" s="1" t="s">
        <v>874</v>
      </c>
      <c r="X199" s="1" t="s">
        <v>886</v>
      </c>
      <c r="Y199" s="1">
        <v>7.87</v>
      </c>
      <c r="Z199" s="1">
        <v>7.51</v>
      </c>
      <c r="AA199" s="1">
        <v>3.87</v>
      </c>
      <c r="AB199" s="1">
        <v>3.88</v>
      </c>
      <c r="AC199" s="1">
        <v>3.94</v>
      </c>
      <c r="AD199" s="1">
        <v>0.24</v>
      </c>
      <c r="AE199" s="1">
        <v>0</v>
      </c>
      <c r="AF199" s="1">
        <v>4.15</v>
      </c>
      <c r="AG199" s="1">
        <v>-2.17</v>
      </c>
      <c r="AH199" s="1" t="s">
        <v>1179</v>
      </c>
      <c r="AI199" s="1" t="s">
        <v>1448</v>
      </c>
      <c r="AJ199" s="1">
        <v>4.171</v>
      </c>
      <c r="AK199" s="1">
        <v>-3.724</v>
      </c>
      <c r="AS199" s="1">
        <v>9.800000000000001</v>
      </c>
      <c r="AT199" s="1">
        <v>10.1</v>
      </c>
      <c r="AU199" s="1">
        <v>11.1</v>
      </c>
      <c r="AV199" s="1">
        <v>13.1</v>
      </c>
      <c r="AW199" s="1" t="s">
        <v>1744</v>
      </c>
      <c r="AX199" s="2">
        <f>HYPERLINK("https://water.weather.gov/ahps2/hydrograph.php?wfo=okx&amp;gage=wesn6", "AHPS Data")</f>
        <v>0</v>
      </c>
      <c r="AY199" s="2">
        <f>HYPERLINK("https://vdatum.noaa.gov/vdatumweb/api/convert?s_x=-73.655&amp;s_y=40.8633&amp;s_z=0.0&amp;region=contiguous&amp;s_h_frame=NAD83_2011&amp;s_coor=geo&amp;s_v_frame=NAVD88&amp;s_v_unit=us_ft&amp;t_h_frame=NAD83_2011&amp;t_coor=geo&amp;t_v_frame=MLLW&amp;t_v_unit=us_ft", "NAVD88 to MLLW")</f>
        <v>0</v>
      </c>
      <c r="AZ199" s="2">
        <f>HYPERLINK("https://vdatum.noaa.gov/vdatumweb/api/convert?s_x=-73.655&amp;s_y=40.8633&amp;s_z=0.0&amp;region=contiguous&amp;s_h_frame=NAD83_2011&amp;s_coor=geo&amp;s_v_frame=NAVD88&amp;s_v_unit=us_ft&amp;t_h_frame=NAD83_2011&amp;t_coor=geo&amp;t_v_frame=MHHW&amp;t_v_unit=us_ft", "NAVD88 to MHHW")</f>
        <v>0</v>
      </c>
    </row>
    <row r="200" spans="1:52">
      <c r="A200" s="1" t="s">
        <v>224</v>
      </c>
      <c r="B200" s="1" t="s">
        <v>621</v>
      </c>
      <c r="D200" s="1" t="s">
        <v>652</v>
      </c>
      <c r="E200" s="1" t="s">
        <v>724</v>
      </c>
      <c r="F200" s="1" t="s">
        <v>833</v>
      </c>
      <c r="G200" s="1" t="s">
        <v>854</v>
      </c>
      <c r="H200" s="1" t="s">
        <v>1786</v>
      </c>
      <c r="I200" s="1" t="s">
        <v>1856</v>
      </c>
      <c r="J200" s="1" t="s">
        <v>1913</v>
      </c>
      <c r="K200" s="1" t="s">
        <v>2070</v>
      </c>
      <c r="L200" s="1">
        <v>-73.7433</v>
      </c>
      <c r="M200" s="1">
        <v>40.595</v>
      </c>
      <c r="N200" s="1">
        <v>8516881</v>
      </c>
      <c r="O200" s="1" t="s">
        <v>860</v>
      </c>
      <c r="P200" s="1" t="s">
        <v>866</v>
      </c>
      <c r="Q200" s="2">
        <f>HYPERLINK("https://tidesandcurrents.noaa.gov/stationhome.html?id=8516881", "Station Info")</f>
        <v>0</v>
      </c>
      <c r="R200" s="2">
        <f>HYPERLINK("https://tidesandcurrents.noaa.gov/datums.html?datum=MLLW&amp;units=0&amp;epoch=0&amp;id=8516881", "Datum Info")</f>
        <v>0</v>
      </c>
      <c r="S200" s="2">
        <f>HYPERLINK("https://api.tidesandcurrents.noaa.gov/mdapi/prod/webapi/stations/8516881.json", "More Info")</f>
        <v>0</v>
      </c>
      <c r="T200" s="1">
        <v>3697620</v>
      </c>
      <c r="U200" s="1">
        <v>0</v>
      </c>
      <c r="V200" s="1" t="s">
        <v>869</v>
      </c>
      <c r="W200" s="1" t="s">
        <v>874</v>
      </c>
      <c r="X200" s="1" t="s">
        <v>886</v>
      </c>
      <c r="Y200" s="1">
        <v>4.9</v>
      </c>
      <c r="Z200" s="1">
        <v>4.56</v>
      </c>
      <c r="AA200" s="1">
        <v>2.38</v>
      </c>
      <c r="AB200" s="1">
        <v>2.37</v>
      </c>
      <c r="AC200" s="1">
        <v>2.45</v>
      </c>
      <c r="AD200" s="1">
        <v>0.19</v>
      </c>
      <c r="AE200" s="1">
        <v>0</v>
      </c>
      <c r="AF200" s="1">
        <v>2.86</v>
      </c>
      <c r="AG200" s="1">
        <v>-19.31</v>
      </c>
      <c r="AH200" s="1" t="s">
        <v>1180</v>
      </c>
      <c r="AI200" s="1" t="s">
        <v>1449</v>
      </c>
      <c r="AJ200" s="1">
        <v>2.878</v>
      </c>
      <c r="AK200" s="1">
        <v>-2.025</v>
      </c>
      <c r="AM200" s="1">
        <v>0</v>
      </c>
      <c r="AS200" s="1">
        <v>5.8</v>
      </c>
      <c r="AT200" s="1">
        <v>6</v>
      </c>
      <c r="AU200" s="1">
        <v>7</v>
      </c>
      <c r="AV200" s="1">
        <v>8</v>
      </c>
      <c r="AW200" s="1" t="s">
        <v>1744</v>
      </c>
      <c r="AX200" s="2">
        <f>HYPERLINK("https://water.weather.gov/ahps2/hydrograph.php?wfo=okx&amp;gage=rkwn6", "AHPS Data")</f>
        <v>0</v>
      </c>
      <c r="AY200" s="2">
        <f>HYPERLINK("https://vdatum.noaa.gov/vdatumweb/api/convert?s_x=-73.7433&amp;s_y=40.595&amp;s_z=0.0&amp;region=contiguous&amp;s_h_frame=NAD83_2011&amp;s_coor=geo&amp;s_v_frame=NAVD88&amp;s_v_unit=us_ft&amp;t_h_frame=NAD83_2011&amp;t_coor=geo&amp;t_v_frame=MLLW&amp;t_v_unit=us_ft", "NAVD88 to MLLW")</f>
        <v>0</v>
      </c>
      <c r="AZ200" s="2">
        <f>HYPERLINK("https://vdatum.noaa.gov/vdatumweb/api/convert?s_x=-73.7433&amp;s_y=40.595&amp;s_z=0.0&amp;region=contiguous&amp;s_h_frame=NAD83_2011&amp;s_coor=geo&amp;s_v_frame=NAVD88&amp;s_v_unit=us_ft&amp;t_h_frame=NAD83_2011&amp;t_coor=geo&amp;t_v_frame=MHHW&amp;t_v_unit=us_ft", "NAVD88 to MHHW")</f>
        <v>0</v>
      </c>
    </row>
    <row r="201" spans="1:52">
      <c r="A201" s="1" t="s">
        <v>225</v>
      </c>
      <c r="B201" s="1" t="s">
        <v>621</v>
      </c>
      <c r="C201" s="1" t="s">
        <v>646</v>
      </c>
      <c r="D201" s="1" t="s">
        <v>652</v>
      </c>
      <c r="E201" s="1" t="s">
        <v>723</v>
      </c>
      <c r="F201" s="1" t="s">
        <v>833</v>
      </c>
      <c r="G201" s="1" t="s">
        <v>854</v>
      </c>
      <c r="H201" s="1" t="s">
        <v>1787</v>
      </c>
      <c r="I201" s="1" t="s">
        <v>1856</v>
      </c>
      <c r="J201" s="1" t="s">
        <v>1914</v>
      </c>
      <c r="K201" s="1" t="s">
        <v>2071</v>
      </c>
      <c r="L201" s="1">
        <v>-73.75833299999999</v>
      </c>
      <c r="M201" s="1">
        <v>40.616666</v>
      </c>
      <c r="N201" s="1">
        <v>8516925</v>
      </c>
      <c r="O201" s="1" t="s">
        <v>860</v>
      </c>
      <c r="P201" s="1" t="s">
        <v>866</v>
      </c>
      <c r="Q201" s="2">
        <f>HYPERLINK("https://tidesandcurrents.noaa.gov/stationhome.html?id=8516925", "Station Info")</f>
        <v>0</v>
      </c>
      <c r="R201" s="2">
        <f>HYPERLINK("https://tidesandcurrents.noaa.gov/datums.html?datum=MLLW&amp;units=0&amp;epoch=0&amp;id=8516925", "Datum Info")</f>
        <v>0</v>
      </c>
      <c r="S201" s="2">
        <f>HYPERLINK("https://api.tidesandcurrents.noaa.gov/mdapi/prod/webapi/stations/8516925.json", "More Info")</f>
        <v>0</v>
      </c>
      <c r="T201" s="1">
        <v>5586754</v>
      </c>
      <c r="U201" s="1">
        <v>0</v>
      </c>
      <c r="V201" s="1" t="s">
        <v>869</v>
      </c>
      <c r="W201" s="1" t="s">
        <v>874</v>
      </c>
      <c r="AJ201" s="1">
        <v>3.405</v>
      </c>
      <c r="AK201" s="1">
        <v>-2.787</v>
      </c>
      <c r="AS201" s="1">
        <v>7.2</v>
      </c>
      <c r="AT201" s="1">
        <v>7.5</v>
      </c>
      <c r="AU201" s="1">
        <v>8.199999999999999</v>
      </c>
      <c r="AV201" s="1">
        <v>9</v>
      </c>
      <c r="AW201" s="1" t="s">
        <v>1744</v>
      </c>
      <c r="AX201" s="2">
        <f>HYPERLINK("https://water.weather.gov/ahps2/hydrograph.php?wfo=okx&amp;gage=iwdn6", "AHPS Data")</f>
        <v>0</v>
      </c>
      <c r="AY201" s="2">
        <f>HYPERLINK("https://vdatum.noaa.gov/vdatumweb/api/convert?s_x=-73.758333&amp;s_y=40.616666&amp;s_z=0.0&amp;region=contiguous&amp;s_h_frame=NAD83_2011&amp;s_coor=geo&amp;s_v_frame=NAVD88&amp;s_v_unit=us_ft&amp;t_h_frame=NAD83_2011&amp;t_coor=geo&amp;t_v_frame=MLLW&amp;t_v_unit=us_ft", "NAVD88 to MLLW")</f>
        <v>0</v>
      </c>
      <c r="AZ201" s="2">
        <f>HYPERLINK("https://vdatum.noaa.gov/vdatumweb/api/convert?s_x=-73.758333&amp;s_y=40.616666&amp;s_z=0.0&amp;region=contiguous&amp;s_h_frame=NAD83_2011&amp;s_coor=geo&amp;s_v_frame=NAVD88&amp;s_v_unit=us_ft&amp;t_h_frame=NAD83_2011&amp;t_coor=geo&amp;t_v_frame=MHHW&amp;t_v_unit=us_ft", "NAVD88 to MHHW")</f>
        <v>0</v>
      </c>
    </row>
    <row r="202" spans="1:52">
      <c r="A202" s="1" t="s">
        <v>226</v>
      </c>
      <c r="B202" s="1" t="s">
        <v>621</v>
      </c>
      <c r="D202" s="1" t="s">
        <v>652</v>
      </c>
      <c r="L202" s="1">
        <v>-73.765</v>
      </c>
      <c r="M202" s="1">
        <v>40.81031</v>
      </c>
      <c r="N202" s="1">
        <v>8516945</v>
      </c>
      <c r="O202" s="1" t="s">
        <v>860</v>
      </c>
      <c r="P202" s="1" t="s">
        <v>866</v>
      </c>
      <c r="Q202" s="2">
        <f>HYPERLINK("https://tidesandcurrents.noaa.gov/stationhome.html?id=8516945", "Station Info")</f>
        <v>0</v>
      </c>
      <c r="R202" s="2">
        <f>HYPERLINK("https://tidesandcurrents.noaa.gov/datums.html?datum=MLLW&amp;units=0&amp;epoch=0&amp;id=8516945", "Datum Info")</f>
        <v>0</v>
      </c>
      <c r="S202" s="2">
        <f>HYPERLINK("https://api.tidesandcurrents.noaa.gov/mdapi/prod/webapi/stations/8516945.json", "More Info")</f>
        <v>0</v>
      </c>
      <c r="T202" s="1">
        <v>2645148</v>
      </c>
      <c r="U202" s="1">
        <v>0</v>
      </c>
      <c r="V202" s="1" t="s">
        <v>869</v>
      </c>
      <c r="W202" s="1" t="s">
        <v>874</v>
      </c>
      <c r="X202" s="1" t="s">
        <v>886</v>
      </c>
      <c r="Y202" s="1">
        <v>7.8</v>
      </c>
      <c r="Z202" s="1">
        <v>7.45</v>
      </c>
      <c r="AA202" s="1">
        <v>3.86</v>
      </c>
      <c r="AB202" s="1">
        <v>3.89</v>
      </c>
      <c r="AC202" s="1">
        <v>3.9</v>
      </c>
      <c r="AD202" s="1">
        <v>0.28</v>
      </c>
      <c r="AE202" s="1">
        <v>0</v>
      </c>
      <c r="AF202" s="1">
        <v>4.21</v>
      </c>
      <c r="AG202" s="1">
        <v>-12.88</v>
      </c>
      <c r="AH202" s="1" t="s">
        <v>1181</v>
      </c>
      <c r="AI202" s="1" t="s">
        <v>1450</v>
      </c>
      <c r="AJ202" s="1">
        <v>4.123</v>
      </c>
      <c r="AK202" s="1">
        <v>-3.682</v>
      </c>
      <c r="AY202" s="2">
        <f>HYPERLINK("https://vdatum.noaa.gov/vdatumweb/api/convert?s_x=-73.765&amp;s_y=40.81031&amp;s_z=0.0&amp;region=contiguous&amp;s_h_frame=NAD83_2011&amp;s_coor=geo&amp;s_v_frame=NAVD88&amp;s_v_unit=us_ft&amp;t_h_frame=NAD83_2011&amp;t_coor=geo&amp;t_v_frame=MLLW&amp;t_v_unit=us_ft", "NAVD88 to MLLW")</f>
        <v>0</v>
      </c>
      <c r="AZ202" s="2">
        <f>HYPERLINK("https://vdatum.noaa.gov/vdatumweb/api/convert?s_x=-73.765&amp;s_y=40.81031&amp;s_z=0.0&amp;region=contiguous&amp;s_h_frame=NAD83_2011&amp;s_coor=geo&amp;s_v_frame=NAVD88&amp;s_v_unit=us_ft&amp;t_h_frame=NAD83_2011&amp;t_coor=geo&amp;t_v_frame=MHHW&amp;t_v_unit=us_ft", "NAVD88 to MHHW")</f>
        <v>0</v>
      </c>
    </row>
    <row r="203" spans="1:52">
      <c r="A203" s="1" t="s">
        <v>227</v>
      </c>
      <c r="B203" s="1" t="s">
        <v>621</v>
      </c>
      <c r="C203" s="1" t="s">
        <v>646</v>
      </c>
      <c r="D203" s="1" t="s">
        <v>652</v>
      </c>
      <c r="H203" s="1" t="s">
        <v>1787</v>
      </c>
      <c r="I203" s="1" t="s">
        <v>1858</v>
      </c>
      <c r="J203" s="1" t="s">
        <v>1915</v>
      </c>
      <c r="K203" s="1" t="s">
        <v>2072</v>
      </c>
      <c r="L203" s="1">
        <v>-73.888333</v>
      </c>
      <c r="M203" s="1">
        <v>40.578333</v>
      </c>
      <c r="N203" s="1">
        <v>8517394</v>
      </c>
      <c r="O203" s="1" t="s">
        <v>860</v>
      </c>
      <c r="P203" s="1" t="s">
        <v>866</v>
      </c>
      <c r="Q203" s="2">
        <f>HYPERLINK("https://tidesandcurrents.noaa.gov/stationhome.html?id=8517394", "Station Info")</f>
        <v>0</v>
      </c>
      <c r="R203" s="2">
        <f>HYPERLINK("https://tidesandcurrents.noaa.gov/datums.html?datum=MLLW&amp;units=0&amp;epoch=0&amp;id=8517394", "Datum Info")</f>
        <v>0</v>
      </c>
      <c r="S203" s="2">
        <f>HYPERLINK("https://api.tidesandcurrents.noaa.gov/mdapi/prod/webapi/stations/8517394.json", "More Info")</f>
        <v>0</v>
      </c>
      <c r="T203" s="1">
        <v>4725014</v>
      </c>
      <c r="U203" s="1">
        <v>0</v>
      </c>
      <c r="V203" s="1" t="s">
        <v>869</v>
      </c>
      <c r="W203" s="1" t="s">
        <v>874</v>
      </c>
      <c r="AJ203" s="1">
        <v>3.16</v>
      </c>
      <c r="AK203" s="1">
        <v>-2.461</v>
      </c>
      <c r="AS203" s="1">
        <v>7</v>
      </c>
      <c r="AT203" s="1">
        <v>7.3</v>
      </c>
      <c r="AU203" s="1">
        <v>8.300000000000001</v>
      </c>
      <c r="AV203" s="1">
        <v>9.300000000000001</v>
      </c>
      <c r="AW203" s="1" t="s">
        <v>1744</v>
      </c>
      <c r="AX203" s="2">
        <f>HYPERLINK("https://water.weather.gov/ahps2/hydrograph.php?wfo=okx&amp;gage=rwyn6", "AHPS Data")</f>
        <v>0</v>
      </c>
      <c r="AY203" s="2">
        <f>HYPERLINK("https://vdatum.noaa.gov/vdatumweb/api/convert?s_x=-73.888333&amp;s_y=40.578333&amp;s_z=0.0&amp;region=contiguous&amp;s_h_frame=NAD83_2011&amp;s_coor=geo&amp;s_v_frame=NAVD88&amp;s_v_unit=us_ft&amp;t_h_frame=NAD83_2011&amp;t_coor=geo&amp;t_v_frame=MLLW&amp;t_v_unit=us_ft", "NAVD88 to MLLW")</f>
        <v>0</v>
      </c>
      <c r="AZ203" s="2">
        <f>HYPERLINK("https://vdatum.noaa.gov/vdatumweb/api/convert?s_x=-73.888333&amp;s_y=40.578333&amp;s_z=0.0&amp;region=contiguous&amp;s_h_frame=NAD83_2011&amp;s_coor=geo&amp;s_v_frame=NAVD88&amp;s_v_unit=us_ft&amp;t_h_frame=NAD83_2011&amp;t_coor=geo&amp;t_v_frame=MHHW&amp;t_v_unit=us_ft", "NAVD88 to MHHW")</f>
        <v>0</v>
      </c>
    </row>
    <row r="204" spans="1:52">
      <c r="A204" s="1" t="s">
        <v>228</v>
      </c>
      <c r="B204" s="1" t="s">
        <v>621</v>
      </c>
      <c r="D204" s="1" t="s">
        <v>652</v>
      </c>
      <c r="L204" s="1">
        <v>-73.6717</v>
      </c>
      <c r="M204" s="1">
        <v>40.9617</v>
      </c>
      <c r="N204" s="1">
        <v>8518091</v>
      </c>
      <c r="O204" s="1" t="s">
        <v>861</v>
      </c>
      <c r="P204" s="1" t="s">
        <v>866</v>
      </c>
      <c r="Q204" s="2">
        <f>HYPERLINK("https://tidesandcurrents.noaa.gov/stationhome.html?id=8518091", "Station Info")</f>
        <v>0</v>
      </c>
      <c r="R204" s="2">
        <f>HYPERLINK("https://tidesandcurrents.noaa.gov/datums.html?datum=MLLW&amp;units=0&amp;epoch=0&amp;id=8518091", "Datum Info")</f>
        <v>0</v>
      </c>
      <c r="S204" s="2">
        <f>HYPERLINK("https://api.tidesandcurrents.noaa.gov/mdapi/prod/webapi/stations/8518091.json", "More Info")</f>
        <v>0</v>
      </c>
      <c r="T204" s="1">
        <v>2633669</v>
      </c>
      <c r="U204" s="1">
        <v>0</v>
      </c>
      <c r="V204" s="1" t="s">
        <v>869</v>
      </c>
      <c r="W204" s="1" t="s">
        <v>874</v>
      </c>
      <c r="X204" s="1" t="s">
        <v>886</v>
      </c>
      <c r="Y204" s="1">
        <v>7.89</v>
      </c>
      <c r="Z204" s="1">
        <v>7.53</v>
      </c>
      <c r="AA204" s="1">
        <v>3.89</v>
      </c>
      <c r="AB204" s="1">
        <v>3.9</v>
      </c>
      <c r="AC204" s="1">
        <v>3.95</v>
      </c>
      <c r="AD204" s="1">
        <v>0.24</v>
      </c>
      <c r="AE204" s="1">
        <v>0</v>
      </c>
      <c r="AF204" s="1">
        <v>4.14</v>
      </c>
      <c r="AG204" s="1">
        <v>-3.57</v>
      </c>
      <c r="AH204" s="1" t="s">
        <v>1182</v>
      </c>
      <c r="AI204" s="1" t="s">
        <v>1451</v>
      </c>
      <c r="AJ204" s="1">
        <v>4.131</v>
      </c>
      <c r="AK204" s="1">
        <v>-3.754</v>
      </c>
      <c r="AY204" s="2">
        <f>HYPERLINK("https://vdatum.noaa.gov/vdatumweb/api/convert?s_x=-73.6717&amp;s_y=40.9617&amp;s_z=0.0&amp;region=contiguous&amp;s_h_frame=NAD83_2011&amp;s_coor=geo&amp;s_v_frame=NAVD88&amp;s_v_unit=us_ft&amp;t_h_frame=NAD83_2011&amp;t_coor=geo&amp;t_v_frame=MLLW&amp;t_v_unit=us_ft", "NAVD88 to MLLW")</f>
        <v>0</v>
      </c>
      <c r="AZ204" s="2">
        <f>HYPERLINK("https://vdatum.noaa.gov/vdatumweb/api/convert?s_x=-73.6717&amp;s_y=40.9617&amp;s_z=0.0&amp;region=contiguous&amp;s_h_frame=NAD83_2011&amp;s_coor=geo&amp;s_v_frame=NAVD88&amp;s_v_unit=us_ft&amp;t_h_frame=NAD83_2011&amp;t_coor=geo&amp;t_v_frame=MHHW&amp;t_v_unit=us_ft", "NAVD88 to MHHW")</f>
        <v>0</v>
      </c>
    </row>
    <row r="205" spans="1:52">
      <c r="A205" s="1" t="s">
        <v>229</v>
      </c>
      <c r="B205" s="1" t="s">
        <v>621</v>
      </c>
      <c r="C205" s="1" t="s">
        <v>646</v>
      </c>
      <c r="D205" s="1" t="s">
        <v>652</v>
      </c>
      <c r="L205" s="1">
        <v>-74.0142</v>
      </c>
      <c r="M205" s="1">
        <v>40.70056</v>
      </c>
      <c r="N205" s="1">
        <v>8518750</v>
      </c>
      <c r="O205" s="1" t="s">
        <v>860</v>
      </c>
      <c r="P205" s="1" t="s">
        <v>866</v>
      </c>
      <c r="Q205" s="2">
        <f>HYPERLINK("https://tidesandcurrents.noaa.gov/stationhome.html?id=8518750", "Station Info")</f>
        <v>0</v>
      </c>
      <c r="R205" s="2">
        <f>HYPERLINK("https://tidesandcurrents.noaa.gov/datums.html?datum=MLLW&amp;units=0&amp;epoch=0&amp;id=8518750", "Datum Info")</f>
        <v>0</v>
      </c>
      <c r="S205" s="2">
        <f>HYPERLINK("https://api.tidesandcurrents.noaa.gov/mdapi/prod/webapi/stations/8518750.json", "More Info")</f>
        <v>0</v>
      </c>
      <c r="T205" s="1">
        <v>5110586</v>
      </c>
      <c r="U205" s="1">
        <v>0</v>
      </c>
      <c r="V205" s="1" t="s">
        <v>869</v>
      </c>
      <c r="W205" s="1" t="s">
        <v>874</v>
      </c>
      <c r="X205" s="1" t="s">
        <v>886</v>
      </c>
      <c r="Y205" s="1">
        <v>5.05</v>
      </c>
      <c r="Z205" s="1">
        <v>4.73</v>
      </c>
      <c r="AA205" s="1">
        <v>2.47</v>
      </c>
      <c r="AB205" s="1">
        <v>2.57</v>
      </c>
      <c r="AC205" s="1">
        <v>2.53</v>
      </c>
      <c r="AD205" s="1">
        <v>0.2</v>
      </c>
      <c r="AE205" s="1">
        <v>0</v>
      </c>
      <c r="AF205" s="1">
        <v>2.77</v>
      </c>
      <c r="AG205" s="1">
        <v>-3.29</v>
      </c>
      <c r="AH205" s="1" t="s">
        <v>1183</v>
      </c>
      <c r="AI205" s="1" t="s">
        <v>1452</v>
      </c>
      <c r="AJ205" s="1">
        <v>2.805</v>
      </c>
      <c r="AK205" s="1">
        <v>-2.31</v>
      </c>
      <c r="AY205" s="2">
        <f>HYPERLINK("https://vdatum.noaa.gov/vdatumweb/api/convert?s_x=-74.0142&amp;s_y=40.70056&amp;s_z=0.0&amp;region=contiguous&amp;s_h_frame=NAD83_2011&amp;s_coor=geo&amp;s_v_frame=NAVD88&amp;s_v_unit=us_ft&amp;t_h_frame=NAD83_2011&amp;t_coor=geo&amp;t_v_frame=MLLW&amp;t_v_unit=us_ft", "NAVD88 to MLLW")</f>
        <v>0</v>
      </c>
      <c r="AZ205" s="2">
        <f>HYPERLINK("https://vdatum.noaa.gov/vdatumweb/api/convert?s_x=-74.0142&amp;s_y=40.70056&amp;s_z=0.0&amp;region=contiguous&amp;s_h_frame=NAD83_2011&amp;s_coor=geo&amp;s_v_frame=NAVD88&amp;s_v_unit=us_ft&amp;t_h_frame=NAD83_2011&amp;t_coor=geo&amp;t_v_frame=MHHW&amp;t_v_unit=us_ft", "NAVD88 to MHHW")</f>
        <v>0</v>
      </c>
    </row>
    <row r="206" spans="1:52">
      <c r="A206" s="1" t="s">
        <v>230</v>
      </c>
      <c r="B206" s="1" t="s">
        <v>621</v>
      </c>
      <c r="C206" s="1" t="s">
        <v>646</v>
      </c>
      <c r="D206" s="1" t="s">
        <v>652</v>
      </c>
      <c r="E206" s="1" t="s">
        <v>725</v>
      </c>
      <c r="F206" s="1" t="s">
        <v>833</v>
      </c>
      <c r="G206" s="1" t="s">
        <v>854</v>
      </c>
      <c r="H206" s="1" t="s">
        <v>1756</v>
      </c>
      <c r="I206" s="1" t="s">
        <v>1858</v>
      </c>
      <c r="J206" s="1" t="s">
        <v>1916</v>
      </c>
      <c r="K206" s="1" t="s">
        <v>2073</v>
      </c>
      <c r="L206" s="1">
        <v>-73.87</v>
      </c>
      <c r="M206" s="1">
        <v>41.0783333</v>
      </c>
      <c r="N206" s="1">
        <v>8518919</v>
      </c>
      <c r="O206" s="1" t="s">
        <v>860</v>
      </c>
      <c r="P206" s="1" t="s">
        <v>866</v>
      </c>
      <c r="Q206" s="2">
        <f>HYPERLINK("https://tidesandcurrents.noaa.gov/stationhome.html?id=8518919", "Station Info")</f>
        <v>0</v>
      </c>
      <c r="R206" s="2">
        <f>HYPERLINK("https://tidesandcurrents.noaa.gov/datums.html?datum=MLLW&amp;units=0&amp;epoch=0&amp;id=8518919", "Datum Info")</f>
        <v>0</v>
      </c>
      <c r="S206" s="2">
        <f>HYPERLINK("https://api.tidesandcurrents.noaa.gov/mdapi/prod/webapi/stations/8518919.json", "More Info")</f>
        <v>0</v>
      </c>
      <c r="T206" s="1">
        <v>2136846</v>
      </c>
      <c r="U206" s="1">
        <v>0</v>
      </c>
      <c r="V206" s="1" t="s">
        <v>869</v>
      </c>
      <c r="W206" s="1" t="s">
        <v>874</v>
      </c>
      <c r="AJ206" s="1">
        <v>1.916</v>
      </c>
      <c r="AK206" s="1">
        <v>-2.161</v>
      </c>
      <c r="AS206" s="1">
        <v>6.3</v>
      </c>
      <c r="AT206" s="1">
        <v>6.4</v>
      </c>
      <c r="AU206" s="1">
        <v>7.4</v>
      </c>
      <c r="AV206" s="1">
        <v>8.4</v>
      </c>
      <c r="AW206" s="1" t="s">
        <v>1744</v>
      </c>
      <c r="AX206" s="2">
        <f>HYPERLINK("https://water.weather.gov/ahps2/hydrograph.php?wfo=okx&amp;gage=pmtn6", "AHPS Data")</f>
        <v>0</v>
      </c>
      <c r="AY206" s="2">
        <f>HYPERLINK("https://vdatum.noaa.gov/vdatumweb/api/convert?s_x=-73.87&amp;s_y=41.0783333&amp;s_z=0.0&amp;region=contiguous&amp;s_h_frame=NAD83_2011&amp;s_coor=geo&amp;s_v_frame=NAVD88&amp;s_v_unit=us_ft&amp;t_h_frame=NAD83_2011&amp;t_coor=geo&amp;t_v_frame=MLLW&amp;t_v_unit=us_ft", "NAVD88 to MLLW")</f>
        <v>0</v>
      </c>
      <c r="AZ206" s="2">
        <f>HYPERLINK("https://vdatum.noaa.gov/vdatumweb/api/convert?s_x=-73.87&amp;s_y=41.0783333&amp;s_z=0.0&amp;region=contiguous&amp;s_h_frame=NAD83_2011&amp;s_coor=geo&amp;s_v_frame=NAVD88&amp;s_v_unit=us_ft&amp;t_h_frame=NAD83_2011&amp;t_coor=geo&amp;t_v_frame=MHHW&amp;t_v_unit=us_ft", "NAVD88 to MHHW")</f>
        <v>0</v>
      </c>
    </row>
    <row r="207" spans="1:52">
      <c r="A207" s="1" t="s">
        <v>231</v>
      </c>
      <c r="B207" s="1" t="s">
        <v>621</v>
      </c>
      <c r="D207" s="1" t="s">
        <v>652</v>
      </c>
      <c r="E207" s="1" t="s">
        <v>726</v>
      </c>
      <c r="F207" s="1" t="s">
        <v>833</v>
      </c>
      <c r="G207" s="1" t="s">
        <v>854</v>
      </c>
      <c r="L207" s="1">
        <v>-74.1463</v>
      </c>
      <c r="M207" s="1">
        <v>40.6391</v>
      </c>
      <c r="N207" s="1">
        <v>8519483</v>
      </c>
      <c r="O207" s="1" t="s">
        <v>860</v>
      </c>
      <c r="P207" s="1" t="s">
        <v>866</v>
      </c>
      <c r="Q207" s="2">
        <f>HYPERLINK("https://tidesandcurrents.noaa.gov/stationhome.html?id=8519483", "Station Info")</f>
        <v>0</v>
      </c>
      <c r="R207" s="2">
        <f>HYPERLINK("https://tidesandcurrents.noaa.gov/datums.html?datum=MLLW&amp;units=0&amp;epoch=0&amp;id=8519483", "Datum Info")</f>
        <v>0</v>
      </c>
      <c r="S207" s="2">
        <f>HYPERLINK("https://api.tidesandcurrents.noaa.gov/mdapi/prod/webapi/stations/8519483.json", "More Info")</f>
        <v>0</v>
      </c>
      <c r="T207" s="1">
        <v>4855207</v>
      </c>
      <c r="U207" s="1">
        <v>-0.054</v>
      </c>
      <c r="V207" s="1" t="s">
        <v>869</v>
      </c>
      <c r="W207" s="1" t="s">
        <v>874</v>
      </c>
      <c r="X207" s="1" t="s">
        <v>886</v>
      </c>
      <c r="Y207" s="1">
        <v>5.51</v>
      </c>
      <c r="Z207" s="1">
        <v>5.19</v>
      </c>
      <c r="AA207" s="1">
        <v>2.7</v>
      </c>
      <c r="AB207" s="1">
        <v>2.77</v>
      </c>
      <c r="AC207" s="1">
        <v>2.75</v>
      </c>
      <c r="AD207" s="1">
        <v>0.21</v>
      </c>
      <c r="AE207" s="1">
        <v>0</v>
      </c>
      <c r="AF207" s="1" t="s">
        <v>946</v>
      </c>
      <c r="AG207" s="1">
        <v>-4.24</v>
      </c>
      <c r="AH207" s="1" t="s">
        <v>1184</v>
      </c>
      <c r="AI207" s="1" t="s">
        <v>1453</v>
      </c>
      <c r="AJ207" s="1">
        <v>2.949</v>
      </c>
      <c r="AK207" s="1">
        <v>-2.554</v>
      </c>
      <c r="AY207" s="2">
        <f>HYPERLINK("https://vdatum.noaa.gov/vdatumweb/api/convert?s_x=-74.1463&amp;s_y=40.6391&amp;s_z=0.0&amp;region=contiguous&amp;s_h_frame=NAD83_2011&amp;s_coor=geo&amp;s_v_frame=NAVD88&amp;s_v_unit=us_ft&amp;t_h_frame=NAD83_2011&amp;t_coor=geo&amp;t_v_frame=MLLW&amp;t_v_unit=us_ft", "NAVD88 to MLLW")</f>
        <v>0</v>
      </c>
      <c r="AZ207" s="2">
        <f>HYPERLINK("https://vdatum.noaa.gov/vdatumweb/api/convert?s_x=-74.1463&amp;s_y=40.6391&amp;s_z=0.0&amp;region=contiguous&amp;s_h_frame=NAD83_2011&amp;s_coor=geo&amp;s_v_frame=NAVD88&amp;s_v_unit=us_ft&amp;t_h_frame=NAD83_2011&amp;t_coor=geo&amp;t_v_frame=MHHW&amp;t_v_unit=us_ft", "NAVD88 to MHHW")</f>
        <v>0</v>
      </c>
    </row>
    <row r="208" spans="1:52">
      <c r="A208" s="1" t="s">
        <v>232</v>
      </c>
      <c r="B208" s="1" t="s">
        <v>621</v>
      </c>
      <c r="C208" s="1" t="s">
        <v>644</v>
      </c>
      <c r="D208" s="1" t="s">
        <v>652</v>
      </c>
      <c r="E208" s="1" t="s">
        <v>727</v>
      </c>
      <c r="F208" s="1" t="s">
        <v>842</v>
      </c>
      <c r="G208" s="1" t="s">
        <v>854</v>
      </c>
      <c r="L208" s="1">
        <v>-74.04000000000001</v>
      </c>
      <c r="M208" s="1">
        <v>40.88</v>
      </c>
      <c r="N208" s="1">
        <v>8530278</v>
      </c>
      <c r="O208" s="1" t="s">
        <v>861</v>
      </c>
      <c r="P208" s="1" t="s">
        <v>866</v>
      </c>
      <c r="Q208" s="2">
        <f>HYPERLINK("https://tidesandcurrents.noaa.gov/stationhome.html?id=8530278", "Station Info")</f>
        <v>0</v>
      </c>
      <c r="R208" s="2">
        <f>HYPERLINK("https://tidesandcurrents.noaa.gov/datums.html?datum=MLLW&amp;units=0&amp;epoch=0&amp;id=8530278", "Datum Info")</f>
        <v>0</v>
      </c>
      <c r="S208" s="2">
        <f>HYPERLINK("https://api.tidesandcurrents.noaa.gov/mdapi/prod/webapi/stations/8530278.json", "More Info")</f>
        <v>0</v>
      </c>
      <c r="T208" s="1">
        <v>4446695</v>
      </c>
      <c r="U208" s="1">
        <v>0</v>
      </c>
      <c r="V208" s="1" t="s">
        <v>869</v>
      </c>
      <c r="W208" s="1" t="s">
        <v>874</v>
      </c>
      <c r="X208" s="1" t="s">
        <v>886</v>
      </c>
      <c r="Y208" s="1">
        <v>6.63</v>
      </c>
      <c r="Z208" s="1">
        <v>6.3</v>
      </c>
      <c r="AA208" s="1">
        <v>3.3</v>
      </c>
      <c r="AB208" s="1">
        <v>3.57</v>
      </c>
      <c r="AC208" s="1">
        <v>3.31</v>
      </c>
      <c r="AD208" s="1">
        <v>0.29</v>
      </c>
      <c r="AE208" s="1">
        <v>0</v>
      </c>
      <c r="AF208" s="1">
        <v>3.55</v>
      </c>
      <c r="AG208" s="1">
        <v>-5.84</v>
      </c>
      <c r="AH208" s="1" t="s">
        <v>1185</v>
      </c>
      <c r="AI208" s="1" t="s">
        <v>1454</v>
      </c>
      <c r="AJ208" s="1">
        <v>3.524</v>
      </c>
      <c r="AK208" s="1">
        <v>-3.046</v>
      </c>
      <c r="AY208" s="2">
        <f>HYPERLINK("https://vdatum.noaa.gov/vdatumweb/api/convert?s_x=-74.04&amp;s_y=40.88&amp;s_z=0.0&amp;region=contiguous&amp;s_h_frame=NAD83_2011&amp;s_coor=geo&amp;s_v_frame=NAVD88&amp;s_v_unit=us_ft&amp;t_h_frame=NAD83_2011&amp;t_coor=geo&amp;t_v_frame=MLLW&amp;t_v_unit=us_ft", "NAVD88 to MLLW")</f>
        <v>0</v>
      </c>
      <c r="AZ208" s="2">
        <f>HYPERLINK("https://vdatum.noaa.gov/vdatumweb/api/convert?s_x=-74.04&amp;s_y=40.88&amp;s_z=0.0&amp;region=contiguous&amp;s_h_frame=NAD83_2011&amp;s_coor=geo&amp;s_v_frame=NAVD88&amp;s_v_unit=us_ft&amp;t_h_frame=NAD83_2011&amp;t_coor=geo&amp;t_v_frame=MHHW&amp;t_v_unit=us_ft", "NAVD88 to MHHW")</f>
        <v>0</v>
      </c>
    </row>
    <row r="209" spans="1:52">
      <c r="A209" s="1" t="s">
        <v>233</v>
      </c>
      <c r="B209" s="1" t="s">
        <v>621</v>
      </c>
      <c r="C209" s="1" t="s">
        <v>644</v>
      </c>
      <c r="D209" s="1" t="s">
        <v>652</v>
      </c>
      <c r="E209" s="1" t="s">
        <v>728</v>
      </c>
      <c r="F209" s="1" t="s">
        <v>842</v>
      </c>
      <c r="G209" s="1" t="s">
        <v>854</v>
      </c>
      <c r="H209" s="1" t="s">
        <v>1788</v>
      </c>
      <c r="I209" s="1" t="s">
        <v>1856</v>
      </c>
      <c r="J209" s="1" t="s">
        <v>1917</v>
      </c>
      <c r="K209" s="1" t="s">
        <v>2074</v>
      </c>
      <c r="L209" s="1">
        <v>-74.11669999999999</v>
      </c>
      <c r="M209" s="1">
        <v>40.7317</v>
      </c>
      <c r="N209" s="1">
        <v>8530743</v>
      </c>
      <c r="O209" s="1" t="s">
        <v>860</v>
      </c>
      <c r="P209" s="1" t="s">
        <v>866</v>
      </c>
      <c r="Q209" s="2">
        <f>HYPERLINK("https://tidesandcurrents.noaa.gov/stationhome.html?id=8530743", "Station Info")</f>
        <v>0</v>
      </c>
      <c r="R209" s="2">
        <f>HYPERLINK("https://tidesandcurrents.noaa.gov/datums.html?datum=MLLW&amp;units=0&amp;epoch=0&amp;id=8530743", "Datum Info")</f>
        <v>0</v>
      </c>
      <c r="S209" s="2">
        <f>HYPERLINK("https://api.tidesandcurrents.noaa.gov/mdapi/prod/webapi/stations/8530743.json", "More Info")</f>
        <v>0</v>
      </c>
      <c r="T209" s="1">
        <v>3533955</v>
      </c>
      <c r="U209" s="1">
        <v>0</v>
      </c>
      <c r="V209" s="1" t="s">
        <v>869</v>
      </c>
      <c r="W209" s="1" t="s">
        <v>874</v>
      </c>
      <c r="X209" s="1" t="s">
        <v>886</v>
      </c>
      <c r="Y209" s="1">
        <v>5.74</v>
      </c>
      <c r="Z209" s="1">
        <v>5.43</v>
      </c>
      <c r="AA209" s="1">
        <v>2.82</v>
      </c>
      <c r="AB209" s="1">
        <v>2.9</v>
      </c>
      <c r="AC209" s="1">
        <v>2.87</v>
      </c>
      <c r="AD209" s="1">
        <v>0.22</v>
      </c>
      <c r="AE209" s="1">
        <v>0</v>
      </c>
      <c r="AF209" s="1" t="s">
        <v>1007</v>
      </c>
      <c r="AG209" s="1">
        <v>-0.8100000000000001</v>
      </c>
      <c r="AH209" s="1" t="s">
        <v>1186</v>
      </c>
      <c r="AI209" s="1" t="s">
        <v>1455</v>
      </c>
      <c r="AJ209" s="1">
        <v>3.016</v>
      </c>
      <c r="AK209" s="1">
        <v>-2.787</v>
      </c>
      <c r="AL209" s="1" t="s">
        <v>1612</v>
      </c>
      <c r="AS209" s="1">
        <v>0</v>
      </c>
      <c r="AT209" s="1">
        <v>0</v>
      </c>
      <c r="AU209" s="1">
        <v>0</v>
      </c>
      <c r="AV209" s="1">
        <v>0</v>
      </c>
      <c r="AW209" s="1" t="s">
        <v>1744</v>
      </c>
      <c r="AX209" s="2">
        <f>HYPERLINK("https://water.weather.gov/ahps2/hydrograph.php?wfo=okx&amp;gage=nwkn4", "AHPS Data")</f>
        <v>0</v>
      </c>
      <c r="AY209" s="2">
        <f>HYPERLINK("https://vdatum.noaa.gov/vdatumweb/api/convert?s_x=-74.1167&amp;s_y=40.7317&amp;s_z=0.0&amp;region=contiguous&amp;s_h_frame=NAD83_2011&amp;s_coor=geo&amp;s_v_frame=NAVD88&amp;s_v_unit=us_ft&amp;t_h_frame=NAD83_2011&amp;t_coor=geo&amp;t_v_frame=MLLW&amp;t_v_unit=us_ft", "NAVD88 to MLLW")</f>
        <v>0</v>
      </c>
      <c r="AZ209" s="2">
        <f>HYPERLINK("https://vdatum.noaa.gov/vdatumweb/api/convert?s_x=-74.1167&amp;s_y=40.7317&amp;s_z=0.0&amp;region=contiguous&amp;s_h_frame=NAD83_2011&amp;s_coor=geo&amp;s_v_frame=NAVD88&amp;s_v_unit=us_ft&amp;t_h_frame=NAD83_2011&amp;t_coor=geo&amp;t_v_frame=MHHW&amp;t_v_unit=us_ft", "NAVD88 to MHHW")</f>
        <v>0</v>
      </c>
    </row>
    <row r="210" spans="1:52">
      <c r="A210" s="1" t="s">
        <v>234</v>
      </c>
      <c r="B210" s="1" t="s">
        <v>621</v>
      </c>
      <c r="D210" s="1" t="s">
        <v>652</v>
      </c>
      <c r="L210" s="1">
        <v>-74.0094</v>
      </c>
      <c r="M210" s="1">
        <v>40.46694</v>
      </c>
      <c r="N210" s="1">
        <v>8531680</v>
      </c>
      <c r="O210" s="1" t="s">
        <v>860</v>
      </c>
      <c r="P210" s="1" t="s">
        <v>866</v>
      </c>
      <c r="Q210" s="2">
        <f>HYPERLINK("https://tidesandcurrents.noaa.gov/stationhome.html?id=8531680", "Station Info")</f>
        <v>0</v>
      </c>
      <c r="R210" s="2">
        <f>HYPERLINK("https://tidesandcurrents.noaa.gov/datums.html?datum=MLLW&amp;units=0&amp;epoch=0&amp;id=8531680", "Datum Info")</f>
        <v>0</v>
      </c>
      <c r="S210" s="2">
        <f>HYPERLINK("https://api.tidesandcurrents.noaa.gov/mdapi/prod/webapi/stations/8531680.json", "More Info")</f>
        <v>0</v>
      </c>
      <c r="T210" s="1">
        <v>3538987</v>
      </c>
      <c r="U210" s="1">
        <v>0</v>
      </c>
      <c r="V210" s="1" t="s">
        <v>869</v>
      </c>
      <c r="W210" s="1" t="s">
        <v>874</v>
      </c>
      <c r="X210" s="1" t="s">
        <v>886</v>
      </c>
      <c r="Y210" s="1">
        <v>5.23</v>
      </c>
      <c r="Z210" s="1">
        <v>4.9</v>
      </c>
      <c r="AA210" s="1">
        <v>2.55</v>
      </c>
      <c r="AB210" s="1">
        <v>2.58</v>
      </c>
      <c r="AC210" s="1">
        <v>2.61</v>
      </c>
      <c r="AD210" s="1">
        <v>0.2</v>
      </c>
      <c r="AE210" s="1">
        <v>0</v>
      </c>
      <c r="AF210" s="1">
        <v>2.82</v>
      </c>
      <c r="AG210" s="1">
        <v>-2.51</v>
      </c>
      <c r="AH210" s="1" t="s">
        <v>1001</v>
      </c>
      <c r="AI210" s="1" t="s">
        <v>1456</v>
      </c>
      <c r="AJ210" s="1">
        <v>2.814</v>
      </c>
      <c r="AK210" s="1">
        <v>-2.41</v>
      </c>
      <c r="AY210" s="2">
        <f>HYPERLINK("https://vdatum.noaa.gov/vdatumweb/api/convert?s_x=-74.0094&amp;s_y=40.46694&amp;s_z=0.0&amp;region=contiguous&amp;s_h_frame=NAD83_2011&amp;s_coor=geo&amp;s_v_frame=NAVD88&amp;s_v_unit=us_ft&amp;t_h_frame=NAD83_2011&amp;t_coor=geo&amp;t_v_frame=MLLW&amp;t_v_unit=us_ft", "NAVD88 to MLLW")</f>
        <v>0</v>
      </c>
      <c r="AZ210" s="2">
        <f>HYPERLINK("https://vdatum.noaa.gov/vdatumweb/api/convert?s_x=-74.0094&amp;s_y=40.46694&amp;s_z=0.0&amp;region=contiguous&amp;s_h_frame=NAD83_2011&amp;s_coor=geo&amp;s_v_frame=NAVD88&amp;s_v_unit=us_ft&amp;t_h_frame=NAD83_2011&amp;t_coor=geo&amp;t_v_frame=MHHW&amp;t_v_unit=us_ft", "NAVD88 to MHHW")</f>
        <v>0</v>
      </c>
    </row>
    <row r="211" spans="1:52">
      <c r="A211" s="1" t="s">
        <v>235</v>
      </c>
      <c r="B211" s="1" t="s">
        <v>621</v>
      </c>
      <c r="C211" s="1" t="s">
        <v>646</v>
      </c>
      <c r="D211" s="1" t="s">
        <v>652</v>
      </c>
      <c r="E211" s="1" t="s">
        <v>722</v>
      </c>
      <c r="F211" s="1" t="s">
        <v>833</v>
      </c>
      <c r="G211" s="1" t="s">
        <v>854</v>
      </c>
      <c r="H211" s="1" t="s">
        <v>1781</v>
      </c>
      <c r="I211" s="1" t="s">
        <v>1856</v>
      </c>
      <c r="J211" s="1" t="s">
        <v>1918</v>
      </c>
      <c r="K211" s="1" t="s">
        <v>2075</v>
      </c>
      <c r="L211" s="1">
        <v>-73.36</v>
      </c>
      <c r="M211" s="1">
        <v>40.67</v>
      </c>
      <c r="N211" s="1" t="s">
        <v>859</v>
      </c>
      <c r="O211" s="1" t="s">
        <v>860</v>
      </c>
      <c r="P211" s="1" t="s">
        <v>859</v>
      </c>
      <c r="T211" s="1">
        <v>5112495</v>
      </c>
      <c r="U211" s="1">
        <v>0</v>
      </c>
      <c r="V211" s="1" t="s">
        <v>869</v>
      </c>
      <c r="W211" s="1" t="s">
        <v>874</v>
      </c>
      <c r="AJ211" s="1">
        <v>0.797</v>
      </c>
      <c r="AK211" s="1">
        <v>-0.783</v>
      </c>
      <c r="AS211" s="1">
        <v>2.8</v>
      </c>
      <c r="AT211" s="1">
        <v>3.1</v>
      </c>
      <c r="AU211" s="1">
        <v>3.6</v>
      </c>
      <c r="AV211" s="1">
        <v>4.1</v>
      </c>
      <c r="AW211" s="1" t="s">
        <v>1744</v>
      </c>
      <c r="AX211" s="2">
        <f>HYPERLINK("https://water.weather.gov/ahps2/hydrograph.php?wfo=okx&amp;gage=lndn6", "AHPS Data")</f>
        <v>0</v>
      </c>
      <c r="AY211" s="2">
        <f>HYPERLINK("https://vdatum.noaa.gov/vdatumweb/api/convert?s_x=-73.36&amp;s_y=40.67&amp;s_z=0.0&amp;region=contiguous&amp;s_h_frame=NAD83_2011&amp;s_coor=geo&amp;s_v_frame=NAVD88&amp;s_v_unit=us_ft&amp;t_h_frame=NAD83_2011&amp;t_coor=geo&amp;t_v_frame=MLLW&amp;t_v_unit=us_ft", "NAVD88 to MLLW")</f>
        <v>0</v>
      </c>
      <c r="AZ211" s="2">
        <f>HYPERLINK("https://vdatum.noaa.gov/vdatumweb/api/convert?s_x=-73.36&amp;s_y=40.67&amp;s_z=0.0&amp;region=contiguous&amp;s_h_frame=NAD83_2011&amp;s_coor=geo&amp;s_v_frame=NAVD88&amp;s_v_unit=us_ft&amp;t_h_frame=NAD83_2011&amp;t_coor=geo&amp;t_v_frame=MHHW&amp;t_v_unit=us_ft", "NAVD88 to MHHW")</f>
        <v>0</v>
      </c>
    </row>
    <row r="212" spans="1:52">
      <c r="A212" s="1" t="s">
        <v>236</v>
      </c>
      <c r="B212" s="1" t="s">
        <v>621</v>
      </c>
      <c r="D212" s="1" t="s">
        <v>652</v>
      </c>
      <c r="L212" s="1">
        <v>-72.19</v>
      </c>
      <c r="M212" s="1">
        <v>40.94</v>
      </c>
      <c r="N212" s="1" t="s">
        <v>859</v>
      </c>
      <c r="O212" s="1" t="s">
        <v>861</v>
      </c>
      <c r="P212" s="1" t="s">
        <v>859</v>
      </c>
      <c r="T212" s="1">
        <v>1799067</v>
      </c>
      <c r="U212" s="1">
        <v>0</v>
      </c>
      <c r="V212" s="1" t="s">
        <v>869</v>
      </c>
      <c r="W212" s="1" t="s">
        <v>874</v>
      </c>
      <c r="AJ212" s="1">
        <v>1.759</v>
      </c>
      <c r="AK212" s="1">
        <v>-1.338</v>
      </c>
      <c r="AY212" s="2">
        <f>HYPERLINK("https://vdatum.noaa.gov/vdatumweb/api/convert?s_x=-72.19&amp;s_y=40.94&amp;s_z=0.0&amp;region=contiguous&amp;s_h_frame=NAD83_2011&amp;s_coor=geo&amp;s_v_frame=NAVD88&amp;s_v_unit=us_ft&amp;t_h_frame=NAD83_2011&amp;t_coor=geo&amp;t_v_frame=MLLW&amp;t_v_unit=us_ft", "NAVD88 to MLLW")</f>
        <v>0</v>
      </c>
      <c r="AZ212" s="2">
        <f>HYPERLINK("https://vdatum.noaa.gov/vdatumweb/api/convert?s_x=-72.19&amp;s_y=40.94&amp;s_z=0.0&amp;region=contiguous&amp;s_h_frame=NAD83_2011&amp;s_coor=geo&amp;s_v_frame=NAVD88&amp;s_v_unit=us_ft&amp;t_h_frame=NAD83_2011&amp;t_coor=geo&amp;t_v_frame=MHHW&amp;t_v_unit=us_ft", "NAVD88 to MHHW")</f>
        <v>0</v>
      </c>
    </row>
    <row r="213" spans="1:52">
      <c r="A213" s="1" t="s">
        <v>237</v>
      </c>
      <c r="B213" s="1" t="s">
        <v>621</v>
      </c>
      <c r="C213" s="1" t="s">
        <v>646</v>
      </c>
      <c r="D213" s="1" t="s">
        <v>652</v>
      </c>
      <c r="E213" s="1" t="s">
        <v>722</v>
      </c>
      <c r="F213" s="1" t="s">
        <v>833</v>
      </c>
      <c r="G213" s="1" t="s">
        <v>854</v>
      </c>
      <c r="H213" s="1" t="s">
        <v>1789</v>
      </c>
      <c r="I213" s="1" t="s">
        <v>1858</v>
      </c>
      <c r="J213" s="1" t="s">
        <v>1919</v>
      </c>
      <c r="K213" s="1" t="s">
        <v>2076</v>
      </c>
      <c r="L213" s="1">
        <v>-72.64</v>
      </c>
      <c r="M213" s="1">
        <v>40.92</v>
      </c>
      <c r="N213" s="1" t="s">
        <v>859</v>
      </c>
      <c r="O213" s="1" t="s">
        <v>860</v>
      </c>
      <c r="P213" s="1" t="s">
        <v>859</v>
      </c>
      <c r="T213" s="1">
        <v>4305502</v>
      </c>
      <c r="U213" s="1">
        <v>0</v>
      </c>
      <c r="V213" s="1" t="s">
        <v>869</v>
      </c>
      <c r="W213" s="1" t="s">
        <v>874</v>
      </c>
      <c r="AJ213" s="1">
        <v>2.1</v>
      </c>
      <c r="AK213" s="1">
        <v>-1.305</v>
      </c>
      <c r="AS213" s="1">
        <v>5.2</v>
      </c>
      <c r="AT213" s="1">
        <v>5.6</v>
      </c>
      <c r="AU213" s="1">
        <v>6.3</v>
      </c>
      <c r="AV213" s="1">
        <v>7.1</v>
      </c>
      <c r="AW213" s="1" t="s">
        <v>1744</v>
      </c>
      <c r="AX213" s="2">
        <f>HYPERLINK("https://water.weather.gov/ahps2/hydrograph.php?wfo=okx&amp;gage=prin6", "AHPS Data")</f>
        <v>0</v>
      </c>
      <c r="AY213" s="2">
        <f>HYPERLINK("https://vdatum.noaa.gov/vdatumweb/api/convert?s_x=-72.64&amp;s_y=40.92&amp;s_z=0.0&amp;region=contiguous&amp;s_h_frame=NAD83_2011&amp;s_coor=geo&amp;s_v_frame=NAVD88&amp;s_v_unit=us_ft&amp;t_h_frame=NAD83_2011&amp;t_coor=geo&amp;t_v_frame=MLLW&amp;t_v_unit=us_ft", "NAVD88 to MLLW")</f>
        <v>0</v>
      </c>
      <c r="AZ213" s="2">
        <f>HYPERLINK("https://vdatum.noaa.gov/vdatumweb/api/convert?s_x=-72.64&amp;s_y=40.92&amp;s_z=0.0&amp;region=contiguous&amp;s_h_frame=NAD83_2011&amp;s_coor=geo&amp;s_v_frame=NAVD88&amp;s_v_unit=us_ft&amp;t_h_frame=NAD83_2011&amp;t_coor=geo&amp;t_v_frame=MHHW&amp;t_v_unit=us_ft", "NAVD88 to MHHW")</f>
        <v>0</v>
      </c>
    </row>
    <row r="214" spans="1:52">
      <c r="A214" s="1" t="s">
        <v>238</v>
      </c>
      <c r="B214" s="1" t="s">
        <v>621</v>
      </c>
      <c r="C214" s="1" t="s">
        <v>646</v>
      </c>
      <c r="D214" s="1" t="s">
        <v>652</v>
      </c>
      <c r="L214" s="1">
        <v>-72.3459166</v>
      </c>
      <c r="M214" s="1">
        <v>41.3125983</v>
      </c>
      <c r="N214" s="1" t="s">
        <v>2202</v>
      </c>
      <c r="O214" s="1" t="s">
        <v>861</v>
      </c>
      <c r="P214" s="1" t="s">
        <v>867</v>
      </c>
      <c r="Q214" s="2">
        <f>HYPERLINK("https://waterdata.usgs.gov/nwis/nwismap/?site_no=01194796&amp;agency_cd=USGS", "Station Info")</f>
        <v>0</v>
      </c>
      <c r="R214" s="2">
        <f>HYPERLINK("https://waterservices.usgs.gov/nwis/site/?site=01194796&amp;format=rdb", "Datum Info")</f>
        <v>0</v>
      </c>
      <c r="T214" s="1">
        <v>3014956</v>
      </c>
      <c r="U214" s="1">
        <v>-0.31</v>
      </c>
      <c r="V214" s="1" t="s">
        <v>869</v>
      </c>
      <c r="W214" s="1" t="s">
        <v>874</v>
      </c>
      <c r="AJ214" s="1">
        <v>2.078</v>
      </c>
      <c r="AK214" s="1">
        <v>-1.709</v>
      </c>
      <c r="AY214" s="2">
        <f>HYPERLINK("https://vdatum.noaa.gov/vdatumweb/api/convert?s_x=-72.3459166&amp;s_y=41.3125983&amp;s_z=0.0&amp;region=contiguous&amp;s_h_frame=NAD83_2011&amp;s_coor=geo&amp;s_v_frame=NAVD88&amp;s_v_unit=us_ft&amp;t_h_frame=NAD83_2011&amp;t_coor=geo&amp;t_v_frame=MLLW&amp;t_v_unit=us_ft", "NAVD88 to MLLW")</f>
        <v>0</v>
      </c>
      <c r="AZ214" s="2">
        <f>HYPERLINK("https://vdatum.noaa.gov/vdatumweb/api/convert?s_x=-72.3459166&amp;s_y=41.3125983&amp;s_z=0.0&amp;region=contiguous&amp;s_h_frame=NAD83_2011&amp;s_coor=geo&amp;s_v_frame=NAVD88&amp;s_v_unit=us_ft&amp;t_h_frame=NAD83_2011&amp;t_coor=geo&amp;t_v_frame=MHHW&amp;t_v_unit=us_ft", "NAVD88 to MHHW")</f>
        <v>0</v>
      </c>
    </row>
    <row r="215" spans="1:52">
      <c r="A215" s="1" t="s">
        <v>239</v>
      </c>
      <c r="B215" s="1" t="s">
        <v>621</v>
      </c>
      <c r="C215" s="1" t="s">
        <v>646</v>
      </c>
      <c r="D215" s="1" t="s">
        <v>652</v>
      </c>
      <c r="E215" s="1" t="s">
        <v>723</v>
      </c>
      <c r="F215" s="1" t="s">
        <v>833</v>
      </c>
      <c r="G215" s="1" t="s">
        <v>854</v>
      </c>
      <c r="H215" s="1" t="s">
        <v>1777</v>
      </c>
      <c r="I215" s="1" t="s">
        <v>1858</v>
      </c>
      <c r="J215" s="1" t="s">
        <v>1920</v>
      </c>
      <c r="K215" s="1" t="s">
        <v>2077</v>
      </c>
      <c r="L215" s="1">
        <v>-73.71019440000001</v>
      </c>
      <c r="M215" s="1">
        <v>40.8662222</v>
      </c>
      <c r="N215" s="1" t="s">
        <v>2203</v>
      </c>
      <c r="O215" s="1" t="s">
        <v>860</v>
      </c>
      <c r="P215" s="1" t="s">
        <v>867</v>
      </c>
      <c r="Q215" s="2">
        <f>HYPERLINK("https://waterdata.usgs.gov/nwis/nwismap/?site_no=01302250&amp;agency_cd=USGS", "Station Info")</f>
        <v>0</v>
      </c>
      <c r="R215" s="2">
        <f>HYPERLINK("https://waterservices.usgs.gov/nwis/site/?site=01302250&amp;format=rdb", "Datum Info")</f>
        <v>0</v>
      </c>
      <c r="T215" s="1">
        <v>2834032</v>
      </c>
      <c r="U215" s="1">
        <v>-0.333</v>
      </c>
      <c r="V215" s="1" t="s">
        <v>869</v>
      </c>
      <c r="W215" s="1" t="s">
        <v>874</v>
      </c>
      <c r="AJ215" s="1">
        <v>4.189</v>
      </c>
      <c r="AK215" s="1">
        <v>-3.698</v>
      </c>
      <c r="AS215" s="1">
        <v>9.5</v>
      </c>
      <c r="AT215" s="1">
        <v>10</v>
      </c>
      <c r="AU215" s="1">
        <v>11</v>
      </c>
      <c r="AV215" s="1">
        <v>12</v>
      </c>
      <c r="AW215" s="1" t="s">
        <v>1744</v>
      </c>
      <c r="AX215" s="2">
        <f>HYPERLINK("https://water.weather.gov/ahps2/hydrograph.php?wfo=okx&amp;gage=sadn6", "AHPS Data")</f>
        <v>0</v>
      </c>
      <c r="AY215" s="2">
        <f>HYPERLINK("https://vdatum.noaa.gov/vdatumweb/api/convert?s_x=-73.7101944&amp;s_y=40.8662222&amp;s_z=0.0&amp;region=contiguous&amp;s_h_frame=NAD83_2011&amp;s_coor=geo&amp;s_v_frame=NAVD88&amp;s_v_unit=us_ft&amp;t_h_frame=NAD83_2011&amp;t_coor=geo&amp;t_v_frame=MLLW&amp;t_v_unit=us_ft", "NAVD88 to MLLW")</f>
        <v>0</v>
      </c>
      <c r="AZ215" s="2">
        <f>HYPERLINK("https://vdatum.noaa.gov/vdatumweb/api/convert?s_x=-73.7101944&amp;s_y=40.8662222&amp;s_z=0.0&amp;region=contiguous&amp;s_h_frame=NAD83_2011&amp;s_coor=geo&amp;s_v_frame=NAVD88&amp;s_v_unit=us_ft&amp;t_h_frame=NAD83_2011&amp;t_coor=geo&amp;t_v_frame=MHHW&amp;t_v_unit=us_ft", "NAVD88 to MHHW")</f>
        <v>0</v>
      </c>
    </row>
    <row r="216" spans="1:52">
      <c r="A216" s="1" t="s">
        <v>240</v>
      </c>
      <c r="B216" s="1" t="s">
        <v>621</v>
      </c>
      <c r="D216" s="1" t="s">
        <v>652</v>
      </c>
      <c r="E216" s="1" t="s">
        <v>722</v>
      </c>
      <c r="F216" s="1" t="s">
        <v>833</v>
      </c>
      <c r="G216" s="1" t="s">
        <v>854</v>
      </c>
      <c r="H216" s="1" t="s">
        <v>1781</v>
      </c>
      <c r="I216" s="1" t="s">
        <v>1858</v>
      </c>
      <c r="J216" s="1" t="s">
        <v>1921</v>
      </c>
      <c r="K216" s="1" t="s">
        <v>2078</v>
      </c>
      <c r="L216" s="1">
        <v>-73.09125</v>
      </c>
      <c r="M216" s="1">
        <v>40.72105556</v>
      </c>
      <c r="N216" s="1" t="s">
        <v>2204</v>
      </c>
      <c r="O216" s="1" t="s">
        <v>860</v>
      </c>
      <c r="P216" s="1" t="s">
        <v>867</v>
      </c>
      <c r="Q216" s="2">
        <f>HYPERLINK("https://waterdata.usgs.gov/nwis/nwismap/?site_no=01306402&amp;agency_cd=USGS", "Station Info")</f>
        <v>0</v>
      </c>
      <c r="R216" s="2">
        <f>HYPERLINK("https://waterservices.usgs.gov/nwis/site/?site=01306402&amp;format=rdb", "Datum Info")</f>
        <v>0</v>
      </c>
      <c r="T216" s="1">
        <v>4453358</v>
      </c>
      <c r="U216" s="1">
        <v>-0.339</v>
      </c>
      <c r="V216" s="1" t="s">
        <v>869</v>
      </c>
      <c r="W216" s="1" t="s">
        <v>874</v>
      </c>
      <c r="X216" s="1" t="s">
        <v>889</v>
      </c>
      <c r="AH216" s="1" t="s">
        <v>958</v>
      </c>
      <c r="AJ216" s="1">
        <v>0.694</v>
      </c>
      <c r="AK216" s="1">
        <v>-0.749</v>
      </c>
      <c r="AS216" s="1">
        <v>0</v>
      </c>
      <c r="AT216" s="1">
        <v>3</v>
      </c>
      <c r="AU216" s="1">
        <v>3.5</v>
      </c>
      <c r="AV216" s="1">
        <v>4</v>
      </c>
      <c r="AW216" s="1" t="s">
        <v>1744</v>
      </c>
      <c r="AX216" s="2">
        <f>HYPERLINK("https://water.weather.gov/ahps2/hydrograph.php?wfo=okx&amp;gage=sayn6", "AHPS Data")</f>
        <v>0</v>
      </c>
      <c r="AY216" s="2">
        <f>HYPERLINK("https://vdatum.noaa.gov/vdatumweb/api/convert?s_x=-73.09125&amp;s_y=40.72105556&amp;s_z=0.0&amp;region=contiguous&amp;s_h_frame=NAD83_2011&amp;s_coor=geo&amp;s_v_frame=NAVD88&amp;s_v_unit=us_ft&amp;t_h_frame=NAD83_2011&amp;t_coor=geo&amp;t_v_frame=MLLW&amp;t_v_unit=us_ft", "NAVD88 to MLLW")</f>
        <v>0</v>
      </c>
      <c r="AZ216" s="2">
        <f>HYPERLINK("https://vdatum.noaa.gov/vdatumweb/api/convert?s_x=-73.09125&amp;s_y=40.72105556&amp;s_z=0.0&amp;region=contiguous&amp;s_h_frame=NAD83_2011&amp;s_coor=geo&amp;s_v_frame=NAVD88&amp;s_v_unit=us_ft&amp;t_h_frame=NAD83_2011&amp;t_coor=geo&amp;t_v_frame=MHHW&amp;t_v_unit=us_ft", "NAVD88 to MHHW")</f>
        <v>0</v>
      </c>
    </row>
    <row r="217" spans="1:52">
      <c r="A217" s="1" t="s">
        <v>241</v>
      </c>
      <c r="B217" s="1" t="s">
        <v>621</v>
      </c>
      <c r="D217" s="1" t="s">
        <v>652</v>
      </c>
      <c r="H217" s="1" t="s">
        <v>1790</v>
      </c>
      <c r="I217" s="1" t="s">
        <v>1858</v>
      </c>
      <c r="J217" s="1" t="s">
        <v>1922</v>
      </c>
      <c r="K217" s="1" t="s">
        <v>2079</v>
      </c>
      <c r="L217" s="1">
        <v>-73.6561111</v>
      </c>
      <c r="M217" s="1">
        <v>40.6088333</v>
      </c>
      <c r="N217" s="1" t="s">
        <v>2205</v>
      </c>
      <c r="O217" s="1" t="s">
        <v>860</v>
      </c>
      <c r="P217" s="1" t="s">
        <v>867</v>
      </c>
      <c r="Q217" s="2">
        <f>HYPERLINK("https://waterdata.usgs.gov/nwis/nwismap/?site_no=01311143&amp;agency_cd=USGS", "Station Info")</f>
        <v>0</v>
      </c>
      <c r="R217" s="2">
        <f>HYPERLINK("https://waterservices.usgs.gov/nwis/site/?site=01311143&amp;format=rdb", "Datum Info")</f>
        <v>0</v>
      </c>
      <c r="T217" s="1">
        <v>5700588</v>
      </c>
      <c r="U217" s="1">
        <v>-0.342</v>
      </c>
      <c r="V217" s="1" t="s">
        <v>869</v>
      </c>
      <c r="W217" s="1" t="s">
        <v>874</v>
      </c>
      <c r="AJ217" s="1">
        <v>2.793</v>
      </c>
      <c r="AK217" s="1">
        <v>-2.242</v>
      </c>
      <c r="AS217" s="1">
        <v>0</v>
      </c>
      <c r="AT217" s="1">
        <v>6</v>
      </c>
      <c r="AU217" s="1">
        <v>7</v>
      </c>
      <c r="AV217" s="1">
        <v>8</v>
      </c>
      <c r="AW217" s="1" t="s">
        <v>1744</v>
      </c>
      <c r="AX217" s="2">
        <f>HYPERLINK("https://water.weather.gov/ahps2/hydrograph.php?wfo=okx&amp;gage=hogn6", "AHPS Data")</f>
        <v>0</v>
      </c>
      <c r="AY217" s="2">
        <f>HYPERLINK("https://vdatum.noaa.gov/vdatumweb/api/convert?s_x=-73.6561111&amp;s_y=40.6088333&amp;s_z=0.0&amp;region=contiguous&amp;s_h_frame=NAD83_2011&amp;s_coor=geo&amp;s_v_frame=NAVD88&amp;s_v_unit=us_ft&amp;t_h_frame=NAD83_2011&amp;t_coor=geo&amp;t_v_frame=MLLW&amp;t_v_unit=us_ft", "NAVD88 to MLLW")</f>
        <v>0</v>
      </c>
      <c r="AZ217" s="2">
        <f>HYPERLINK("https://vdatum.noaa.gov/vdatumweb/api/convert?s_x=-73.6561111&amp;s_y=40.6088333&amp;s_z=0.0&amp;region=contiguous&amp;s_h_frame=NAD83_2011&amp;s_coor=geo&amp;s_v_frame=NAVD88&amp;s_v_unit=us_ft&amp;t_h_frame=NAD83_2011&amp;t_coor=geo&amp;t_v_frame=MHHW&amp;t_v_unit=us_ft", "NAVD88 to MHHW")</f>
        <v>0</v>
      </c>
    </row>
    <row r="218" spans="1:52">
      <c r="A218" s="1" t="s">
        <v>242</v>
      </c>
      <c r="B218" s="1" t="s">
        <v>621</v>
      </c>
      <c r="D218" s="1" t="s">
        <v>652</v>
      </c>
      <c r="E218" s="1" t="s">
        <v>726</v>
      </c>
      <c r="F218" s="1" t="s">
        <v>833</v>
      </c>
      <c r="G218" s="1" t="s">
        <v>854</v>
      </c>
      <c r="H218" s="1" t="s">
        <v>1791</v>
      </c>
      <c r="I218" s="1" t="s">
        <v>1858</v>
      </c>
      <c r="J218" s="1" t="s">
        <v>1923</v>
      </c>
      <c r="K218" s="1" t="s">
        <v>2080</v>
      </c>
      <c r="L218" s="1">
        <v>-74.12988889</v>
      </c>
      <c r="M218" s="1">
        <v>40.53888889</v>
      </c>
      <c r="N218" s="1" t="s">
        <v>2206</v>
      </c>
      <c r="O218" s="1" t="s">
        <v>860</v>
      </c>
      <c r="P218" s="1" t="s">
        <v>867</v>
      </c>
      <c r="Q218" s="2">
        <f>HYPERLINK("https://waterdata.usgs.gov/nwis/nwismap/?site_no=01376562&amp;agency_cd=USGS", "Station Info")</f>
        <v>0</v>
      </c>
      <c r="R218" s="2">
        <f>HYPERLINK("https://waterservices.usgs.gov/nwis/site/?site=01376562&amp;format=rdb", "Datum Info")</f>
        <v>0</v>
      </c>
      <c r="T218" s="1">
        <v>7102279</v>
      </c>
      <c r="U218" s="1">
        <v>-0.326</v>
      </c>
      <c r="V218" s="1" t="s">
        <v>869</v>
      </c>
      <c r="W218" s="1" t="s">
        <v>874</v>
      </c>
      <c r="X218" s="1" t="s">
        <v>889</v>
      </c>
      <c r="AH218" s="1" t="s">
        <v>958</v>
      </c>
      <c r="AJ218" s="1">
        <v>3.023</v>
      </c>
      <c r="AK218" s="1">
        <v>-2.366</v>
      </c>
      <c r="AS218" s="1">
        <v>0</v>
      </c>
      <c r="AT218" s="1">
        <v>7.2</v>
      </c>
      <c r="AU218" s="1">
        <v>8.199999999999999</v>
      </c>
      <c r="AV218" s="1">
        <v>9.199999999999999</v>
      </c>
      <c r="AW218" s="1" t="s">
        <v>1744</v>
      </c>
      <c r="AX218" s="2">
        <f>HYPERLINK("https://water.weather.gov/ahps2/hydrograph.php?wfo=okx&amp;gage=kiln6", "AHPS Data")</f>
        <v>0</v>
      </c>
      <c r="AY218" s="2">
        <f>HYPERLINK("https://vdatum.noaa.gov/vdatumweb/api/convert?s_x=-74.12988889&amp;s_y=40.53888889&amp;s_z=0.0&amp;region=contiguous&amp;s_h_frame=NAD83_2011&amp;s_coor=geo&amp;s_v_frame=NAVD88&amp;s_v_unit=us_ft&amp;t_h_frame=NAD83_2011&amp;t_coor=geo&amp;t_v_frame=MLLW&amp;t_v_unit=us_ft", "NAVD88 to MLLW")</f>
        <v>0</v>
      </c>
      <c r="AZ218" s="2">
        <f>HYPERLINK("https://vdatum.noaa.gov/vdatumweb/api/convert?s_x=-74.12988889&amp;s_y=40.53888889&amp;s_z=0.0&amp;region=contiguous&amp;s_h_frame=NAD83_2011&amp;s_coor=geo&amp;s_v_frame=NAVD88&amp;s_v_unit=us_ft&amp;t_h_frame=NAD83_2011&amp;t_coor=geo&amp;t_v_frame=MHHW&amp;t_v_unit=us_ft", "NAVD88 to MHHW")</f>
        <v>0</v>
      </c>
    </row>
    <row r="219" spans="1:52">
      <c r="A219" s="1" t="s">
        <v>243</v>
      </c>
      <c r="B219" s="1" t="s">
        <v>622</v>
      </c>
      <c r="C219" s="1" t="s">
        <v>644</v>
      </c>
      <c r="D219" s="1" t="s">
        <v>652</v>
      </c>
      <c r="E219" s="1" t="s">
        <v>679</v>
      </c>
      <c r="F219" s="1" t="s">
        <v>842</v>
      </c>
      <c r="G219" s="1" t="s">
        <v>854</v>
      </c>
      <c r="H219" s="1" t="s">
        <v>1792</v>
      </c>
      <c r="I219" s="1" t="s">
        <v>1856</v>
      </c>
      <c r="J219" s="1" t="s">
        <v>1924</v>
      </c>
      <c r="K219" s="1" t="s">
        <v>2081</v>
      </c>
      <c r="L219" s="1">
        <v>-74.2817</v>
      </c>
      <c r="M219" s="1">
        <v>40.4917</v>
      </c>
      <c r="N219" s="1">
        <v>8531232</v>
      </c>
      <c r="O219" s="1" t="s">
        <v>860</v>
      </c>
      <c r="P219" s="1" t="s">
        <v>866</v>
      </c>
      <c r="Q219" s="2">
        <f>HYPERLINK("https://tidesandcurrents.noaa.gov/stationhome.html?id=8531232", "Station Info")</f>
        <v>0</v>
      </c>
      <c r="R219" s="2">
        <f>HYPERLINK("https://tidesandcurrents.noaa.gov/datums.html?datum=MLLW&amp;units=0&amp;epoch=0&amp;id=8531232", "Datum Info")</f>
        <v>0</v>
      </c>
      <c r="S219" s="2">
        <f>HYPERLINK("https://api.tidesandcurrents.noaa.gov/mdapi/prod/webapi/stations/8531232.json", "More Info")</f>
        <v>0</v>
      </c>
      <c r="T219" s="1">
        <v>2225068</v>
      </c>
      <c r="U219" s="1">
        <v>0</v>
      </c>
      <c r="V219" s="1" t="s">
        <v>869</v>
      </c>
      <c r="W219" s="1" t="s">
        <v>874</v>
      </c>
      <c r="AJ219" s="1">
        <v>3.06</v>
      </c>
      <c r="AK219" s="1">
        <v>-2.655</v>
      </c>
      <c r="AM219" s="1">
        <v>0</v>
      </c>
      <c r="AN219" s="1" t="s">
        <v>1634</v>
      </c>
      <c r="AQ219" s="1" t="s">
        <v>1714</v>
      </c>
      <c r="AS219" s="1">
        <v>0</v>
      </c>
      <c r="AT219" s="1">
        <v>7.2</v>
      </c>
      <c r="AU219" s="1">
        <v>8.199999999999999</v>
      </c>
      <c r="AV219" s="1">
        <v>9.199999999999999</v>
      </c>
      <c r="AW219" s="1" t="s">
        <v>1744</v>
      </c>
      <c r="AX219" s="2">
        <f>HYPERLINK("https://water.weather.gov/ahps2/hydrograph.php?wfo=phi&amp;gage=pabn4", "AHPS Data")</f>
        <v>0</v>
      </c>
      <c r="AY219" s="2">
        <f>HYPERLINK("https://vdatum.noaa.gov/vdatumweb/api/convert?s_x=-74.2817&amp;s_y=40.4917&amp;s_z=0.0&amp;region=contiguous&amp;s_h_frame=NAD83_2011&amp;s_coor=geo&amp;s_v_frame=NAVD88&amp;s_v_unit=us_ft&amp;t_h_frame=NAD83_2011&amp;t_coor=geo&amp;t_v_frame=MLLW&amp;t_v_unit=us_ft", "NAVD88 to MLLW")</f>
        <v>0</v>
      </c>
      <c r="AZ219" s="2">
        <f>HYPERLINK("https://vdatum.noaa.gov/vdatumweb/api/convert?s_x=-74.2817&amp;s_y=40.4917&amp;s_z=0.0&amp;region=contiguous&amp;s_h_frame=NAD83_2011&amp;s_coor=geo&amp;s_v_frame=NAVD88&amp;s_v_unit=us_ft&amp;t_h_frame=NAD83_2011&amp;t_coor=geo&amp;t_v_frame=MHHW&amp;t_v_unit=us_ft", "NAVD88 to MHHW")</f>
        <v>0</v>
      </c>
    </row>
    <row r="220" spans="1:52">
      <c r="A220" s="1" t="s">
        <v>244</v>
      </c>
      <c r="B220" s="1" t="s">
        <v>622</v>
      </c>
      <c r="C220" s="1" t="s">
        <v>644</v>
      </c>
      <c r="D220" s="1" t="s">
        <v>652</v>
      </c>
      <c r="E220" s="1" t="s">
        <v>679</v>
      </c>
      <c r="F220" s="1" t="s">
        <v>842</v>
      </c>
      <c r="G220" s="1" t="s">
        <v>854</v>
      </c>
      <c r="L220" s="1">
        <v>-74.2817</v>
      </c>
      <c r="M220" s="1">
        <v>40.4917</v>
      </c>
      <c r="N220" s="1">
        <v>8531232</v>
      </c>
      <c r="O220" s="1" t="s">
        <v>861</v>
      </c>
      <c r="P220" s="1" t="s">
        <v>866</v>
      </c>
      <c r="Q220" s="2">
        <f>HYPERLINK("https://tidesandcurrents.noaa.gov/stationhome.html?id=8531232", "Station Info")</f>
        <v>0</v>
      </c>
      <c r="R220" s="2">
        <f>HYPERLINK("https://tidesandcurrents.noaa.gov/datums.html?datum=MLLW&amp;units=0&amp;epoch=0&amp;id=8531232", "Datum Info")</f>
        <v>0</v>
      </c>
      <c r="S220" s="2">
        <f>HYPERLINK("https://api.tidesandcurrents.noaa.gov/mdapi/prod/webapi/stations/8531232.json", "More Info")</f>
        <v>0</v>
      </c>
      <c r="T220" s="1">
        <v>2225068</v>
      </c>
      <c r="U220" s="1">
        <v>0</v>
      </c>
      <c r="V220" s="1" t="s">
        <v>869</v>
      </c>
      <c r="W220" s="1" t="s">
        <v>874</v>
      </c>
      <c r="AJ220" s="1">
        <v>3.06</v>
      </c>
      <c r="AK220" s="1">
        <v>-2.655</v>
      </c>
      <c r="AY220" s="2">
        <f>HYPERLINK("https://vdatum.noaa.gov/vdatumweb/api/convert?s_x=-74.2817&amp;s_y=40.4917&amp;s_z=0.0&amp;region=contiguous&amp;s_h_frame=NAD83_2011&amp;s_coor=geo&amp;s_v_frame=NAVD88&amp;s_v_unit=us_ft&amp;t_h_frame=NAD83_2011&amp;t_coor=geo&amp;t_v_frame=MLLW&amp;t_v_unit=us_ft", "NAVD88 to MLLW")</f>
        <v>0</v>
      </c>
      <c r="AZ220" s="2">
        <f>HYPERLINK("https://vdatum.noaa.gov/vdatumweb/api/convert?s_x=-74.2817&amp;s_y=40.4917&amp;s_z=0.0&amp;region=contiguous&amp;s_h_frame=NAD83_2011&amp;s_coor=geo&amp;s_v_frame=NAVD88&amp;s_v_unit=us_ft&amp;t_h_frame=NAD83_2011&amp;t_coor=geo&amp;t_v_frame=MHHW&amp;t_v_unit=us_ft", "NAVD88 to MHHW")</f>
        <v>0</v>
      </c>
    </row>
    <row r="221" spans="1:52">
      <c r="A221" s="1" t="s">
        <v>245</v>
      </c>
      <c r="B221" s="1" t="s">
        <v>622</v>
      </c>
      <c r="C221" s="1" t="s">
        <v>644</v>
      </c>
      <c r="D221" s="1" t="s">
        <v>652</v>
      </c>
      <c r="E221" s="1" t="s">
        <v>729</v>
      </c>
      <c r="F221" s="1" t="s">
        <v>842</v>
      </c>
      <c r="G221" s="1" t="s">
        <v>854</v>
      </c>
      <c r="H221" s="1" t="s">
        <v>1793</v>
      </c>
      <c r="I221" s="1" t="s">
        <v>1856</v>
      </c>
      <c r="J221" s="1" t="s">
        <v>1925</v>
      </c>
      <c r="K221" s="1" t="s">
        <v>2082</v>
      </c>
      <c r="L221" s="1">
        <v>-74.1433</v>
      </c>
      <c r="M221" s="1">
        <v>40.4483</v>
      </c>
      <c r="N221" s="1">
        <v>8531592</v>
      </c>
      <c r="O221" s="1" t="s">
        <v>860</v>
      </c>
      <c r="P221" s="1" t="s">
        <v>866</v>
      </c>
      <c r="Q221" s="2">
        <f>HYPERLINK("https://tidesandcurrents.noaa.gov/stationhome.html?id=8531592", "Station Info")</f>
        <v>0</v>
      </c>
      <c r="R221" s="2">
        <f>HYPERLINK("https://tidesandcurrents.noaa.gov/datums.html?datum=MLLW&amp;units=0&amp;epoch=0&amp;id=8531592", "Datum Info")</f>
        <v>0</v>
      </c>
      <c r="S221" s="2">
        <f>HYPERLINK("https://api.tidesandcurrents.noaa.gov/mdapi/prod/webapi/stations/8531592.json", "More Info")</f>
        <v>0</v>
      </c>
      <c r="T221" s="1">
        <v>4588067</v>
      </c>
      <c r="U221" s="1">
        <v>0</v>
      </c>
      <c r="V221" s="1" t="s">
        <v>869</v>
      </c>
      <c r="W221" s="1" t="s">
        <v>874</v>
      </c>
      <c r="AJ221" s="1">
        <v>2.924</v>
      </c>
      <c r="AK221" s="1">
        <v>-2.507</v>
      </c>
      <c r="AM221" s="1">
        <v>0</v>
      </c>
      <c r="AN221" s="1" t="s">
        <v>1172</v>
      </c>
      <c r="AQ221" s="1" t="s">
        <v>1185</v>
      </c>
      <c r="AS221" s="1">
        <v>0</v>
      </c>
      <c r="AT221" s="1">
        <v>7</v>
      </c>
      <c r="AU221" s="1">
        <v>8</v>
      </c>
      <c r="AV221" s="1">
        <v>9</v>
      </c>
      <c r="AW221" s="1" t="s">
        <v>1744</v>
      </c>
      <c r="AX221" s="2">
        <f>HYPERLINK("https://water.weather.gov/ahps2/hydrograph.php?wfo=phi&amp;gage=ksbn4", "AHPS Data")</f>
        <v>0</v>
      </c>
      <c r="AY221" s="2">
        <f>HYPERLINK("https://vdatum.noaa.gov/vdatumweb/api/convert?s_x=-74.1433&amp;s_y=40.4483&amp;s_z=0.0&amp;region=contiguous&amp;s_h_frame=NAD83_2011&amp;s_coor=geo&amp;s_v_frame=NAVD88&amp;s_v_unit=us_ft&amp;t_h_frame=NAD83_2011&amp;t_coor=geo&amp;t_v_frame=MLLW&amp;t_v_unit=us_ft", "NAVD88 to MLLW")</f>
        <v>0</v>
      </c>
      <c r="AZ221" s="2">
        <f>HYPERLINK("https://vdatum.noaa.gov/vdatumweb/api/convert?s_x=-74.1433&amp;s_y=40.4483&amp;s_z=0.0&amp;region=contiguous&amp;s_h_frame=NAD83_2011&amp;s_coor=geo&amp;s_v_frame=NAVD88&amp;s_v_unit=us_ft&amp;t_h_frame=NAD83_2011&amp;t_coor=geo&amp;t_v_frame=MHHW&amp;t_v_unit=us_ft", "NAVD88 to MHHW")</f>
        <v>0</v>
      </c>
    </row>
    <row r="222" spans="1:52">
      <c r="A222" s="1" t="s">
        <v>246</v>
      </c>
      <c r="B222" s="1" t="s">
        <v>622</v>
      </c>
      <c r="D222" s="1" t="s">
        <v>652</v>
      </c>
      <c r="H222" s="1" t="s">
        <v>1794</v>
      </c>
      <c r="I222" s="1" t="s">
        <v>1856</v>
      </c>
      <c r="J222" s="1" t="s">
        <v>1926</v>
      </c>
      <c r="K222" s="1" t="s">
        <v>2083</v>
      </c>
      <c r="L222" s="1">
        <v>-73.97499999999999</v>
      </c>
      <c r="M222" s="1">
        <v>40.365</v>
      </c>
      <c r="N222" s="1">
        <v>8531804</v>
      </c>
      <c r="O222" s="1" t="s">
        <v>860</v>
      </c>
      <c r="P222" s="1" t="s">
        <v>866</v>
      </c>
      <c r="Q222" s="2">
        <f>HYPERLINK("https://tidesandcurrents.noaa.gov/stationhome.html?id=8531804", "Station Info")</f>
        <v>0</v>
      </c>
      <c r="R222" s="2">
        <f>HYPERLINK("https://tidesandcurrents.noaa.gov/datums.html?datum=MLLW&amp;units=0&amp;epoch=0&amp;id=8531804", "Datum Info")</f>
        <v>0</v>
      </c>
      <c r="S222" s="2">
        <f>HYPERLINK("https://api.tidesandcurrents.noaa.gov/mdapi/prod/webapi/stations/8531804.json", "More Info")</f>
        <v>0</v>
      </c>
      <c r="T222" s="1">
        <v>1800180</v>
      </c>
      <c r="U222" s="1">
        <v>0</v>
      </c>
      <c r="V222" s="1" t="s">
        <v>869</v>
      </c>
      <c r="W222" s="1" t="s">
        <v>874</v>
      </c>
      <c r="X222" s="1" t="s">
        <v>886</v>
      </c>
      <c r="Y222" s="1">
        <v>3.92</v>
      </c>
      <c r="Z222" s="1">
        <v>3.64</v>
      </c>
      <c r="AA222" s="1">
        <v>1.89</v>
      </c>
      <c r="AB222" s="1">
        <v>1.89</v>
      </c>
      <c r="AC222" s="1">
        <v>1.96</v>
      </c>
      <c r="AD222" s="1">
        <v>0.13</v>
      </c>
      <c r="AE222" s="1">
        <v>0</v>
      </c>
      <c r="AF222" s="1">
        <v>2.13</v>
      </c>
      <c r="AG222" s="1">
        <v>-2.51</v>
      </c>
      <c r="AH222" s="1" t="s">
        <v>1187</v>
      </c>
      <c r="AI222" s="1" t="s">
        <v>1457</v>
      </c>
      <c r="AJ222" s="1">
        <v>2.096</v>
      </c>
      <c r="AK222" s="1">
        <v>-1.775</v>
      </c>
      <c r="AM222" s="1">
        <v>0</v>
      </c>
      <c r="AN222" s="1" t="s">
        <v>1635</v>
      </c>
      <c r="AQ222" s="1" t="s">
        <v>1715</v>
      </c>
      <c r="AS222" s="1">
        <v>0</v>
      </c>
      <c r="AT222" s="1">
        <v>5.2</v>
      </c>
      <c r="AU222" s="1">
        <v>6.2</v>
      </c>
      <c r="AV222" s="1">
        <v>7.2</v>
      </c>
      <c r="AW222" s="1" t="s">
        <v>1744</v>
      </c>
      <c r="AX222" s="2">
        <f>HYPERLINK("https://water.weather.gov/ahps2/hydrograph.php?wfo=phi&amp;gage=sbin4", "AHPS Data")</f>
        <v>0</v>
      </c>
      <c r="AY222" s="2">
        <f>HYPERLINK("https://vdatum.noaa.gov/vdatumweb/api/convert?s_x=-73.975&amp;s_y=40.365&amp;s_z=0.0&amp;region=contiguous&amp;s_h_frame=NAD83_2011&amp;s_coor=geo&amp;s_v_frame=NAVD88&amp;s_v_unit=us_ft&amp;t_h_frame=NAD83_2011&amp;t_coor=geo&amp;t_v_frame=MLLW&amp;t_v_unit=us_ft", "NAVD88 to MLLW")</f>
        <v>0</v>
      </c>
      <c r="AZ222" s="2">
        <f>HYPERLINK("https://vdatum.noaa.gov/vdatumweb/api/convert?s_x=-73.975&amp;s_y=40.365&amp;s_z=0.0&amp;region=contiguous&amp;s_h_frame=NAD83_2011&amp;s_coor=geo&amp;s_v_frame=NAVD88&amp;s_v_unit=us_ft&amp;t_h_frame=NAD83_2011&amp;t_coor=geo&amp;t_v_frame=MHHW&amp;t_v_unit=us_ft", "NAVD88 to MHHW")</f>
        <v>0</v>
      </c>
    </row>
    <row r="223" spans="1:52">
      <c r="A223" s="1" t="s">
        <v>247</v>
      </c>
      <c r="B223" s="1" t="s">
        <v>622</v>
      </c>
      <c r="D223" s="1" t="s">
        <v>652</v>
      </c>
      <c r="H223" s="1" t="s">
        <v>1795</v>
      </c>
      <c r="I223" s="1" t="s">
        <v>1856</v>
      </c>
      <c r="J223" s="1" t="s">
        <v>1927</v>
      </c>
      <c r="K223" s="1" t="s">
        <v>2084</v>
      </c>
      <c r="L223" s="1">
        <v>-74.00830000000001</v>
      </c>
      <c r="M223" s="1">
        <v>40.185</v>
      </c>
      <c r="N223" s="1">
        <v>8532337</v>
      </c>
      <c r="O223" s="1" t="s">
        <v>860</v>
      </c>
      <c r="P223" s="1" t="s">
        <v>866</v>
      </c>
      <c r="Q223" s="2">
        <f>HYPERLINK("https://tidesandcurrents.noaa.gov/stationhome.html?id=8532337", "Station Info")</f>
        <v>0</v>
      </c>
      <c r="R223" s="2">
        <f>HYPERLINK("https://tidesandcurrents.noaa.gov/datums.html?datum=MLLW&amp;units=0&amp;epoch=0&amp;id=8532337", "Datum Info")</f>
        <v>0</v>
      </c>
      <c r="S223" s="2">
        <f>HYPERLINK("https://api.tidesandcurrents.noaa.gov/mdapi/prod/webapi/stations/8532337.json", "More Info")</f>
        <v>0</v>
      </c>
      <c r="T223" s="1">
        <v>1979602</v>
      </c>
      <c r="U223" s="1">
        <v>0</v>
      </c>
      <c r="V223" s="1" t="s">
        <v>869</v>
      </c>
      <c r="W223" s="1" t="s">
        <v>874</v>
      </c>
      <c r="AJ223" s="1">
        <v>2.495</v>
      </c>
      <c r="AK223" s="1">
        <v>-2.248</v>
      </c>
      <c r="AM223" s="1">
        <v>0</v>
      </c>
      <c r="AN223" s="1" t="s">
        <v>1636</v>
      </c>
      <c r="AQ223" s="1" t="s">
        <v>1716</v>
      </c>
      <c r="AS223" s="1">
        <v>0</v>
      </c>
      <c r="AT223" s="1">
        <v>5.9</v>
      </c>
      <c r="AU223" s="1">
        <v>6.9</v>
      </c>
      <c r="AV223" s="1">
        <v>7.9</v>
      </c>
      <c r="AW223" s="1" t="s">
        <v>1744</v>
      </c>
      <c r="AX223" s="2">
        <f>HYPERLINK("https://water.weather.gov/ahps2/hydrograph.php?wfo=phi&amp;gage=blmn4", "AHPS Data")</f>
        <v>0</v>
      </c>
      <c r="AY223" s="2">
        <f>HYPERLINK("https://vdatum.noaa.gov/vdatumweb/api/convert?s_x=-74.0083&amp;s_y=40.185&amp;s_z=0.0&amp;region=contiguous&amp;s_h_frame=NAD83_2011&amp;s_coor=geo&amp;s_v_frame=NAVD88&amp;s_v_unit=us_ft&amp;t_h_frame=NAD83_2011&amp;t_coor=geo&amp;t_v_frame=MLLW&amp;t_v_unit=us_ft", "NAVD88 to MLLW")</f>
        <v>0</v>
      </c>
      <c r="AZ223" s="2">
        <f>HYPERLINK("https://vdatum.noaa.gov/vdatumweb/api/convert?s_x=-74.0083&amp;s_y=40.185&amp;s_z=0.0&amp;region=contiguous&amp;s_h_frame=NAD83_2011&amp;s_coor=geo&amp;s_v_frame=NAVD88&amp;s_v_unit=us_ft&amp;t_h_frame=NAD83_2011&amp;t_coor=geo&amp;t_v_frame=MHHW&amp;t_v_unit=us_ft", "NAVD88 to MHHW")</f>
        <v>0</v>
      </c>
    </row>
    <row r="224" spans="1:52">
      <c r="A224" s="1" t="s">
        <v>248</v>
      </c>
      <c r="B224" s="1" t="s">
        <v>622</v>
      </c>
      <c r="D224" s="1" t="s">
        <v>652</v>
      </c>
      <c r="H224" s="1" t="s">
        <v>1796</v>
      </c>
      <c r="I224" s="1" t="s">
        <v>1856</v>
      </c>
      <c r="J224" s="1" t="s">
        <v>1928</v>
      </c>
      <c r="K224" s="1" t="s">
        <v>2085</v>
      </c>
      <c r="L224" s="1">
        <v>-74.05329999999999</v>
      </c>
      <c r="M224" s="1">
        <v>40.0367</v>
      </c>
      <c r="N224" s="1">
        <v>8532786</v>
      </c>
      <c r="O224" s="1" t="s">
        <v>860</v>
      </c>
      <c r="P224" s="1" t="s">
        <v>866</v>
      </c>
      <c r="Q224" s="2">
        <f>HYPERLINK("https://tidesandcurrents.noaa.gov/stationhome.html?id=8532786", "Station Info")</f>
        <v>0</v>
      </c>
      <c r="R224" s="2">
        <f>HYPERLINK("https://tidesandcurrents.noaa.gov/datums.html?datum=MLLW&amp;units=0&amp;epoch=0&amp;id=8532786", "Datum Info")</f>
        <v>0</v>
      </c>
      <c r="S224" s="2">
        <f>HYPERLINK("https://api.tidesandcurrents.noaa.gov/mdapi/prod/webapi/stations/8532786.json", "More Info")</f>
        <v>0</v>
      </c>
      <c r="T224" s="1">
        <v>1979717</v>
      </c>
      <c r="U224" s="1">
        <v>0</v>
      </c>
      <c r="V224" s="1" t="s">
        <v>869</v>
      </c>
      <c r="W224" s="1" t="s">
        <v>874</v>
      </c>
      <c r="AJ224" s="1">
        <v>0.311</v>
      </c>
      <c r="AK224" s="1">
        <v>-0.334</v>
      </c>
      <c r="AL224" s="1" t="s">
        <v>887</v>
      </c>
      <c r="AM224" s="1">
        <v>0</v>
      </c>
      <c r="AN224" s="1" t="s">
        <v>1637</v>
      </c>
      <c r="AQ224" s="1" t="s">
        <v>1717</v>
      </c>
      <c r="AS224" s="1">
        <v>0</v>
      </c>
      <c r="AT224" s="1">
        <v>1.7</v>
      </c>
      <c r="AU224" s="1">
        <v>2.7</v>
      </c>
      <c r="AV224" s="1">
        <v>3.7</v>
      </c>
      <c r="AW224" s="1" t="s">
        <v>1744</v>
      </c>
      <c r="AX224" s="2">
        <f>HYPERLINK("https://water.weather.gov/ahps2/hydrograph.php?wfo=phi&amp;gage=mtln4", "AHPS Data")</f>
        <v>0</v>
      </c>
      <c r="AY224" s="2">
        <f>HYPERLINK("https://vdatum.noaa.gov/vdatumweb/api/convert?s_x=-74.0533&amp;s_y=40.0367&amp;s_z=0.0&amp;region=contiguous&amp;s_h_frame=NAD83_2011&amp;s_coor=geo&amp;s_v_frame=NAVD88&amp;s_v_unit=us_ft&amp;t_h_frame=NAD83_2011&amp;t_coor=geo&amp;t_v_frame=MLLW&amp;t_v_unit=us_ft", "NAVD88 to MLLW")</f>
        <v>0</v>
      </c>
      <c r="AZ224" s="2">
        <f>HYPERLINK("https://vdatum.noaa.gov/vdatumweb/api/convert?s_x=-74.0533&amp;s_y=40.0367&amp;s_z=0.0&amp;region=contiguous&amp;s_h_frame=NAD83_2011&amp;s_coor=geo&amp;s_v_frame=NAVD88&amp;s_v_unit=us_ft&amp;t_h_frame=NAD83_2011&amp;t_coor=geo&amp;t_v_frame=MHHW&amp;t_v_unit=us_ft", "NAVD88 to MHHW")</f>
        <v>0</v>
      </c>
    </row>
    <row r="225" spans="1:52">
      <c r="A225" s="1" t="s">
        <v>249</v>
      </c>
      <c r="B225" s="1" t="s">
        <v>622</v>
      </c>
      <c r="C225" s="1" t="s">
        <v>644</v>
      </c>
      <c r="D225" s="1" t="s">
        <v>652</v>
      </c>
      <c r="E225" s="1" t="s">
        <v>730</v>
      </c>
      <c r="F225" s="1" t="s">
        <v>842</v>
      </c>
      <c r="G225" s="1" t="s">
        <v>854</v>
      </c>
      <c r="H225" s="1" t="s">
        <v>1796</v>
      </c>
      <c r="I225" s="1" t="s">
        <v>1856</v>
      </c>
      <c r="J225" s="1" t="s">
        <v>1929</v>
      </c>
      <c r="K225" s="1" t="s">
        <v>2086</v>
      </c>
      <c r="L225" s="1">
        <v>-74.11499999999999</v>
      </c>
      <c r="M225" s="1">
        <v>39.9483</v>
      </c>
      <c r="N225" s="1">
        <v>8533055</v>
      </c>
      <c r="O225" s="1" t="s">
        <v>860</v>
      </c>
      <c r="P225" s="1" t="s">
        <v>866</v>
      </c>
      <c r="Q225" s="2">
        <f>HYPERLINK("https://tidesandcurrents.noaa.gov/stationhome.html?id=8533055", "Station Info")</f>
        <v>0</v>
      </c>
      <c r="R225" s="2">
        <f>HYPERLINK("https://tidesandcurrents.noaa.gov/datums.html?datum=MLLW&amp;units=0&amp;epoch=0&amp;id=8533055", "Datum Info")</f>
        <v>0</v>
      </c>
      <c r="S225" s="2">
        <f>HYPERLINK("https://api.tidesandcurrents.noaa.gov/mdapi/prod/webapi/stations/8533055.json", "More Info")</f>
        <v>0</v>
      </c>
      <c r="T225" s="1">
        <v>3644325</v>
      </c>
      <c r="U225" s="1">
        <v>0</v>
      </c>
      <c r="V225" s="1" t="s">
        <v>869</v>
      </c>
      <c r="W225" s="1" t="s">
        <v>874</v>
      </c>
      <c r="AJ225" s="1">
        <v>0.458</v>
      </c>
      <c r="AK225" s="1">
        <v>-0.352</v>
      </c>
      <c r="AL225" s="1" t="s">
        <v>1608</v>
      </c>
      <c r="AM225" s="1">
        <v>0</v>
      </c>
      <c r="AN225" s="1" t="s">
        <v>1638</v>
      </c>
      <c r="AQ225" s="1" t="s">
        <v>1718</v>
      </c>
      <c r="AS225" s="1">
        <v>0</v>
      </c>
      <c r="AT225" s="1">
        <v>2</v>
      </c>
      <c r="AU225" s="1">
        <v>3</v>
      </c>
      <c r="AV225" s="1">
        <v>4</v>
      </c>
      <c r="AW225" s="1" t="s">
        <v>1744</v>
      </c>
      <c r="AX225" s="2">
        <f>HYPERLINK("https://water.weather.gov/ahps2/hydrograph.php?wfo=phi&amp;gage=basn4", "AHPS Data")</f>
        <v>0</v>
      </c>
      <c r="AY225" s="2">
        <f>HYPERLINK("https://vdatum.noaa.gov/vdatumweb/api/convert?s_x=-74.115&amp;s_y=39.9483&amp;s_z=0.0&amp;region=contiguous&amp;s_h_frame=NAD83_2011&amp;s_coor=geo&amp;s_v_frame=NAVD88&amp;s_v_unit=us_ft&amp;t_h_frame=NAD83_2011&amp;t_coor=geo&amp;t_v_frame=MLLW&amp;t_v_unit=us_ft", "NAVD88 to MLLW")</f>
        <v>0</v>
      </c>
      <c r="AZ225" s="2">
        <f>HYPERLINK("https://vdatum.noaa.gov/vdatumweb/api/convert?s_x=-74.115&amp;s_y=39.9483&amp;s_z=0.0&amp;region=contiguous&amp;s_h_frame=NAD83_2011&amp;s_coor=geo&amp;s_v_frame=NAVD88&amp;s_v_unit=us_ft&amp;t_h_frame=NAD83_2011&amp;t_coor=geo&amp;t_v_frame=MHHW&amp;t_v_unit=us_ft", "NAVD88 to MHHW")</f>
        <v>0</v>
      </c>
    </row>
    <row r="226" spans="1:52">
      <c r="A226" s="1" t="s">
        <v>250</v>
      </c>
      <c r="B226" s="1" t="s">
        <v>622</v>
      </c>
      <c r="D226" s="1" t="s">
        <v>652</v>
      </c>
      <c r="H226" s="1" t="s">
        <v>1796</v>
      </c>
      <c r="I226" s="1" t="s">
        <v>1856</v>
      </c>
      <c r="J226" s="1" t="s">
        <v>1930</v>
      </c>
      <c r="K226" s="1" t="s">
        <v>2087</v>
      </c>
      <c r="L226" s="1">
        <v>-74.18170000000001</v>
      </c>
      <c r="M226" s="1">
        <v>39.7917</v>
      </c>
      <c r="N226" s="1">
        <v>8533541</v>
      </c>
      <c r="O226" s="1" t="s">
        <v>860</v>
      </c>
      <c r="P226" s="1" t="s">
        <v>866</v>
      </c>
      <c r="Q226" s="2">
        <f>HYPERLINK("https://tidesandcurrents.noaa.gov/stationhome.html?id=8533541", "Station Info")</f>
        <v>0</v>
      </c>
      <c r="R226" s="2">
        <f>HYPERLINK("https://tidesandcurrents.noaa.gov/datums.html?datum=MLLW&amp;units=0&amp;epoch=0&amp;id=8533541", "Datum Info")</f>
        <v>0</v>
      </c>
      <c r="S226" s="2">
        <f>HYPERLINK("https://api.tidesandcurrents.noaa.gov/mdapi/prod/webapi/stations/8533541.json", "More Info")</f>
        <v>0</v>
      </c>
      <c r="T226" s="1">
        <v>5067738</v>
      </c>
      <c r="U226" s="1">
        <v>0</v>
      </c>
      <c r="V226" s="1" t="s">
        <v>869</v>
      </c>
      <c r="W226" s="1" t="s">
        <v>874</v>
      </c>
      <c r="AJ226" s="1">
        <v>0.517</v>
      </c>
      <c r="AK226" s="1">
        <v>-0.436</v>
      </c>
      <c r="AM226" s="1">
        <v>0</v>
      </c>
      <c r="AN226" s="1" t="s">
        <v>1639</v>
      </c>
      <c r="AQ226" s="1" t="s">
        <v>1719</v>
      </c>
      <c r="AS226" s="1">
        <v>0</v>
      </c>
      <c r="AT226" s="1">
        <v>2.1</v>
      </c>
      <c r="AU226" s="1">
        <v>3.1</v>
      </c>
      <c r="AV226" s="1">
        <v>4.1</v>
      </c>
      <c r="AW226" s="1" t="s">
        <v>1744</v>
      </c>
      <c r="AX226" s="2">
        <f>HYPERLINK("https://water.weather.gov/ahps2/hydrograph.php?wfo=phi&amp;gage=watn4", "AHPS Data")</f>
        <v>0</v>
      </c>
      <c r="AY226" s="2">
        <f>HYPERLINK("https://vdatum.noaa.gov/vdatumweb/api/convert?s_x=-74.1817&amp;s_y=39.7917&amp;s_z=0.0&amp;region=contiguous&amp;s_h_frame=NAD83_2011&amp;s_coor=geo&amp;s_v_frame=NAVD88&amp;s_v_unit=us_ft&amp;t_h_frame=NAD83_2011&amp;t_coor=geo&amp;t_v_frame=MLLW&amp;t_v_unit=us_ft", "NAVD88 to MLLW")</f>
        <v>0</v>
      </c>
      <c r="AZ226" s="2">
        <f>HYPERLINK("https://vdatum.noaa.gov/vdatumweb/api/convert?s_x=-74.1817&amp;s_y=39.7917&amp;s_z=0.0&amp;region=contiguous&amp;s_h_frame=NAD83_2011&amp;s_coor=geo&amp;s_v_frame=NAVD88&amp;s_v_unit=us_ft&amp;t_h_frame=NAD83_2011&amp;t_coor=geo&amp;t_v_frame=MHHW&amp;t_v_unit=us_ft", "NAVD88 to MHHW")</f>
        <v>0</v>
      </c>
    </row>
    <row r="227" spans="1:52">
      <c r="A227" s="1" t="s">
        <v>251</v>
      </c>
      <c r="B227" s="1" t="s">
        <v>622</v>
      </c>
      <c r="D227" s="1" t="s">
        <v>652</v>
      </c>
      <c r="H227" s="1" t="s">
        <v>1796</v>
      </c>
      <c r="I227" s="1" t="s">
        <v>1856</v>
      </c>
      <c r="J227" s="1" t="s">
        <v>1931</v>
      </c>
      <c r="K227" s="1" t="s">
        <v>2088</v>
      </c>
      <c r="L227" s="1">
        <v>-74.1117</v>
      </c>
      <c r="M227" s="1">
        <v>39.7617</v>
      </c>
      <c r="N227" s="1">
        <v>8533615</v>
      </c>
      <c r="O227" s="1" t="s">
        <v>860</v>
      </c>
      <c r="P227" s="1" t="s">
        <v>866</v>
      </c>
      <c r="Q227" s="2">
        <f>HYPERLINK("https://tidesandcurrents.noaa.gov/stationhome.html?id=8533615", "Station Info")</f>
        <v>0</v>
      </c>
      <c r="R227" s="2">
        <f>HYPERLINK("https://tidesandcurrents.noaa.gov/datums.html?datum=MLLW&amp;units=0&amp;epoch=0&amp;id=8533615", "Datum Info")</f>
        <v>0</v>
      </c>
      <c r="S227" s="2">
        <f>HYPERLINK("https://api.tidesandcurrents.noaa.gov/mdapi/prod/webapi/stations/8533615.json", "More Info")</f>
        <v>0</v>
      </c>
      <c r="T227" s="1">
        <v>3964932</v>
      </c>
      <c r="U227" s="1">
        <v>0</v>
      </c>
      <c r="V227" s="1" t="s">
        <v>869</v>
      </c>
      <c r="W227" s="1" t="s">
        <v>874</v>
      </c>
      <c r="X227" s="1" t="s">
        <v>886</v>
      </c>
      <c r="Y227" s="1">
        <v>2.51</v>
      </c>
      <c r="Z227" s="1">
        <v>2.27</v>
      </c>
      <c r="AA227" s="1">
        <v>1.2</v>
      </c>
      <c r="AB227" s="1">
        <v>1.16</v>
      </c>
      <c r="AC227" s="1">
        <v>1.25</v>
      </c>
      <c r="AD227" s="1">
        <v>0.12</v>
      </c>
      <c r="AE227" s="1">
        <v>0</v>
      </c>
      <c r="AF227" s="1">
        <v>1.18</v>
      </c>
      <c r="AG227" s="1">
        <v>-3.5</v>
      </c>
      <c r="AH227" s="1" t="s">
        <v>1188</v>
      </c>
      <c r="AI227" s="1" t="s">
        <v>1458</v>
      </c>
      <c r="AJ227" s="1">
        <v>1.187</v>
      </c>
      <c r="AK227" s="1">
        <v>-1.32</v>
      </c>
      <c r="AL227" s="1" t="s">
        <v>1608</v>
      </c>
      <c r="AM227" s="1">
        <v>0</v>
      </c>
      <c r="AN227" s="1" t="s">
        <v>1640</v>
      </c>
      <c r="AQ227" s="1" t="s">
        <v>1720</v>
      </c>
      <c r="AS227" s="1">
        <v>0</v>
      </c>
      <c r="AT227" s="1">
        <v>3.5</v>
      </c>
      <c r="AU227" s="1">
        <v>4.5</v>
      </c>
      <c r="AV227" s="1">
        <v>5.5</v>
      </c>
      <c r="AW227" s="1" t="s">
        <v>1744</v>
      </c>
      <c r="AX227" s="2">
        <f>HYPERLINK("https://water.weather.gov/ahps2/hydrograph.php?wfo=phi&amp;gage=bgln4", "AHPS Data")</f>
        <v>0</v>
      </c>
      <c r="AY227" s="2">
        <f>HYPERLINK("https://vdatum.noaa.gov/vdatumweb/api/convert?s_x=-74.1117&amp;s_y=39.7617&amp;s_z=0.0&amp;region=contiguous&amp;s_h_frame=NAD83_2011&amp;s_coor=geo&amp;s_v_frame=NAVD88&amp;s_v_unit=us_ft&amp;t_h_frame=NAD83_2011&amp;t_coor=geo&amp;t_v_frame=MLLW&amp;t_v_unit=us_ft", "NAVD88 to MLLW")</f>
        <v>0</v>
      </c>
      <c r="AZ227" s="2">
        <f>HYPERLINK("https://vdatum.noaa.gov/vdatumweb/api/convert?s_x=-74.1117&amp;s_y=39.7617&amp;s_z=0.0&amp;region=contiguous&amp;s_h_frame=NAD83_2011&amp;s_coor=geo&amp;s_v_frame=NAVD88&amp;s_v_unit=us_ft&amp;t_h_frame=NAD83_2011&amp;t_coor=geo&amp;t_v_frame=MHHW&amp;t_v_unit=us_ft", "NAVD88 to MHHW")</f>
        <v>0</v>
      </c>
    </row>
    <row r="228" spans="1:52">
      <c r="A228" s="1" t="s">
        <v>252</v>
      </c>
      <c r="B228" s="1" t="s">
        <v>622</v>
      </c>
      <c r="D228" s="1" t="s">
        <v>652</v>
      </c>
      <c r="H228" s="1" t="s">
        <v>1797</v>
      </c>
      <c r="I228" s="1" t="s">
        <v>1856</v>
      </c>
      <c r="J228" s="1" t="s">
        <v>1932</v>
      </c>
      <c r="K228" s="1" t="s">
        <v>2089</v>
      </c>
      <c r="L228" s="1">
        <v>-74.185</v>
      </c>
      <c r="M228" s="1">
        <v>39.6533</v>
      </c>
      <c r="N228" s="1">
        <v>8533935</v>
      </c>
      <c r="O228" s="1" t="s">
        <v>860</v>
      </c>
      <c r="P228" s="1" t="s">
        <v>866</v>
      </c>
      <c r="Q228" s="2">
        <f>HYPERLINK("https://tidesandcurrents.noaa.gov/stationhome.html?id=8533935", "Station Info")</f>
        <v>0</v>
      </c>
      <c r="R228" s="2">
        <f>HYPERLINK("https://tidesandcurrents.noaa.gov/datums.html?datum=MLLW&amp;units=0&amp;epoch=0&amp;id=8533935", "Datum Info")</f>
        <v>0</v>
      </c>
      <c r="S228" s="2">
        <f>HYPERLINK("https://api.tidesandcurrents.noaa.gov/mdapi/prod/webapi/stations/8533935.json", "More Info")</f>
        <v>0</v>
      </c>
      <c r="T228" s="1">
        <v>3645047</v>
      </c>
      <c r="U228" s="1">
        <v>0</v>
      </c>
      <c r="V228" s="1" t="s">
        <v>869</v>
      </c>
      <c r="W228" s="1" t="s">
        <v>874</v>
      </c>
      <c r="AJ228" s="1">
        <v>0.947</v>
      </c>
      <c r="AK228" s="1">
        <v>-0.997</v>
      </c>
      <c r="AL228" s="1" t="s">
        <v>1608</v>
      </c>
      <c r="AM228" s="1">
        <v>0</v>
      </c>
      <c r="AN228" s="1" t="s">
        <v>1641</v>
      </c>
      <c r="AQ228" s="1" t="s">
        <v>1721</v>
      </c>
      <c r="AS228" s="1">
        <v>0</v>
      </c>
      <c r="AT228" s="1">
        <v>3</v>
      </c>
      <c r="AU228" s="1">
        <v>4</v>
      </c>
      <c r="AV228" s="1">
        <v>5</v>
      </c>
      <c r="AW228" s="1" t="s">
        <v>1744</v>
      </c>
      <c r="AX228" s="2">
        <f>HYPERLINK("https://water.weather.gov/ahps2/hydrograph.php?wfo=phi&amp;gage=sbtn4", "AHPS Data")</f>
        <v>0</v>
      </c>
      <c r="AY228" s="2">
        <f>HYPERLINK("https://vdatum.noaa.gov/vdatumweb/api/convert?s_x=-74.185&amp;s_y=39.6533&amp;s_z=0.0&amp;region=contiguous&amp;s_h_frame=NAD83_2011&amp;s_coor=geo&amp;s_v_frame=NAVD88&amp;s_v_unit=us_ft&amp;t_h_frame=NAD83_2011&amp;t_coor=geo&amp;t_v_frame=MLLW&amp;t_v_unit=us_ft", "NAVD88 to MLLW")</f>
        <v>0</v>
      </c>
      <c r="AZ228" s="2">
        <f>HYPERLINK("https://vdatum.noaa.gov/vdatumweb/api/convert?s_x=-74.185&amp;s_y=39.6533&amp;s_z=0.0&amp;region=contiguous&amp;s_h_frame=NAD83_2011&amp;s_coor=geo&amp;s_v_frame=NAVD88&amp;s_v_unit=us_ft&amp;t_h_frame=NAD83_2011&amp;t_coor=geo&amp;t_v_frame=MHHW&amp;t_v_unit=us_ft", "NAVD88 to MHHW")</f>
        <v>0</v>
      </c>
    </row>
    <row r="229" spans="1:52">
      <c r="A229" s="1" t="s">
        <v>253</v>
      </c>
      <c r="B229" s="1" t="s">
        <v>622</v>
      </c>
      <c r="D229" s="1" t="s">
        <v>652</v>
      </c>
      <c r="E229" s="1" t="s">
        <v>730</v>
      </c>
      <c r="F229" s="1" t="s">
        <v>842</v>
      </c>
      <c r="G229" s="1" t="s">
        <v>854</v>
      </c>
      <c r="H229" s="1" t="s">
        <v>1798</v>
      </c>
      <c r="I229" s="1" t="s">
        <v>1856</v>
      </c>
      <c r="J229" s="1" t="s">
        <v>1933</v>
      </c>
      <c r="K229" s="1" t="s">
        <v>2090</v>
      </c>
      <c r="L229" s="1">
        <v>-74.325</v>
      </c>
      <c r="M229" s="1">
        <v>39.5083</v>
      </c>
      <c r="N229" s="1">
        <v>8534319</v>
      </c>
      <c r="O229" s="1" t="s">
        <v>860</v>
      </c>
      <c r="P229" s="1" t="s">
        <v>866</v>
      </c>
      <c r="Q229" s="2">
        <f>HYPERLINK("https://tidesandcurrents.noaa.gov/stationhome.html?id=8534319", "Station Info")</f>
        <v>0</v>
      </c>
      <c r="R229" s="2">
        <f>HYPERLINK("https://tidesandcurrents.noaa.gov/datums.html?datum=MLLW&amp;units=0&amp;epoch=0&amp;id=8534319", "Datum Info")</f>
        <v>0</v>
      </c>
      <c r="S229" s="2">
        <f>HYPERLINK("https://api.tidesandcurrents.noaa.gov/mdapi/prod/webapi/stations/8534319.json", "More Info")</f>
        <v>0</v>
      </c>
      <c r="T229" s="1">
        <v>4264448</v>
      </c>
      <c r="U229" s="1">
        <v>0</v>
      </c>
      <c r="V229" s="1" t="s">
        <v>869</v>
      </c>
      <c r="W229" s="1" t="s">
        <v>874</v>
      </c>
      <c r="X229" s="1" t="s">
        <v>886</v>
      </c>
      <c r="Y229" s="1">
        <v>3.33</v>
      </c>
      <c r="Z229" s="1">
        <v>3</v>
      </c>
      <c r="AA229" s="1">
        <v>1.57</v>
      </c>
      <c r="AB229" s="1">
        <v>1.55</v>
      </c>
      <c r="AC229" s="1">
        <v>1.67</v>
      </c>
      <c r="AD229" s="1">
        <v>0.14</v>
      </c>
      <c r="AE229" s="1">
        <v>0</v>
      </c>
      <c r="AF229" s="1">
        <v>1.83</v>
      </c>
      <c r="AG229" s="1">
        <v>1.83</v>
      </c>
      <c r="AH229" s="1" t="s">
        <v>1189</v>
      </c>
      <c r="AI229" s="1" t="s">
        <v>1423</v>
      </c>
      <c r="AJ229" s="1">
        <v>1.839</v>
      </c>
      <c r="AK229" s="1">
        <v>-1.578</v>
      </c>
      <c r="AM229" s="1">
        <v>0</v>
      </c>
      <c r="AN229" s="1" t="s">
        <v>1642</v>
      </c>
      <c r="AQ229" s="1" t="s">
        <v>1722</v>
      </c>
      <c r="AS229" s="1">
        <v>0</v>
      </c>
      <c r="AT229" s="1">
        <v>4.4</v>
      </c>
      <c r="AU229" s="1">
        <v>5.4</v>
      </c>
      <c r="AV229" s="1">
        <v>6.4</v>
      </c>
      <c r="AW229" s="1" t="s">
        <v>1744</v>
      </c>
      <c r="AX229" s="2">
        <f>HYPERLINK("https://water.weather.gov/ahps2/hydrograph.php?wfo=phi&amp;gage=tktn4", "AHPS Data")</f>
        <v>0</v>
      </c>
      <c r="AY229" s="2">
        <f>HYPERLINK("https://vdatum.noaa.gov/vdatumweb/api/convert?s_x=-74.325&amp;s_y=39.5083&amp;s_z=0.0&amp;region=contiguous&amp;s_h_frame=NAD83_2011&amp;s_coor=geo&amp;s_v_frame=NAVD88&amp;s_v_unit=us_ft&amp;t_h_frame=NAD83_2011&amp;t_coor=geo&amp;t_v_frame=MLLW&amp;t_v_unit=us_ft", "NAVD88 to MLLW")</f>
        <v>0</v>
      </c>
      <c r="AZ229" s="2">
        <f>HYPERLINK("https://vdatum.noaa.gov/vdatumweb/api/convert?s_x=-74.325&amp;s_y=39.5083&amp;s_z=0.0&amp;region=contiguous&amp;s_h_frame=NAD83_2011&amp;s_coor=geo&amp;s_v_frame=NAVD88&amp;s_v_unit=us_ft&amp;t_h_frame=NAD83_2011&amp;t_coor=geo&amp;t_v_frame=MHHW&amp;t_v_unit=us_ft", "NAVD88 to MHHW")</f>
        <v>0</v>
      </c>
    </row>
    <row r="230" spans="1:52">
      <c r="A230" s="1" t="s">
        <v>254</v>
      </c>
      <c r="B230" s="1" t="s">
        <v>622</v>
      </c>
      <c r="C230" s="1" t="s">
        <v>644</v>
      </c>
      <c r="D230" s="1" t="s">
        <v>652</v>
      </c>
      <c r="E230" s="1" t="s">
        <v>731</v>
      </c>
      <c r="F230" s="1" t="s">
        <v>842</v>
      </c>
      <c r="G230" s="1" t="s">
        <v>854</v>
      </c>
      <c r="H230" s="1" t="s">
        <v>1799</v>
      </c>
      <c r="I230" s="1" t="s">
        <v>1856</v>
      </c>
      <c r="J230" s="1" t="s">
        <v>1934</v>
      </c>
      <c r="K230" s="1" t="s">
        <v>2091</v>
      </c>
      <c r="L230" s="1">
        <v>-74.5</v>
      </c>
      <c r="M230" s="1">
        <v>39.4233</v>
      </c>
      <c r="N230" s="1">
        <v>8534540</v>
      </c>
      <c r="O230" s="1" t="s">
        <v>860</v>
      </c>
      <c r="P230" s="1" t="s">
        <v>866</v>
      </c>
      <c r="Q230" s="2">
        <f>HYPERLINK("https://tidesandcurrents.noaa.gov/stationhome.html?id=8534540", "Station Info")</f>
        <v>0</v>
      </c>
      <c r="R230" s="2">
        <f>HYPERLINK("https://tidesandcurrents.noaa.gov/datums.html?datum=MLLW&amp;units=0&amp;epoch=0&amp;id=8534540", "Datum Info")</f>
        <v>0</v>
      </c>
      <c r="S230" s="2">
        <f>HYPERLINK("https://api.tidesandcurrents.noaa.gov/mdapi/prod/webapi/stations/8534540.json", "More Info")</f>
        <v>0</v>
      </c>
      <c r="T230" s="1">
        <v>4115144</v>
      </c>
      <c r="U230" s="1">
        <v>0</v>
      </c>
      <c r="V230" s="1" t="s">
        <v>869</v>
      </c>
      <c r="W230" s="1" t="s">
        <v>873</v>
      </c>
      <c r="X230" s="1" t="s">
        <v>886</v>
      </c>
      <c r="Y230" s="1">
        <v>4.39</v>
      </c>
      <c r="Z230" s="1">
        <v>4.03</v>
      </c>
      <c r="AA230" s="1">
        <v>2.09</v>
      </c>
      <c r="AB230" s="1">
        <v>2.22</v>
      </c>
      <c r="AC230" s="1">
        <v>2.2</v>
      </c>
      <c r="AD230" s="1">
        <v>0.16</v>
      </c>
      <c r="AE230" s="1">
        <v>0</v>
      </c>
      <c r="AF230" s="1">
        <v>2.41</v>
      </c>
      <c r="AG230" s="1">
        <v>-2.19</v>
      </c>
      <c r="AJ230" s="1">
        <v>-999999</v>
      </c>
      <c r="AK230" s="1">
        <v>-999999</v>
      </c>
      <c r="AL230" s="1" t="s">
        <v>1608</v>
      </c>
      <c r="AM230" s="1">
        <v>0</v>
      </c>
      <c r="AN230" s="1" t="s">
        <v>1643</v>
      </c>
      <c r="AQ230" s="1" t="s">
        <v>1723</v>
      </c>
      <c r="AS230" s="1">
        <v>0</v>
      </c>
      <c r="AT230" s="1">
        <v>5.6</v>
      </c>
      <c r="AU230" s="1">
        <v>6.6</v>
      </c>
      <c r="AV230" s="1">
        <v>7.6</v>
      </c>
      <c r="AW230" s="1" t="s">
        <v>1744</v>
      </c>
      <c r="AX230" s="2">
        <f>HYPERLINK("https://water.weather.gov/ahps2/hydrograph.php?wfo=phi&amp;gage=ascn4", "AHPS Data")</f>
        <v>0</v>
      </c>
      <c r="AY230" s="2">
        <f>HYPERLINK("https://vdatum.noaa.gov/vdatumweb/api/convert?s_x=-74.5&amp;s_y=39.4233&amp;s_z=0.0&amp;region=chesapeak_delaware&amp;s_h_frame=NAD83_2011&amp;s_coor=geo&amp;s_v_frame=NAVD88&amp;s_v_unit=us_ft&amp;t_h_frame=IGS14&amp;t_coor=geo&amp;t_v_frame=MLLW&amp;t_v_unit=us_ft", "Missing")</f>
        <v>0</v>
      </c>
      <c r="AZ230" s="2">
        <f>HYPERLINK("https://vdatum.noaa.gov/vdatumweb/api/convert?s_x=-74.5&amp;s_y=39.4233&amp;s_z=0.0&amp;region=chesapeak_delaware&amp;s_h_frame=NAD83_2011&amp;s_coor=geo&amp;s_v_frame=NAVD88&amp;s_v_unit=us_ft&amp;t_h_frame=IGS14&amp;t_coor=geo&amp;t_v_frame=MHHW&amp;t_v_unit=us_ft", "Missing")</f>
        <v>0</v>
      </c>
    </row>
    <row r="231" spans="1:52">
      <c r="A231" s="1" t="s">
        <v>255</v>
      </c>
      <c r="B231" s="1" t="s">
        <v>622</v>
      </c>
      <c r="D231" s="1" t="s">
        <v>652</v>
      </c>
      <c r="E231" s="1" t="s">
        <v>731</v>
      </c>
      <c r="F231" s="1" t="s">
        <v>842</v>
      </c>
      <c r="G231" s="1" t="s">
        <v>854</v>
      </c>
      <c r="H231" s="1" t="s">
        <v>1800</v>
      </c>
      <c r="I231" s="1" t="s">
        <v>1856</v>
      </c>
      <c r="J231" s="1" t="s">
        <v>1935</v>
      </c>
      <c r="K231" s="1" t="s">
        <v>2092</v>
      </c>
      <c r="L231" s="1">
        <v>-74.425</v>
      </c>
      <c r="M231" s="1">
        <v>39.385</v>
      </c>
      <c r="N231" s="1">
        <v>8534638</v>
      </c>
      <c r="O231" s="1" t="s">
        <v>860</v>
      </c>
      <c r="P231" s="1" t="s">
        <v>866</v>
      </c>
      <c r="Q231" s="2">
        <f>HYPERLINK("https://tidesandcurrents.noaa.gov/stationhome.html?id=8534638", "Station Info")</f>
        <v>0</v>
      </c>
      <c r="R231" s="2">
        <f>HYPERLINK("https://tidesandcurrents.noaa.gov/datums.html?datum=MLLW&amp;units=0&amp;epoch=0&amp;id=8534638", "Datum Info")</f>
        <v>0</v>
      </c>
      <c r="S231" s="2">
        <f>HYPERLINK("https://api.tidesandcurrents.noaa.gov/mdapi/prod/webapi/stations/8534638.json", "More Info")</f>
        <v>0</v>
      </c>
      <c r="T231" s="1">
        <v>5313081</v>
      </c>
      <c r="U231" s="1">
        <v>0</v>
      </c>
      <c r="V231" s="1" t="s">
        <v>869</v>
      </c>
      <c r="W231" s="1" t="s">
        <v>873</v>
      </c>
      <c r="AJ231" s="1">
        <v>2.316</v>
      </c>
      <c r="AK231" s="1">
        <v>-2.077</v>
      </c>
      <c r="AL231" s="1" t="s">
        <v>1608</v>
      </c>
      <c r="AM231" s="1">
        <v>0</v>
      </c>
      <c r="AN231" s="1" t="s">
        <v>1644</v>
      </c>
      <c r="AQ231" s="1" t="s">
        <v>1242</v>
      </c>
      <c r="AS231" s="1">
        <v>0</v>
      </c>
      <c r="AT231" s="1">
        <v>5.7</v>
      </c>
      <c r="AU231" s="1">
        <v>6.7</v>
      </c>
      <c r="AV231" s="1">
        <v>7.7</v>
      </c>
      <c r="AW231" s="1" t="s">
        <v>1744</v>
      </c>
      <c r="AX231" s="2">
        <f>HYPERLINK("https://water.weather.gov/ahps2/hydrograph.php?wfo=phi&amp;gage=atln4", "AHPS Data")</f>
        <v>0</v>
      </c>
      <c r="AY231" s="2">
        <f>HYPERLINK("https://vdatum.noaa.gov/vdatumweb/api/convert?s_x=-74.425&amp;s_y=39.385&amp;s_z=0.0&amp;region=chesapeak_delaware&amp;s_h_frame=NAD83_2011&amp;s_coor=geo&amp;s_v_frame=NAVD88&amp;s_v_unit=us_ft&amp;t_h_frame=IGS14&amp;t_coor=geo&amp;t_v_frame=MLLW&amp;t_v_unit=us_ft", "NAVD88 to MLLW")</f>
        <v>0</v>
      </c>
      <c r="AZ231" s="2">
        <f>HYPERLINK("https://vdatum.noaa.gov/vdatumweb/api/convert?s_x=-74.425&amp;s_y=39.385&amp;s_z=0.0&amp;region=chesapeak_delaware&amp;s_h_frame=NAD83_2011&amp;s_coor=geo&amp;s_v_frame=NAVD88&amp;s_v_unit=us_ft&amp;t_h_frame=IGS14&amp;t_coor=geo&amp;t_v_frame=MHHW&amp;t_v_unit=us_ft", "NAVD88 to MHHW")</f>
        <v>0</v>
      </c>
    </row>
    <row r="232" spans="1:52">
      <c r="A232" s="1" t="s">
        <v>256</v>
      </c>
      <c r="B232" s="1" t="s">
        <v>622</v>
      </c>
      <c r="D232" s="1" t="s">
        <v>652</v>
      </c>
      <c r="L232" s="1">
        <v>-74.4181</v>
      </c>
      <c r="M232" s="1">
        <v>39.35667</v>
      </c>
      <c r="N232" s="1">
        <v>8534720</v>
      </c>
      <c r="O232" s="1" t="s">
        <v>860</v>
      </c>
      <c r="P232" s="1" t="s">
        <v>866</v>
      </c>
      <c r="Q232" s="2">
        <f>HYPERLINK("https://tidesandcurrents.noaa.gov/stationhome.html?id=8534720", "Station Info")</f>
        <v>0</v>
      </c>
      <c r="R232" s="2">
        <f>HYPERLINK("https://tidesandcurrents.noaa.gov/datums.html?datum=MLLW&amp;units=0&amp;epoch=0&amp;id=8534720", "Datum Info")</f>
        <v>0</v>
      </c>
      <c r="S232" s="2">
        <f>HYPERLINK("https://api.tidesandcurrents.noaa.gov/mdapi/prod/webapi/stations/8534720.json", "More Info")</f>
        <v>0</v>
      </c>
      <c r="T232" s="1">
        <v>1980212</v>
      </c>
      <c r="U232" s="1">
        <v>0</v>
      </c>
      <c r="V232" s="1" t="s">
        <v>869</v>
      </c>
      <c r="W232" s="1" t="s">
        <v>873</v>
      </c>
      <c r="X232" s="1" t="s">
        <v>886</v>
      </c>
      <c r="Y232" s="1">
        <v>4.6</v>
      </c>
      <c r="Z232" s="1">
        <v>4.18</v>
      </c>
      <c r="AA232" s="1">
        <v>2.18</v>
      </c>
      <c r="AB232" s="1">
        <v>2.21</v>
      </c>
      <c r="AC232" s="1">
        <v>2.3</v>
      </c>
      <c r="AD232" s="1">
        <v>0.17</v>
      </c>
      <c r="AE232" s="1">
        <v>0</v>
      </c>
      <c r="AF232" s="1">
        <v>2.61</v>
      </c>
      <c r="AG232" s="1">
        <v>-4.96</v>
      </c>
      <c r="AH232" s="1" t="s">
        <v>1190</v>
      </c>
      <c r="AI232" s="1" t="s">
        <v>1459</v>
      </c>
      <c r="AJ232" s="1">
        <v>1.453</v>
      </c>
      <c r="AK232" s="1">
        <v>-3.146</v>
      </c>
      <c r="AY232" s="2">
        <f>HYPERLINK("https://vdatum.noaa.gov/vdatumweb/api/convert?s_x=-74.4181&amp;s_y=39.35667&amp;s_z=0.0&amp;region=chesapeak_delaware&amp;s_h_frame=NAD83_2011&amp;s_coor=geo&amp;s_v_frame=NAVD88&amp;s_v_unit=us_ft&amp;t_h_frame=IGS14&amp;t_coor=geo&amp;t_v_frame=MLLW&amp;t_v_unit=us_ft", "NAVD88 to MLLW")</f>
        <v>0</v>
      </c>
      <c r="AZ232" s="2">
        <f>HYPERLINK("https://vdatum.noaa.gov/vdatumweb/api/convert?s_x=-74.4181&amp;s_y=39.35667&amp;s_z=0.0&amp;region=chesapeak_delaware&amp;s_h_frame=NAD83_2011&amp;s_coor=geo&amp;s_v_frame=NAVD88&amp;s_v_unit=us_ft&amp;t_h_frame=IGS14&amp;t_coor=geo&amp;t_v_frame=MHHW&amp;t_v_unit=us_ft", "NAVD88 to MHHW")</f>
        <v>0</v>
      </c>
    </row>
    <row r="233" spans="1:52">
      <c r="A233" s="1" t="s">
        <v>257</v>
      </c>
      <c r="B233" s="1" t="s">
        <v>622</v>
      </c>
      <c r="D233" s="1" t="s">
        <v>652</v>
      </c>
      <c r="H233" s="1" t="s">
        <v>1801</v>
      </c>
      <c r="I233" s="1" t="s">
        <v>1856</v>
      </c>
      <c r="J233" s="1" t="s">
        <v>1936</v>
      </c>
      <c r="K233" s="1" t="s">
        <v>2093</v>
      </c>
      <c r="L233" s="1">
        <v>-74.5333</v>
      </c>
      <c r="M233" s="1">
        <v>39.3083</v>
      </c>
      <c r="N233" s="1">
        <v>8534836</v>
      </c>
      <c r="O233" s="1" t="s">
        <v>860</v>
      </c>
      <c r="P233" s="1" t="s">
        <v>866</v>
      </c>
      <c r="Q233" s="2">
        <f>HYPERLINK("https://tidesandcurrents.noaa.gov/stationhome.html?id=8534836", "Station Info")</f>
        <v>0</v>
      </c>
      <c r="R233" s="2">
        <f>HYPERLINK("https://tidesandcurrents.noaa.gov/datums.html?datum=MLLW&amp;units=0&amp;epoch=0&amp;id=8534836", "Datum Info")</f>
        <v>0</v>
      </c>
      <c r="S233" s="2">
        <f>HYPERLINK("https://api.tidesandcurrents.noaa.gov/mdapi/prod/webapi/stations/8534836.json", "More Info")</f>
        <v>0</v>
      </c>
      <c r="T233" s="1">
        <v>3126752</v>
      </c>
      <c r="U233" s="1">
        <v>-0.436</v>
      </c>
      <c r="V233" s="1" t="s">
        <v>869</v>
      </c>
      <c r="W233" s="1" t="s">
        <v>873</v>
      </c>
      <c r="X233" s="1" t="s">
        <v>886</v>
      </c>
      <c r="Y233" s="1">
        <v>4.33</v>
      </c>
      <c r="Z233" s="1">
        <v>3.93</v>
      </c>
      <c r="AA233" s="1">
        <v>2.04</v>
      </c>
      <c r="AB233" s="1">
        <v>2.03</v>
      </c>
      <c r="AC233" s="1">
        <v>2.17</v>
      </c>
      <c r="AD233" s="1">
        <v>0.15</v>
      </c>
      <c r="AE233" s="1">
        <v>0</v>
      </c>
      <c r="AF233" s="1" t="s">
        <v>1008</v>
      </c>
      <c r="AG233" s="1">
        <v>-2.05</v>
      </c>
      <c r="AH233" s="1" t="s">
        <v>1191</v>
      </c>
      <c r="AI233" s="1" t="s">
        <v>1460</v>
      </c>
      <c r="AJ233" s="1">
        <v>2.339</v>
      </c>
      <c r="AK233" s="1">
        <v>-2.041</v>
      </c>
      <c r="AL233" s="1" t="s">
        <v>887</v>
      </c>
      <c r="AM233" s="1">
        <v>0</v>
      </c>
      <c r="AN233" s="1" t="s">
        <v>1645</v>
      </c>
      <c r="AQ233" s="1" t="s">
        <v>1724</v>
      </c>
      <c r="AS233" s="1">
        <v>0</v>
      </c>
      <c r="AT233" s="1">
        <v>5.6</v>
      </c>
      <c r="AU233" s="1">
        <v>6.6</v>
      </c>
      <c r="AV233" s="1">
        <v>7.6</v>
      </c>
      <c r="AW233" s="1" t="s">
        <v>1744</v>
      </c>
      <c r="AX233" s="2">
        <f>HYPERLINK("https://water.weather.gov/ahps2/hydrograph.php?wfo=phi&amp;gage=mgtn4", "AHPS Data")</f>
        <v>0</v>
      </c>
      <c r="AY233" s="2">
        <f>HYPERLINK("https://vdatum.noaa.gov/vdatumweb/api/convert?s_x=-74.5333&amp;s_y=39.3083&amp;s_z=0.0&amp;region=chesapeak_delaware&amp;s_h_frame=NAD83_2011&amp;s_coor=geo&amp;s_v_frame=NAVD88&amp;s_v_unit=us_ft&amp;t_h_frame=IGS14&amp;t_coor=geo&amp;t_v_frame=MLLW&amp;t_v_unit=us_ft", "NAVD88 to MLLW")</f>
        <v>0</v>
      </c>
      <c r="AZ233" s="2">
        <f>HYPERLINK("https://vdatum.noaa.gov/vdatumweb/api/convert?s_x=-74.5333&amp;s_y=39.3083&amp;s_z=0.0&amp;region=chesapeak_delaware&amp;s_h_frame=NAD83_2011&amp;s_coor=geo&amp;s_v_frame=NAVD88&amp;s_v_unit=us_ft&amp;t_h_frame=IGS14&amp;t_coor=geo&amp;t_v_frame=MHHW&amp;t_v_unit=us_ft", "NAVD88 to MHHW")</f>
        <v>0</v>
      </c>
    </row>
    <row r="234" spans="1:52">
      <c r="A234" s="1" t="s">
        <v>258</v>
      </c>
      <c r="B234" s="1" t="s">
        <v>622</v>
      </c>
      <c r="D234" s="1" t="s">
        <v>652</v>
      </c>
      <c r="H234" s="1" t="s">
        <v>1802</v>
      </c>
      <c r="I234" s="1" t="s">
        <v>1856</v>
      </c>
      <c r="J234" s="1" t="s">
        <v>1937</v>
      </c>
      <c r="K234" s="1" t="s">
        <v>2094</v>
      </c>
      <c r="L234" s="1">
        <v>-74.6283</v>
      </c>
      <c r="M234" s="1">
        <v>39.2883</v>
      </c>
      <c r="N234" s="1">
        <v>8534975</v>
      </c>
      <c r="O234" s="1" t="s">
        <v>860</v>
      </c>
      <c r="P234" s="1" t="s">
        <v>866</v>
      </c>
      <c r="Q234" s="2">
        <f>HYPERLINK("https://tidesandcurrents.noaa.gov/stationhome.html?id=8534975", "Station Info")</f>
        <v>0</v>
      </c>
      <c r="R234" s="2">
        <f>HYPERLINK("https://tidesandcurrents.noaa.gov/datums.html?datum=MLLW&amp;units=0&amp;epoch=0&amp;id=8534975", "Datum Info")</f>
        <v>0</v>
      </c>
      <c r="S234" s="2">
        <f>HYPERLINK("https://api.tidesandcurrents.noaa.gov/mdapi/prod/webapi/stations/8534975.json", "More Info")</f>
        <v>0</v>
      </c>
      <c r="T234" s="1">
        <v>4117734</v>
      </c>
      <c r="U234" s="1">
        <v>0</v>
      </c>
      <c r="V234" s="1" t="s">
        <v>869</v>
      </c>
      <c r="W234" s="1" t="s">
        <v>873</v>
      </c>
      <c r="AJ234" s="1">
        <v>2.139</v>
      </c>
      <c r="AK234" s="1">
        <v>-2.234</v>
      </c>
      <c r="AL234" s="1" t="s">
        <v>887</v>
      </c>
      <c r="AM234" s="1">
        <v>0</v>
      </c>
      <c r="AN234" s="1" t="s">
        <v>1646</v>
      </c>
      <c r="AQ234" s="1" t="s">
        <v>1725</v>
      </c>
      <c r="AS234" s="1">
        <v>0</v>
      </c>
      <c r="AT234" s="1">
        <v>5.3</v>
      </c>
      <c r="AU234" s="1">
        <v>6.3</v>
      </c>
      <c r="AV234" s="1">
        <v>7.3</v>
      </c>
      <c r="AW234" s="1" t="s">
        <v>1744</v>
      </c>
      <c r="AX234" s="2">
        <f>HYPERLINK("https://water.weather.gov/ahps2/hydrograph.php?wfo=phi&amp;gage=oncn4", "AHPS Data")</f>
        <v>0</v>
      </c>
      <c r="AY234" s="2">
        <f>HYPERLINK("https://vdatum.noaa.gov/vdatumweb/api/convert?s_x=-74.6283&amp;s_y=39.2883&amp;s_z=0.0&amp;region=chesapeak_delaware&amp;s_h_frame=NAD83_2011&amp;s_coor=geo&amp;s_v_frame=NAVD88&amp;s_v_unit=us_ft&amp;t_h_frame=IGS14&amp;t_coor=geo&amp;t_v_frame=MLLW&amp;t_v_unit=us_ft", "NAVD88 to MLLW")</f>
        <v>0</v>
      </c>
      <c r="AZ234" s="2">
        <f>HYPERLINK("https://vdatum.noaa.gov/vdatumweb/api/convert?s_x=-74.6283&amp;s_y=39.2883&amp;s_z=0.0&amp;region=chesapeak_delaware&amp;s_h_frame=NAD83_2011&amp;s_coor=geo&amp;s_v_frame=NAVD88&amp;s_v_unit=us_ft&amp;t_h_frame=IGS14&amp;t_coor=geo&amp;t_v_frame=MHHW&amp;t_v_unit=us_ft", "NAVD88 to MHHW")</f>
        <v>0</v>
      </c>
    </row>
    <row r="235" spans="1:52">
      <c r="A235" s="1" t="s">
        <v>259</v>
      </c>
      <c r="B235" s="1" t="s">
        <v>622</v>
      </c>
      <c r="C235" s="1" t="s">
        <v>644</v>
      </c>
      <c r="D235" s="1" t="s">
        <v>652</v>
      </c>
      <c r="E235" s="1" t="s">
        <v>732</v>
      </c>
      <c r="F235" s="1" t="s">
        <v>842</v>
      </c>
      <c r="G235" s="1" t="s">
        <v>854</v>
      </c>
      <c r="H235" s="1" t="s">
        <v>1803</v>
      </c>
      <c r="I235" s="1" t="s">
        <v>1856</v>
      </c>
      <c r="J235" s="1" t="s">
        <v>1938</v>
      </c>
      <c r="K235" s="1" t="s">
        <v>2095</v>
      </c>
      <c r="L235" s="1">
        <v>-74.70999999999999</v>
      </c>
      <c r="M235" s="1">
        <v>39.1767</v>
      </c>
      <c r="N235" s="1">
        <v>8535221</v>
      </c>
      <c r="O235" s="1" t="s">
        <v>860</v>
      </c>
      <c r="P235" s="1" t="s">
        <v>866</v>
      </c>
      <c r="Q235" s="2">
        <f>HYPERLINK("https://tidesandcurrents.noaa.gov/stationhome.html?id=8535221", "Station Info")</f>
        <v>0</v>
      </c>
      <c r="R235" s="2">
        <f>HYPERLINK("https://tidesandcurrents.noaa.gov/datums.html?datum=MLLW&amp;units=0&amp;epoch=0&amp;id=8535221", "Datum Info")</f>
        <v>0</v>
      </c>
      <c r="S235" s="2">
        <f>HYPERLINK("https://api.tidesandcurrents.noaa.gov/mdapi/prod/webapi/stations/8535221.json", "More Info")</f>
        <v>0</v>
      </c>
      <c r="T235" s="1">
        <v>5431716</v>
      </c>
      <c r="U235" s="1">
        <v>0</v>
      </c>
      <c r="V235" s="1" t="s">
        <v>869</v>
      </c>
      <c r="W235" s="1" t="s">
        <v>873</v>
      </c>
      <c r="X235" s="1" t="s">
        <v>886</v>
      </c>
      <c r="Y235" s="1">
        <v>4.48</v>
      </c>
      <c r="Z235" s="1">
        <v>4.1</v>
      </c>
      <c r="AA235" s="1">
        <v>2.13</v>
      </c>
      <c r="AB235" s="1">
        <v>2.16</v>
      </c>
      <c r="AC235" s="1">
        <v>2.24</v>
      </c>
      <c r="AD235" s="1">
        <v>0.16</v>
      </c>
      <c r="AE235" s="1">
        <v>0</v>
      </c>
      <c r="AF235" s="1" t="s">
        <v>1009</v>
      </c>
      <c r="AG235" s="1">
        <v>-0.09</v>
      </c>
      <c r="AH235" s="1" t="s">
        <v>1192</v>
      </c>
      <c r="AI235" s="1" t="s">
        <v>1461</v>
      </c>
      <c r="AJ235" s="1">
        <v>2.507</v>
      </c>
      <c r="AK235" s="1">
        <v>-1.962</v>
      </c>
      <c r="AL235" s="1" t="s">
        <v>1608</v>
      </c>
      <c r="AM235" s="1">
        <v>0</v>
      </c>
      <c r="AN235" s="1" t="s">
        <v>1647</v>
      </c>
      <c r="AQ235" s="1" t="s">
        <v>1723</v>
      </c>
      <c r="AS235" s="1">
        <v>0</v>
      </c>
      <c r="AT235" s="1">
        <v>5.7</v>
      </c>
      <c r="AU235" s="1">
        <v>6.7</v>
      </c>
      <c r="AV235" s="1">
        <v>7.7</v>
      </c>
      <c r="AW235" s="1" t="s">
        <v>1744</v>
      </c>
      <c r="AX235" s="2">
        <f>HYPERLINK("https://water.weather.gov/ahps2/hydrograph.php?wfo=phi&amp;gage=sicn4", "AHPS Data")</f>
        <v>0</v>
      </c>
      <c r="AY235" s="2">
        <f>HYPERLINK("https://vdatum.noaa.gov/vdatumweb/api/convert?s_x=-74.71&amp;s_y=39.1767&amp;s_z=0.0&amp;region=chesapeak_delaware&amp;s_h_frame=NAD83_2011&amp;s_coor=geo&amp;s_v_frame=NAVD88&amp;s_v_unit=us_ft&amp;t_h_frame=IGS14&amp;t_coor=geo&amp;t_v_frame=MLLW&amp;t_v_unit=us_ft", "NAVD88 to MLLW")</f>
        <v>0</v>
      </c>
      <c r="AZ235" s="2">
        <f>HYPERLINK("https://vdatum.noaa.gov/vdatumweb/api/convert?s_x=-74.71&amp;s_y=39.1767&amp;s_z=0.0&amp;region=chesapeak_delaware&amp;s_h_frame=NAD83_2011&amp;s_coor=geo&amp;s_v_frame=NAVD88&amp;s_v_unit=us_ft&amp;t_h_frame=IGS14&amp;t_coor=geo&amp;t_v_frame=MHHW&amp;t_v_unit=us_ft", "NAVD88 to MHHW")</f>
        <v>0</v>
      </c>
    </row>
    <row r="236" spans="1:52">
      <c r="A236" s="1" t="s">
        <v>260</v>
      </c>
      <c r="B236" s="1" t="s">
        <v>622</v>
      </c>
      <c r="C236" s="1" t="s">
        <v>644</v>
      </c>
      <c r="D236" s="1" t="s">
        <v>652</v>
      </c>
      <c r="H236" s="1" t="s">
        <v>1804</v>
      </c>
      <c r="I236" s="1" t="s">
        <v>1856</v>
      </c>
      <c r="J236" s="1" t="s">
        <v>1939</v>
      </c>
      <c r="K236" s="1" t="s">
        <v>2096</v>
      </c>
      <c r="L236" s="1">
        <v>-74.7383</v>
      </c>
      <c r="M236" s="1">
        <v>39.11</v>
      </c>
      <c r="N236" s="1">
        <v>8535419</v>
      </c>
      <c r="O236" s="1" t="s">
        <v>860</v>
      </c>
      <c r="P236" s="1" t="s">
        <v>866</v>
      </c>
      <c r="Q236" s="2">
        <f>HYPERLINK("https://tidesandcurrents.noaa.gov/stationhome.html?id=8535419", "Station Info")</f>
        <v>0</v>
      </c>
      <c r="R236" s="2">
        <f>HYPERLINK("https://tidesandcurrents.noaa.gov/datums.html?datum=MLLW&amp;units=0&amp;epoch=0&amp;id=8535419", "Datum Info")</f>
        <v>0</v>
      </c>
      <c r="S236" s="2">
        <f>HYPERLINK("https://api.tidesandcurrents.noaa.gov/mdapi/prod/webapi/stations/8535419.json", "More Info")</f>
        <v>0</v>
      </c>
      <c r="T236" s="1">
        <v>6382209</v>
      </c>
      <c r="U236" s="1">
        <v>0</v>
      </c>
      <c r="V236" s="1" t="s">
        <v>869</v>
      </c>
      <c r="W236" s="1" t="s">
        <v>873</v>
      </c>
      <c r="X236" s="1" t="s">
        <v>886</v>
      </c>
      <c r="Y236" s="1">
        <v>4.61</v>
      </c>
      <c r="Z236" s="1">
        <v>4.21</v>
      </c>
      <c r="AA236" s="1">
        <v>2.19</v>
      </c>
      <c r="AB236" s="1">
        <v>2.22</v>
      </c>
      <c r="AC236" s="1">
        <v>2.3</v>
      </c>
      <c r="AD236" s="1">
        <v>0.17</v>
      </c>
      <c r="AE236" s="1">
        <v>0</v>
      </c>
      <c r="AF236" s="1">
        <v>2.53</v>
      </c>
      <c r="AG236" s="1">
        <v>-4.18</v>
      </c>
      <c r="AH236" s="1" t="s">
        <v>1193</v>
      </c>
      <c r="AI236" s="1" t="s">
        <v>1462</v>
      </c>
      <c r="AJ236" s="1">
        <v>2.503</v>
      </c>
      <c r="AK236" s="1">
        <v>-2.07</v>
      </c>
      <c r="AL236" s="1" t="s">
        <v>1608</v>
      </c>
      <c r="AM236" s="1">
        <v>0</v>
      </c>
      <c r="AN236" s="1" t="s">
        <v>1648</v>
      </c>
      <c r="AQ236" s="1" t="s">
        <v>1242</v>
      </c>
      <c r="AS236" s="1">
        <v>0</v>
      </c>
      <c r="AT236" s="1">
        <v>6</v>
      </c>
      <c r="AU236" s="1">
        <v>7</v>
      </c>
      <c r="AV236" s="1">
        <v>8</v>
      </c>
      <c r="AW236" s="1" t="s">
        <v>1744</v>
      </c>
      <c r="AX236" s="2">
        <f>HYPERLINK("https://water.weather.gov/ahps2/hydrograph.php?wfo=phi&amp;gage=avln4", "AHPS Data")</f>
        <v>0</v>
      </c>
      <c r="AY236" s="2">
        <f>HYPERLINK("https://vdatum.noaa.gov/vdatumweb/api/convert?s_x=-74.7383&amp;s_y=39.11&amp;s_z=0.0&amp;region=chesapeak_delaware&amp;s_h_frame=NAD83_2011&amp;s_coor=geo&amp;s_v_frame=NAVD88&amp;s_v_unit=us_ft&amp;t_h_frame=IGS14&amp;t_coor=geo&amp;t_v_frame=MLLW&amp;t_v_unit=us_ft", "NAVD88 to MLLW")</f>
        <v>0</v>
      </c>
      <c r="AZ236" s="2">
        <f>HYPERLINK("https://vdatum.noaa.gov/vdatumweb/api/convert?s_x=-74.7383&amp;s_y=39.11&amp;s_z=0.0&amp;region=chesapeak_delaware&amp;s_h_frame=NAD83_2011&amp;s_coor=geo&amp;s_v_frame=NAVD88&amp;s_v_unit=us_ft&amp;t_h_frame=IGS14&amp;t_coor=geo&amp;t_v_frame=MHHW&amp;t_v_unit=us_ft", "NAVD88 to MHHW")</f>
        <v>0</v>
      </c>
    </row>
    <row r="237" spans="1:52">
      <c r="A237" s="1" t="s">
        <v>261</v>
      </c>
      <c r="B237" s="1" t="s">
        <v>622</v>
      </c>
      <c r="D237" s="1" t="s">
        <v>652</v>
      </c>
      <c r="H237" s="1" t="s">
        <v>1805</v>
      </c>
      <c r="I237" s="1" t="s">
        <v>1856</v>
      </c>
      <c r="J237" s="1" t="s">
        <v>1940</v>
      </c>
      <c r="K237" s="1" t="s">
        <v>2097</v>
      </c>
      <c r="L237" s="1">
        <v>-74.765</v>
      </c>
      <c r="M237" s="1">
        <v>39.0567</v>
      </c>
      <c r="N237" s="1">
        <v>8535581</v>
      </c>
      <c r="O237" s="1" t="s">
        <v>860</v>
      </c>
      <c r="P237" s="1" t="s">
        <v>866</v>
      </c>
      <c r="Q237" s="2">
        <f>HYPERLINK("https://tidesandcurrents.noaa.gov/stationhome.html?id=8535581", "Station Info")</f>
        <v>0</v>
      </c>
      <c r="R237" s="2">
        <f>HYPERLINK("https://tidesandcurrents.noaa.gov/datums.html?datum=MLLW&amp;units=0&amp;epoch=0&amp;id=8535581", "Datum Info")</f>
        <v>0</v>
      </c>
      <c r="S237" s="2">
        <f>HYPERLINK("https://api.tidesandcurrents.noaa.gov/mdapi/prod/webapi/stations/8535581.json", "More Info")</f>
        <v>0</v>
      </c>
      <c r="T237" s="1">
        <v>4410955</v>
      </c>
      <c r="U237" s="1">
        <v>0</v>
      </c>
      <c r="V237" s="1" t="s">
        <v>869</v>
      </c>
      <c r="W237" s="1" t="s">
        <v>873</v>
      </c>
      <c r="X237" s="1" t="s">
        <v>886</v>
      </c>
      <c r="Y237" s="1">
        <v>4.74</v>
      </c>
      <c r="Z237" s="1">
        <v>4.35</v>
      </c>
      <c r="AA237" s="1">
        <v>2.26</v>
      </c>
      <c r="AB237" s="1">
        <v>2.34</v>
      </c>
      <c r="AC237" s="1">
        <v>2.37</v>
      </c>
      <c r="AD237" s="1">
        <v>0.16</v>
      </c>
      <c r="AE237" s="1">
        <v>0</v>
      </c>
      <c r="AF237" s="1">
        <v>2.66</v>
      </c>
      <c r="AG237" s="1">
        <v>2.66</v>
      </c>
      <c r="AH237" s="1" t="s">
        <v>1194</v>
      </c>
      <c r="AI237" s="1" t="s">
        <v>1463</v>
      </c>
      <c r="AJ237" s="1">
        <v>2.621</v>
      </c>
      <c r="AK237" s="1">
        <v>-2.113</v>
      </c>
      <c r="AL237" s="1" t="s">
        <v>1608</v>
      </c>
      <c r="AM237" s="1">
        <v>0</v>
      </c>
      <c r="AN237" s="1" t="s">
        <v>1649</v>
      </c>
      <c r="AQ237" s="1" t="s">
        <v>1242</v>
      </c>
      <c r="AS237" s="1">
        <v>0</v>
      </c>
      <c r="AT237" s="1">
        <v>6.1</v>
      </c>
      <c r="AU237" s="1">
        <v>7.1</v>
      </c>
      <c r="AV237" s="1">
        <v>8.1</v>
      </c>
      <c r="AW237" s="1" t="s">
        <v>1744</v>
      </c>
      <c r="AX237" s="2">
        <f>HYPERLINK("https://water.weather.gov/ahps2/hydrograph.php?wfo=phi&amp;gage=shbn4", "AHPS Data")</f>
        <v>0</v>
      </c>
      <c r="AY237" s="2">
        <f>HYPERLINK("https://vdatum.noaa.gov/vdatumweb/api/convert?s_x=-74.765&amp;s_y=39.0567&amp;s_z=0.0&amp;region=chesapeak_delaware&amp;s_h_frame=NAD83_2011&amp;s_coor=geo&amp;s_v_frame=NAVD88&amp;s_v_unit=us_ft&amp;t_h_frame=IGS14&amp;t_coor=geo&amp;t_v_frame=MLLW&amp;t_v_unit=us_ft", "NAVD88 to MLLW")</f>
        <v>0</v>
      </c>
      <c r="AZ237" s="2">
        <f>HYPERLINK("https://vdatum.noaa.gov/vdatumweb/api/convert?s_x=-74.765&amp;s_y=39.0567&amp;s_z=0.0&amp;region=chesapeak_delaware&amp;s_h_frame=NAD83_2011&amp;s_coor=geo&amp;s_v_frame=NAVD88&amp;s_v_unit=us_ft&amp;t_h_frame=IGS14&amp;t_coor=geo&amp;t_v_frame=MHHW&amp;t_v_unit=us_ft", "NAVD88 to MHHW")</f>
        <v>0</v>
      </c>
    </row>
    <row r="238" spans="1:52">
      <c r="A238" s="1" t="s">
        <v>262</v>
      </c>
      <c r="B238" s="1" t="s">
        <v>622</v>
      </c>
      <c r="D238" s="1" t="s">
        <v>652</v>
      </c>
      <c r="H238" s="1" t="s">
        <v>1806</v>
      </c>
      <c r="I238" s="1" t="s">
        <v>1856</v>
      </c>
      <c r="J238" s="1" t="s">
        <v>1941</v>
      </c>
      <c r="K238" s="1" t="s">
        <v>2098</v>
      </c>
      <c r="L238" s="1">
        <v>-74.8917</v>
      </c>
      <c r="M238" s="1">
        <v>38.9483</v>
      </c>
      <c r="N238" s="1">
        <v>8535901</v>
      </c>
      <c r="O238" s="1" t="s">
        <v>860</v>
      </c>
      <c r="P238" s="1" t="s">
        <v>866</v>
      </c>
      <c r="Q238" s="2">
        <f>HYPERLINK("https://tidesandcurrents.noaa.gov/stationhome.html?id=8535901", "Station Info")</f>
        <v>0</v>
      </c>
      <c r="R238" s="2">
        <f>HYPERLINK("https://tidesandcurrents.noaa.gov/datums.html?datum=MLLW&amp;units=0&amp;epoch=0&amp;id=8535901", "Datum Info")</f>
        <v>0</v>
      </c>
      <c r="S238" s="2">
        <f>HYPERLINK("https://api.tidesandcurrents.noaa.gov/mdapi/prod/webapi/stations/8535901.json", "More Info")</f>
        <v>0</v>
      </c>
      <c r="T238" s="1">
        <v>3810372</v>
      </c>
      <c r="U238" s="1">
        <v>0</v>
      </c>
      <c r="V238" s="1" t="s">
        <v>869</v>
      </c>
      <c r="W238" s="1" t="s">
        <v>873</v>
      </c>
      <c r="AJ238" s="1">
        <v>2.756</v>
      </c>
      <c r="AK238" s="1">
        <v>-2.254</v>
      </c>
      <c r="AL238" s="1" t="s">
        <v>1608</v>
      </c>
      <c r="AM238" s="1">
        <v>0</v>
      </c>
      <c r="AN238" s="1" t="s">
        <v>1650</v>
      </c>
      <c r="AQ238" s="1" t="s">
        <v>1726</v>
      </c>
      <c r="AS238" s="1">
        <v>0</v>
      </c>
      <c r="AT238" s="1">
        <v>6.2</v>
      </c>
      <c r="AU238" s="1">
        <v>7.2</v>
      </c>
      <c r="AV238" s="1">
        <v>8.199999999999999</v>
      </c>
      <c r="AW238" s="1" t="s">
        <v>1744</v>
      </c>
      <c r="AX238" s="2">
        <f>HYPERLINK("https://water.weather.gov/ahps2/hydrograph.php?wfo=phi&amp;gage=capn4", "AHPS Data")</f>
        <v>0</v>
      </c>
      <c r="AY238" s="2">
        <f>HYPERLINK("https://vdatum.noaa.gov/vdatumweb/api/convert?s_x=-74.8917&amp;s_y=38.9483&amp;s_z=0.0&amp;region=chesapeak_delaware&amp;s_h_frame=NAD83_2011&amp;s_coor=geo&amp;s_v_frame=NAVD88&amp;s_v_unit=us_ft&amp;t_h_frame=IGS14&amp;t_coor=geo&amp;t_v_frame=MLLW&amp;t_v_unit=us_ft", "NAVD88 to MLLW")</f>
        <v>0</v>
      </c>
      <c r="AZ238" s="2">
        <f>HYPERLINK("https://vdatum.noaa.gov/vdatumweb/api/convert?s_x=-74.8917&amp;s_y=38.9483&amp;s_z=0.0&amp;region=chesapeak_delaware&amp;s_h_frame=NAD83_2011&amp;s_coor=geo&amp;s_v_frame=NAVD88&amp;s_v_unit=us_ft&amp;t_h_frame=IGS14&amp;t_coor=geo&amp;t_v_frame=MHHW&amp;t_v_unit=us_ft", "NAVD88 to MHHW")</f>
        <v>0</v>
      </c>
    </row>
    <row r="239" spans="1:52">
      <c r="A239" s="1" t="s">
        <v>263</v>
      </c>
      <c r="B239" s="1" t="s">
        <v>622</v>
      </c>
      <c r="C239" s="1" t="s">
        <v>644</v>
      </c>
      <c r="D239" s="1" t="s">
        <v>652</v>
      </c>
      <c r="E239" s="1" t="s">
        <v>733</v>
      </c>
      <c r="F239" s="1" t="s">
        <v>842</v>
      </c>
      <c r="G239" s="1" t="s">
        <v>854</v>
      </c>
      <c r="H239" s="1" t="s">
        <v>1807</v>
      </c>
      <c r="I239" s="1" t="s">
        <v>1856</v>
      </c>
      <c r="J239" s="1" t="s">
        <v>1942</v>
      </c>
      <c r="K239" s="1" t="s">
        <v>2099</v>
      </c>
      <c r="L239" s="1">
        <v>-75.0367</v>
      </c>
      <c r="M239" s="1">
        <v>39.23</v>
      </c>
      <c r="N239" s="1">
        <v>8536889</v>
      </c>
      <c r="O239" s="1" t="s">
        <v>860</v>
      </c>
      <c r="P239" s="1" t="s">
        <v>866</v>
      </c>
      <c r="Q239" s="2">
        <f>HYPERLINK("https://tidesandcurrents.noaa.gov/stationhome.html?id=8536889", "Station Info")</f>
        <v>0</v>
      </c>
      <c r="R239" s="2">
        <f>HYPERLINK("https://tidesandcurrents.noaa.gov/datums.html?datum=MLLW&amp;units=0&amp;epoch=0&amp;id=8536889", "Datum Info")</f>
        <v>0</v>
      </c>
      <c r="S239" s="2">
        <f>HYPERLINK("https://api.tidesandcurrents.noaa.gov/mdapi/prod/webapi/stations/8536889.json", "More Info")</f>
        <v>0</v>
      </c>
      <c r="T239" s="1">
        <v>7317619</v>
      </c>
      <c r="U239" s="1">
        <v>0</v>
      </c>
      <c r="V239" s="1" t="s">
        <v>869</v>
      </c>
      <c r="W239" s="1" t="s">
        <v>873</v>
      </c>
      <c r="AJ239" s="1">
        <v>3.409</v>
      </c>
      <c r="AK239" s="1">
        <v>-2.913</v>
      </c>
      <c r="AL239" s="1" t="s">
        <v>1608</v>
      </c>
      <c r="AM239" s="1">
        <v>0</v>
      </c>
      <c r="AN239" s="1" t="s">
        <v>1651</v>
      </c>
      <c r="AQ239" s="1" t="s">
        <v>1727</v>
      </c>
      <c r="AS239" s="1">
        <v>0</v>
      </c>
      <c r="AT239" s="1">
        <v>7.6</v>
      </c>
      <c r="AU239" s="1">
        <v>8.6</v>
      </c>
      <c r="AV239" s="1">
        <v>9.6</v>
      </c>
      <c r="AW239" s="1" t="s">
        <v>1744</v>
      </c>
      <c r="AX239" s="2">
        <f>HYPERLINK("https://water.weather.gov/ahps2/hydrograph.php?wfo=phi&amp;gage=bvvn4", "AHPS Data")</f>
        <v>0</v>
      </c>
      <c r="AY239" s="2">
        <f>HYPERLINK("https://vdatum.noaa.gov/vdatumweb/api/convert?s_x=-75.0367&amp;s_y=39.23&amp;s_z=0.0&amp;region=chesapeak_delaware&amp;s_h_frame=NAD83_2011&amp;s_coor=geo&amp;s_v_frame=NAVD88&amp;s_v_unit=us_ft&amp;t_h_frame=IGS14&amp;t_coor=geo&amp;t_v_frame=MLLW&amp;t_v_unit=us_ft", "NAVD88 to MLLW")</f>
        <v>0</v>
      </c>
      <c r="AZ239" s="2">
        <f>HYPERLINK("https://vdatum.noaa.gov/vdatumweb/api/convert?s_x=-75.0367&amp;s_y=39.23&amp;s_z=0.0&amp;region=chesapeak_delaware&amp;s_h_frame=NAD83_2011&amp;s_coor=geo&amp;s_v_frame=NAVD88&amp;s_v_unit=us_ft&amp;t_h_frame=IGS14&amp;t_coor=geo&amp;t_v_frame=MHHW&amp;t_v_unit=us_ft", "NAVD88 to MHHW")</f>
        <v>0</v>
      </c>
    </row>
    <row r="240" spans="1:52">
      <c r="A240" s="1" t="s">
        <v>264</v>
      </c>
      <c r="B240" s="1" t="s">
        <v>622</v>
      </c>
      <c r="D240" s="1" t="s">
        <v>652</v>
      </c>
      <c r="L240" s="1">
        <v>-75.375</v>
      </c>
      <c r="M240" s="1">
        <v>39.305</v>
      </c>
      <c r="N240" s="1">
        <v>8537121</v>
      </c>
      <c r="O240" s="1" t="s">
        <v>861</v>
      </c>
      <c r="P240" s="1" t="s">
        <v>866</v>
      </c>
      <c r="Q240" s="2">
        <f>HYPERLINK("https://tidesandcurrents.noaa.gov/stationhome.html?id=8537121", "Station Info")</f>
        <v>0</v>
      </c>
      <c r="R240" s="2">
        <f>HYPERLINK("https://tidesandcurrents.noaa.gov/datums.html?datum=MLLW&amp;units=0&amp;epoch=0&amp;id=8537121", "Datum Info")</f>
        <v>0</v>
      </c>
      <c r="S240" s="2">
        <f>HYPERLINK("https://api.tidesandcurrents.noaa.gov/mdapi/prod/webapi/stations/8537121.json", "More Info")</f>
        <v>0</v>
      </c>
      <c r="T240" s="1">
        <v>7240214</v>
      </c>
      <c r="U240" s="1">
        <v>-0.391</v>
      </c>
      <c r="V240" s="1" t="s">
        <v>869</v>
      </c>
      <c r="W240" s="1" t="s">
        <v>873</v>
      </c>
      <c r="X240" s="1" t="s">
        <v>886</v>
      </c>
      <c r="Y240" s="1">
        <v>6.2</v>
      </c>
      <c r="Z240" s="1">
        <v>5.76</v>
      </c>
      <c r="AA240" s="1">
        <v>2.98</v>
      </c>
      <c r="AB240" s="1">
        <v>3.04</v>
      </c>
      <c r="AC240" s="1">
        <v>3.1</v>
      </c>
      <c r="AD240" s="1">
        <v>0.19</v>
      </c>
      <c r="AE240" s="1">
        <v>0</v>
      </c>
      <c r="AF240" s="1" t="s">
        <v>1010</v>
      </c>
      <c r="AG240" s="1">
        <v>-18.24</v>
      </c>
      <c r="AH240" s="1" t="s">
        <v>1195</v>
      </c>
      <c r="AI240" s="1" t="s">
        <v>1387</v>
      </c>
      <c r="AJ240" s="1">
        <v>3.11</v>
      </c>
      <c r="AK240" s="1">
        <v>-3.166</v>
      </c>
      <c r="AY240" s="2">
        <f>HYPERLINK("https://vdatum.noaa.gov/vdatumweb/api/convert?s_x=-75.375&amp;s_y=39.305&amp;s_z=0.0&amp;region=chesapeak_delaware&amp;s_h_frame=NAD83_2011&amp;s_coor=geo&amp;s_v_frame=NAVD88&amp;s_v_unit=us_ft&amp;t_h_frame=IGS14&amp;t_coor=geo&amp;t_v_frame=MLLW&amp;t_v_unit=us_ft", "NAVD88 to MLLW")</f>
        <v>0</v>
      </c>
      <c r="AZ240" s="2">
        <f>HYPERLINK("https://vdatum.noaa.gov/vdatumweb/api/convert?s_x=-75.375&amp;s_y=39.305&amp;s_z=0.0&amp;region=chesapeak_delaware&amp;s_h_frame=NAD83_2011&amp;s_coor=geo&amp;s_v_frame=NAVD88&amp;s_v_unit=us_ft&amp;t_h_frame=IGS14&amp;t_coor=geo&amp;t_v_frame=MHHW&amp;t_v_unit=us_ft", "NAVD88 to MHHW")</f>
        <v>0</v>
      </c>
    </row>
    <row r="241" spans="1:52">
      <c r="A241" s="1" t="s">
        <v>265</v>
      </c>
      <c r="B241" s="1" t="s">
        <v>622</v>
      </c>
      <c r="C241" s="1" t="s">
        <v>644</v>
      </c>
      <c r="D241" s="1" t="s">
        <v>652</v>
      </c>
      <c r="E241" s="1" t="s">
        <v>733</v>
      </c>
      <c r="F241" s="1" t="s">
        <v>842</v>
      </c>
      <c r="G241" s="1" t="s">
        <v>854</v>
      </c>
      <c r="H241" s="1" t="s">
        <v>1808</v>
      </c>
      <c r="I241" s="1" t="s">
        <v>1856</v>
      </c>
      <c r="J241" s="1" t="s">
        <v>1943</v>
      </c>
      <c r="K241" s="1" t="s">
        <v>2100</v>
      </c>
      <c r="L241" s="1">
        <v>-75.34999999999999</v>
      </c>
      <c r="M241" s="1">
        <v>39.3833</v>
      </c>
      <c r="N241" s="1">
        <v>8537374</v>
      </c>
      <c r="O241" s="1" t="s">
        <v>860</v>
      </c>
      <c r="P241" s="1" t="s">
        <v>866</v>
      </c>
      <c r="Q241" s="2">
        <f>HYPERLINK("https://tidesandcurrents.noaa.gov/stationhome.html?id=8537374", "Station Info")</f>
        <v>0</v>
      </c>
      <c r="R241" s="2">
        <f>HYPERLINK("https://tidesandcurrents.noaa.gov/datums.html?datum=MLLW&amp;units=0&amp;epoch=0&amp;id=8537374", "Datum Info")</f>
        <v>0</v>
      </c>
      <c r="S241" s="2">
        <f>HYPERLINK("https://api.tidesandcurrents.noaa.gov/mdapi/prod/webapi/stations/8537374.json", "More Info")</f>
        <v>0</v>
      </c>
      <c r="T241" s="1">
        <v>2893886</v>
      </c>
      <c r="U241" s="1">
        <v>0</v>
      </c>
      <c r="V241" s="1" t="s">
        <v>869</v>
      </c>
      <c r="W241" s="1" t="s">
        <v>873</v>
      </c>
      <c r="AJ241" s="1">
        <v>-999999</v>
      </c>
      <c r="AK241" s="1">
        <v>-999999</v>
      </c>
      <c r="AL241" s="1" t="s">
        <v>1608</v>
      </c>
      <c r="AM241" s="1">
        <v>0</v>
      </c>
      <c r="AN241" s="1" t="s">
        <v>1652</v>
      </c>
      <c r="AQ241" s="1" t="s">
        <v>1728</v>
      </c>
      <c r="AS241" s="1">
        <v>0</v>
      </c>
      <c r="AT241" s="1">
        <v>7.2</v>
      </c>
      <c r="AU241" s="1">
        <v>8.199999999999999</v>
      </c>
      <c r="AV241" s="1">
        <v>9.199999999999999</v>
      </c>
      <c r="AW241" s="1" t="s">
        <v>1744</v>
      </c>
      <c r="AX241" s="2">
        <f>HYPERLINK("https://water.weather.gov/ahps2/hydrograph.php?wfo=phi&amp;gage=grwn4", "AHPS Data")</f>
        <v>0</v>
      </c>
      <c r="AY241" s="2">
        <f>HYPERLINK("https://vdatum.noaa.gov/vdatumweb/api/convert?s_x=-75.35&amp;s_y=39.3833&amp;s_z=0.0&amp;region=chesapeak_delaware&amp;s_h_frame=NAD83_2011&amp;s_coor=geo&amp;s_v_frame=NAVD88&amp;s_v_unit=us_ft&amp;t_h_frame=IGS14&amp;t_coor=geo&amp;t_v_frame=MLLW&amp;t_v_unit=us_ft", "Missing")</f>
        <v>0</v>
      </c>
      <c r="AZ241" s="2">
        <f>HYPERLINK("https://vdatum.noaa.gov/vdatumweb/api/convert?s_x=-75.35&amp;s_y=39.3833&amp;s_z=0.0&amp;region=chesapeak_delaware&amp;s_h_frame=NAD83_2011&amp;s_coor=geo&amp;s_v_frame=NAVD88&amp;s_v_unit=us_ft&amp;t_h_frame=IGS14&amp;t_coor=geo&amp;t_v_frame=MHHW&amp;t_v_unit=us_ft", "Missing")</f>
        <v>0</v>
      </c>
    </row>
    <row r="242" spans="1:52">
      <c r="A242" s="1" t="s">
        <v>266</v>
      </c>
      <c r="B242" s="1" t="s">
        <v>622</v>
      </c>
      <c r="C242" s="1" t="s">
        <v>644</v>
      </c>
      <c r="D242" s="1" t="s">
        <v>652</v>
      </c>
      <c r="E242" s="1" t="s">
        <v>734</v>
      </c>
      <c r="F242" s="1" t="s">
        <v>843</v>
      </c>
      <c r="G242" s="1" t="s">
        <v>854</v>
      </c>
      <c r="L242" s="1">
        <v>-75.04300000000001</v>
      </c>
      <c r="M242" s="1">
        <v>40.01194</v>
      </c>
      <c r="N242" s="1">
        <v>8538886</v>
      </c>
      <c r="O242" s="1" t="s">
        <v>861</v>
      </c>
      <c r="P242" s="1" t="s">
        <v>866</v>
      </c>
      <c r="Q242" s="2">
        <f>HYPERLINK("https://tidesandcurrents.noaa.gov/stationhome.html?id=8538886", "Station Info")</f>
        <v>0</v>
      </c>
      <c r="R242" s="2">
        <f>HYPERLINK("https://tidesandcurrents.noaa.gov/datums.html?datum=MLLW&amp;units=0&amp;epoch=0&amp;id=8538886", "Datum Info")</f>
        <v>0</v>
      </c>
      <c r="S242" s="2">
        <f>HYPERLINK("https://api.tidesandcurrents.noaa.gov/mdapi/prod/webapi/stations/8538886.json", "More Info")</f>
        <v>0</v>
      </c>
      <c r="T242" s="1">
        <v>2891947</v>
      </c>
      <c r="U242" s="1">
        <v>0</v>
      </c>
      <c r="V242" s="1" t="s">
        <v>869</v>
      </c>
      <c r="W242" s="1" t="s">
        <v>873</v>
      </c>
      <c r="X242" s="1" t="s">
        <v>886</v>
      </c>
      <c r="Y242" s="1">
        <v>7.15</v>
      </c>
      <c r="Z242" s="1">
        <v>6.78</v>
      </c>
      <c r="AA242" s="1">
        <v>3.49</v>
      </c>
      <c r="AB242" s="1">
        <v>3.64</v>
      </c>
      <c r="AC242" s="1">
        <v>3.58</v>
      </c>
      <c r="AD242" s="1">
        <v>0.19</v>
      </c>
      <c r="AE242" s="1">
        <v>0</v>
      </c>
      <c r="AF242" s="1" t="s">
        <v>1011</v>
      </c>
      <c r="AG242" s="1">
        <v>-17.37</v>
      </c>
      <c r="AH242" s="1" t="s">
        <v>1196</v>
      </c>
      <c r="AI242" s="1" t="s">
        <v>1464</v>
      </c>
      <c r="AJ242" s="1">
        <v>3.058</v>
      </c>
      <c r="AK242" s="1">
        <v>-4.049</v>
      </c>
      <c r="AY242" s="2">
        <f>HYPERLINK("https://vdatum.noaa.gov/vdatumweb/api/convert?s_x=-75.043&amp;s_y=40.01194&amp;s_z=0.0&amp;region=chesapeak_delaware&amp;s_h_frame=NAD83_2011&amp;s_coor=geo&amp;s_v_frame=NAVD88&amp;s_v_unit=us_ft&amp;t_h_frame=IGS14&amp;t_coor=geo&amp;t_v_frame=MLLW&amp;t_v_unit=us_ft", "NAVD88 to MLLW")</f>
        <v>0</v>
      </c>
      <c r="AZ242" s="2">
        <f>HYPERLINK("https://vdatum.noaa.gov/vdatumweb/api/convert?s_x=-75.043&amp;s_y=40.01194&amp;s_z=0.0&amp;region=chesapeak_delaware&amp;s_h_frame=NAD83_2011&amp;s_coor=geo&amp;s_v_frame=NAVD88&amp;s_v_unit=us_ft&amp;t_h_frame=IGS14&amp;t_coor=geo&amp;t_v_frame=MHHW&amp;t_v_unit=us_ft", "NAVD88 to MHHW")</f>
        <v>0</v>
      </c>
    </row>
    <row r="243" spans="1:52">
      <c r="A243" s="1" t="s">
        <v>267</v>
      </c>
      <c r="B243" s="1" t="s">
        <v>622</v>
      </c>
      <c r="C243" s="1" t="s">
        <v>644</v>
      </c>
      <c r="D243" s="1" t="s">
        <v>652</v>
      </c>
      <c r="E243" s="1" t="s">
        <v>735</v>
      </c>
      <c r="F243" s="1" t="s">
        <v>843</v>
      </c>
      <c r="G243" s="1" t="s">
        <v>854</v>
      </c>
      <c r="L243" s="1">
        <v>-74.86969999999999</v>
      </c>
      <c r="M243" s="1">
        <v>40.0817</v>
      </c>
      <c r="N243" s="1">
        <v>8539094</v>
      </c>
      <c r="O243" s="1" t="s">
        <v>860</v>
      </c>
      <c r="P243" s="1" t="s">
        <v>866</v>
      </c>
      <c r="Q243" s="2">
        <f>HYPERLINK("https://tidesandcurrents.noaa.gov/stationhome.html?id=8539094", "Station Info")</f>
        <v>0</v>
      </c>
      <c r="R243" s="2">
        <f>HYPERLINK("https://tidesandcurrents.noaa.gov/datums.html?datum=MLLW&amp;units=0&amp;epoch=0&amp;id=8539094", "Datum Info")</f>
        <v>0</v>
      </c>
      <c r="S243" s="2">
        <f>HYPERLINK("https://api.tidesandcurrents.noaa.gov/mdapi/prod/webapi/stations/8539094.json", "More Info")</f>
        <v>0</v>
      </c>
      <c r="T243" s="1">
        <v>4527570</v>
      </c>
      <c r="U243" s="1">
        <v>-0.219</v>
      </c>
      <c r="V243" s="1" t="s">
        <v>869</v>
      </c>
      <c r="W243" s="1" t="s">
        <v>873</v>
      </c>
      <c r="X243" s="1" t="s">
        <v>886</v>
      </c>
      <c r="Y243" s="1">
        <v>7.85</v>
      </c>
      <c r="Z243" s="1">
        <v>7.49</v>
      </c>
      <c r="AA243" s="1">
        <v>3.84</v>
      </c>
      <c r="AB243" s="1">
        <v>3.99</v>
      </c>
      <c r="AC243" s="1">
        <v>3.93</v>
      </c>
      <c r="AD243" s="1">
        <v>0.19</v>
      </c>
      <c r="AE243" s="1">
        <v>0</v>
      </c>
      <c r="AF243" s="1" t="s">
        <v>1012</v>
      </c>
      <c r="AG243" s="1">
        <v>-16.84</v>
      </c>
      <c r="AH243" s="1" t="s">
        <v>1197</v>
      </c>
      <c r="AI243" s="1" t="s">
        <v>1465</v>
      </c>
      <c r="AJ243" s="1">
        <v>3.461</v>
      </c>
      <c r="AK243" s="1">
        <v>-4.377</v>
      </c>
      <c r="AY243" s="2">
        <f>HYPERLINK("https://vdatum.noaa.gov/vdatumweb/api/convert?s_x=-74.8697&amp;s_y=40.0817&amp;s_z=0.0&amp;region=chesapeak_delaware&amp;s_h_frame=NAD83_2011&amp;s_coor=geo&amp;s_v_frame=NAVD88&amp;s_v_unit=us_ft&amp;t_h_frame=IGS14&amp;t_coor=geo&amp;t_v_frame=MLLW&amp;t_v_unit=us_ft", "NAVD88 to MLLW")</f>
        <v>0</v>
      </c>
      <c r="AZ243" s="2">
        <f>HYPERLINK("https://vdatum.noaa.gov/vdatumweb/api/convert?s_x=-74.8697&amp;s_y=40.0817&amp;s_z=0.0&amp;region=chesapeak_delaware&amp;s_h_frame=NAD83_2011&amp;s_coor=geo&amp;s_v_frame=NAVD88&amp;s_v_unit=us_ft&amp;t_h_frame=IGS14&amp;t_coor=geo&amp;t_v_frame=MHHW&amp;t_v_unit=us_ft", "NAVD88 to MHHW")</f>
        <v>0</v>
      </c>
    </row>
    <row r="244" spans="1:52">
      <c r="A244" s="1" t="s">
        <v>268</v>
      </c>
      <c r="B244" s="1" t="s">
        <v>622</v>
      </c>
      <c r="D244" s="1" t="s">
        <v>652</v>
      </c>
      <c r="E244" s="1" t="s">
        <v>736</v>
      </c>
      <c r="F244" s="1" t="s">
        <v>843</v>
      </c>
      <c r="G244" s="1" t="s">
        <v>854</v>
      </c>
      <c r="L244" s="1">
        <v>-75.40940000000001</v>
      </c>
      <c r="M244" s="1">
        <v>39.81167</v>
      </c>
      <c r="N244" s="1">
        <v>8540433</v>
      </c>
      <c r="O244" s="1" t="s">
        <v>860</v>
      </c>
      <c r="P244" s="1" t="s">
        <v>866</v>
      </c>
      <c r="Q244" s="2">
        <f>HYPERLINK("https://tidesandcurrents.noaa.gov/stationhome.html?id=8540433", "Station Info")</f>
        <v>0</v>
      </c>
      <c r="R244" s="2">
        <f>HYPERLINK("https://tidesandcurrents.noaa.gov/datums.html?datum=MLLW&amp;units=0&amp;epoch=0&amp;id=8540433", "Datum Info")</f>
        <v>0</v>
      </c>
      <c r="S244" s="2">
        <f>HYPERLINK("https://api.tidesandcurrents.noaa.gov/mdapi/prod/webapi/stations/8540433.json", "More Info")</f>
        <v>0</v>
      </c>
      <c r="T244" s="1">
        <v>2891440</v>
      </c>
      <c r="U244" s="1">
        <v>0</v>
      </c>
      <c r="V244" s="1" t="s">
        <v>869</v>
      </c>
      <c r="W244" s="1" t="s">
        <v>873</v>
      </c>
      <c r="X244" s="1" t="s">
        <v>886</v>
      </c>
      <c r="Y244" s="1">
        <v>6.17</v>
      </c>
      <c r="Z244" s="1">
        <v>5.79</v>
      </c>
      <c r="AA244" s="1">
        <v>2.99</v>
      </c>
      <c r="AB244" s="1">
        <v>3.14</v>
      </c>
      <c r="AC244" s="1">
        <v>3.08</v>
      </c>
      <c r="AD244" s="1">
        <v>0.18</v>
      </c>
      <c r="AE244" s="1">
        <v>0</v>
      </c>
      <c r="AF244" s="1">
        <v>2.98</v>
      </c>
      <c r="AG244" s="1">
        <v>-21.65</v>
      </c>
      <c r="AH244" s="1" t="s">
        <v>1198</v>
      </c>
      <c r="AI244" s="1" t="s">
        <v>1466</v>
      </c>
      <c r="AJ244" s="1">
        <v>2.927</v>
      </c>
      <c r="AK244" s="1">
        <v>-3.209</v>
      </c>
      <c r="AY244" s="2">
        <f>HYPERLINK("https://vdatum.noaa.gov/vdatumweb/api/convert?s_x=-75.4094&amp;s_y=39.81167&amp;s_z=0.0&amp;region=chesapeak_delaware&amp;s_h_frame=NAD83_2011&amp;s_coor=geo&amp;s_v_frame=NAVD88&amp;s_v_unit=us_ft&amp;t_h_frame=IGS14&amp;t_coor=geo&amp;t_v_frame=MLLW&amp;t_v_unit=us_ft", "NAVD88 to MLLW")</f>
        <v>0</v>
      </c>
      <c r="AZ244" s="2">
        <f>HYPERLINK("https://vdatum.noaa.gov/vdatumweb/api/convert?s_x=-75.4094&amp;s_y=39.81167&amp;s_z=0.0&amp;region=chesapeak_delaware&amp;s_h_frame=NAD83_2011&amp;s_coor=geo&amp;s_v_frame=NAVD88&amp;s_v_unit=us_ft&amp;t_h_frame=IGS14&amp;t_coor=geo&amp;t_v_frame=MHHW&amp;t_v_unit=us_ft", "NAVD88 to MHHW")</f>
        <v>0</v>
      </c>
    </row>
    <row r="245" spans="1:52">
      <c r="A245" s="1" t="s">
        <v>269</v>
      </c>
      <c r="B245" s="1" t="s">
        <v>622</v>
      </c>
      <c r="D245" s="1" t="s">
        <v>652</v>
      </c>
      <c r="E245" s="1" t="s">
        <v>734</v>
      </c>
      <c r="F245" s="1" t="s">
        <v>843</v>
      </c>
      <c r="G245" s="1" t="s">
        <v>854</v>
      </c>
      <c r="L245" s="1">
        <v>-75.1417</v>
      </c>
      <c r="M245" s="1">
        <v>39.9333</v>
      </c>
      <c r="N245" s="1">
        <v>8545240</v>
      </c>
      <c r="O245" s="1" t="s">
        <v>860</v>
      </c>
      <c r="P245" s="1" t="s">
        <v>866</v>
      </c>
      <c r="Q245" s="2">
        <f>HYPERLINK("https://tidesandcurrents.noaa.gov/stationhome.html?id=8545240", "Station Info")</f>
        <v>0</v>
      </c>
      <c r="R245" s="2">
        <f>HYPERLINK("https://tidesandcurrents.noaa.gov/datums.html?datum=MLLW&amp;units=0&amp;epoch=0&amp;id=8545240", "Datum Info")</f>
        <v>0</v>
      </c>
      <c r="S245" s="2">
        <f>HYPERLINK("https://api.tidesandcurrents.noaa.gov/mdapi/prod/webapi/stations/8545240.json", "More Info")</f>
        <v>0</v>
      </c>
      <c r="T245" s="1">
        <v>2891787</v>
      </c>
      <c r="U245" s="1">
        <v>0</v>
      </c>
      <c r="V245" s="1" t="s">
        <v>869</v>
      </c>
      <c r="W245" s="1" t="s">
        <v>873</v>
      </c>
      <c r="X245" s="1" t="s">
        <v>886</v>
      </c>
      <c r="Y245" s="1">
        <v>6.69</v>
      </c>
      <c r="Z245" s="1">
        <v>6.29</v>
      </c>
      <c r="AA245" s="1">
        <v>3.24</v>
      </c>
      <c r="AB245" s="1">
        <v>3.49</v>
      </c>
      <c r="AC245" s="1">
        <v>3.34</v>
      </c>
      <c r="AD245" s="1">
        <v>0.19</v>
      </c>
      <c r="AE245" s="1">
        <v>0</v>
      </c>
      <c r="AF245" s="1">
        <v>3.1</v>
      </c>
      <c r="AG245" s="1">
        <v>-3.82</v>
      </c>
      <c r="AH245" s="1" t="s">
        <v>1199</v>
      </c>
      <c r="AI245" s="1" t="s">
        <v>1467</v>
      </c>
      <c r="AJ245" s="1">
        <v>2.976</v>
      </c>
      <c r="AK245" s="1">
        <v>-3.734</v>
      </c>
      <c r="AY245" s="2">
        <f>HYPERLINK("https://vdatum.noaa.gov/vdatumweb/api/convert?s_x=-75.1417&amp;s_y=39.9333&amp;s_z=0.0&amp;region=chesapeak_delaware&amp;s_h_frame=NAD83_2011&amp;s_coor=geo&amp;s_v_frame=NAVD88&amp;s_v_unit=us_ft&amp;t_h_frame=IGS14&amp;t_coor=geo&amp;t_v_frame=MLLW&amp;t_v_unit=us_ft", "NAVD88 to MLLW")</f>
        <v>0</v>
      </c>
      <c r="AZ245" s="2">
        <f>HYPERLINK("https://vdatum.noaa.gov/vdatumweb/api/convert?s_x=-75.1417&amp;s_y=39.9333&amp;s_z=0.0&amp;region=chesapeak_delaware&amp;s_h_frame=NAD83_2011&amp;s_coor=geo&amp;s_v_frame=NAVD88&amp;s_v_unit=us_ft&amp;t_h_frame=IGS14&amp;t_coor=geo&amp;t_v_frame=MHHW&amp;t_v_unit=us_ft", "NAVD88 to MHHW")</f>
        <v>0</v>
      </c>
    </row>
    <row r="246" spans="1:52">
      <c r="A246" s="1" t="s">
        <v>270</v>
      </c>
      <c r="B246" s="1" t="s">
        <v>622</v>
      </c>
      <c r="C246" s="1" t="s">
        <v>644</v>
      </c>
      <c r="D246" s="1" t="s">
        <v>652</v>
      </c>
      <c r="E246" s="1" t="s">
        <v>734</v>
      </c>
      <c r="F246" s="1" t="s">
        <v>843</v>
      </c>
      <c r="G246" s="1" t="s">
        <v>854</v>
      </c>
      <c r="L246" s="1">
        <v>-75.075</v>
      </c>
      <c r="M246" s="1">
        <v>39.9833</v>
      </c>
      <c r="N246" s="1">
        <v>8546252</v>
      </c>
      <c r="O246" s="1" t="s">
        <v>860</v>
      </c>
      <c r="P246" s="1" t="s">
        <v>866</v>
      </c>
      <c r="Q246" s="2">
        <f>HYPERLINK("https://tidesandcurrents.noaa.gov/stationhome.html?id=8546252", "Station Info")</f>
        <v>0</v>
      </c>
      <c r="R246" s="2">
        <f>HYPERLINK("https://tidesandcurrents.noaa.gov/datums.html?datum=MLLW&amp;units=0&amp;epoch=0&amp;id=8546252", "Datum Info")</f>
        <v>0</v>
      </c>
      <c r="S246" s="2">
        <f>HYPERLINK("https://api.tidesandcurrents.noaa.gov/mdapi/prod/webapi/stations/8546252.json", "More Info")</f>
        <v>0</v>
      </c>
      <c r="T246" s="1">
        <v>4103140</v>
      </c>
      <c r="U246" s="1">
        <v>-0.27</v>
      </c>
      <c r="V246" s="1" t="s">
        <v>869</v>
      </c>
      <c r="W246" s="1" t="s">
        <v>873</v>
      </c>
      <c r="X246" s="1" t="s">
        <v>886</v>
      </c>
      <c r="Y246" s="1">
        <v>6.97</v>
      </c>
      <c r="Z246" s="1">
        <v>6.58</v>
      </c>
      <c r="AA246" s="1">
        <v>3.38</v>
      </c>
      <c r="AB246" s="1">
        <v>3.59</v>
      </c>
      <c r="AC246" s="1">
        <v>3.48</v>
      </c>
      <c r="AD246" s="1">
        <v>0.19</v>
      </c>
      <c r="AE246" s="1">
        <v>0</v>
      </c>
      <c r="AF246" s="1" t="s">
        <v>1013</v>
      </c>
      <c r="AG246" s="1">
        <v>-19.53</v>
      </c>
      <c r="AH246" s="1" t="s">
        <v>1200</v>
      </c>
      <c r="AI246" s="1" t="s">
        <v>1468</v>
      </c>
      <c r="AJ246" s="1">
        <v>3.202</v>
      </c>
      <c r="AK246" s="1">
        <v>-3.78</v>
      </c>
      <c r="AY246" s="2">
        <f>HYPERLINK("https://vdatum.noaa.gov/vdatumweb/api/convert?s_x=-75.075&amp;s_y=39.9833&amp;s_z=0.0&amp;region=chesapeak_delaware&amp;s_h_frame=NAD83_2011&amp;s_coor=geo&amp;s_v_frame=NAVD88&amp;s_v_unit=us_ft&amp;t_h_frame=IGS14&amp;t_coor=geo&amp;t_v_frame=MLLW&amp;t_v_unit=us_ft", "NAVD88 to MLLW")</f>
        <v>0</v>
      </c>
      <c r="AZ246" s="2">
        <f>HYPERLINK("https://vdatum.noaa.gov/vdatumweb/api/convert?s_x=-75.075&amp;s_y=39.9833&amp;s_z=0.0&amp;region=chesapeak_delaware&amp;s_h_frame=NAD83_2011&amp;s_coor=geo&amp;s_v_frame=NAVD88&amp;s_v_unit=us_ft&amp;t_h_frame=IGS14&amp;t_coor=geo&amp;t_v_frame=MHHW&amp;t_v_unit=us_ft", "NAVD88 to MHHW")</f>
        <v>0</v>
      </c>
    </row>
    <row r="247" spans="1:52">
      <c r="A247" s="1" t="s">
        <v>271</v>
      </c>
      <c r="B247" s="1" t="s">
        <v>622</v>
      </c>
      <c r="C247" s="1" t="s">
        <v>644</v>
      </c>
      <c r="D247" s="1" t="s">
        <v>652</v>
      </c>
      <c r="E247" s="1" t="s">
        <v>735</v>
      </c>
      <c r="F247" s="1" t="s">
        <v>843</v>
      </c>
      <c r="G247" s="1" t="s">
        <v>854</v>
      </c>
      <c r="L247" s="1">
        <v>-74.7517</v>
      </c>
      <c r="M247" s="1">
        <v>40.1367</v>
      </c>
      <c r="N247" s="1">
        <v>8548989</v>
      </c>
      <c r="O247" s="1" t="s">
        <v>860</v>
      </c>
      <c r="P247" s="1" t="s">
        <v>866</v>
      </c>
      <c r="Q247" s="2">
        <f>HYPERLINK("https://tidesandcurrents.noaa.gov/stationhome.html?id=8548989", "Station Info")</f>
        <v>0</v>
      </c>
      <c r="R247" s="2">
        <f>HYPERLINK("https://tidesandcurrents.noaa.gov/datums.html?datum=MLLW&amp;units=0&amp;epoch=0&amp;id=8548989", "Datum Info")</f>
        <v>0</v>
      </c>
      <c r="S247" s="2">
        <f>HYPERLINK("https://api.tidesandcurrents.noaa.gov/mdapi/prod/webapi/stations/8548989.json", "More Info")</f>
        <v>0</v>
      </c>
      <c r="T247" s="1">
        <v>4527495</v>
      </c>
      <c r="U247" s="1">
        <v>-0.18</v>
      </c>
      <c r="V247" s="1" t="s">
        <v>869</v>
      </c>
      <c r="W247" s="1" t="s">
        <v>873</v>
      </c>
      <c r="X247" s="1" t="s">
        <v>886</v>
      </c>
      <c r="Y247" s="1">
        <v>8.390000000000001</v>
      </c>
      <c r="Z247" s="1">
        <v>8.029999999999999</v>
      </c>
      <c r="AA247" s="1">
        <v>4.11</v>
      </c>
      <c r="AB247" s="1">
        <v>4.32</v>
      </c>
      <c r="AC247" s="1">
        <v>4.19</v>
      </c>
      <c r="AD247" s="1">
        <v>0.19</v>
      </c>
      <c r="AE247" s="1">
        <v>0</v>
      </c>
      <c r="AF247" s="1" t="s">
        <v>1014</v>
      </c>
      <c r="AG247" s="1">
        <v>-14.32</v>
      </c>
      <c r="AH247" s="1" t="s">
        <v>1201</v>
      </c>
      <c r="AI247" s="1" t="s">
        <v>1469</v>
      </c>
      <c r="AJ247" s="1">
        <v>3.629</v>
      </c>
      <c r="AK247" s="1">
        <v>-4.764</v>
      </c>
      <c r="AY247" s="2">
        <f>HYPERLINK("https://vdatum.noaa.gov/vdatumweb/api/convert?s_x=-74.7517&amp;s_y=40.1367&amp;s_z=0.0&amp;region=chesapeak_delaware&amp;s_h_frame=NAD83_2011&amp;s_coor=geo&amp;s_v_frame=NAVD88&amp;s_v_unit=us_ft&amp;t_h_frame=IGS14&amp;t_coor=geo&amp;t_v_frame=MLLW&amp;t_v_unit=us_ft", "NAVD88 to MLLW")</f>
        <v>0</v>
      </c>
      <c r="AZ247" s="2">
        <f>HYPERLINK("https://vdatum.noaa.gov/vdatumweb/api/convert?s_x=-74.7517&amp;s_y=40.1367&amp;s_z=0.0&amp;region=chesapeak_delaware&amp;s_h_frame=NAD83_2011&amp;s_coor=geo&amp;s_v_frame=NAVD88&amp;s_v_unit=us_ft&amp;t_h_frame=IGS14&amp;t_coor=geo&amp;t_v_frame=MHHW&amp;t_v_unit=us_ft", "NAVD88 to MHHW")</f>
        <v>0</v>
      </c>
    </row>
    <row r="248" spans="1:52">
      <c r="A248" s="1" t="s">
        <v>272</v>
      </c>
      <c r="B248" s="1" t="s">
        <v>622</v>
      </c>
      <c r="C248" s="1" t="s">
        <v>644</v>
      </c>
      <c r="D248" s="1" t="s">
        <v>652</v>
      </c>
      <c r="H248" s="1" t="s">
        <v>1809</v>
      </c>
      <c r="I248" s="1" t="s">
        <v>1856</v>
      </c>
      <c r="J248" s="1" t="s">
        <v>1944</v>
      </c>
      <c r="K248" s="1" t="s">
        <v>2101</v>
      </c>
      <c r="L248" s="1">
        <v>-75.52</v>
      </c>
      <c r="M248" s="1">
        <v>39.7183</v>
      </c>
      <c r="N248" s="1">
        <v>8550714</v>
      </c>
      <c r="O248" s="1" t="s">
        <v>860</v>
      </c>
      <c r="P248" s="1" t="s">
        <v>866</v>
      </c>
      <c r="Q248" s="2">
        <f>HYPERLINK("https://tidesandcurrents.noaa.gov/stationhome.html?id=8550714", "Station Info")</f>
        <v>0</v>
      </c>
      <c r="R248" s="2">
        <f>HYPERLINK("https://tidesandcurrents.noaa.gov/datums.html?datum=MLLW&amp;units=0&amp;epoch=0&amp;id=8550714", "Datum Info")</f>
        <v>0</v>
      </c>
      <c r="S248" s="2">
        <f>HYPERLINK("https://api.tidesandcurrents.noaa.gov/mdapi/prod/webapi/stations/8550714.json", "More Info")</f>
        <v>0</v>
      </c>
      <c r="T248" s="1">
        <v>4546665</v>
      </c>
      <c r="U248" s="1">
        <v>0</v>
      </c>
      <c r="V248" s="1" t="s">
        <v>869</v>
      </c>
      <c r="W248" s="1" t="s">
        <v>873</v>
      </c>
      <c r="AJ248" s="1">
        <v>2.841</v>
      </c>
      <c r="AK248" s="1">
        <v>-3.074</v>
      </c>
      <c r="AN248" s="1" t="s">
        <v>1038</v>
      </c>
      <c r="AQ248" s="1" t="s">
        <v>1729</v>
      </c>
      <c r="AS248" s="1">
        <v>0</v>
      </c>
      <c r="AT248" s="1">
        <v>7.4</v>
      </c>
      <c r="AU248" s="1">
        <v>8.4</v>
      </c>
      <c r="AV248" s="1">
        <v>9.4</v>
      </c>
      <c r="AW248" s="1" t="s">
        <v>1744</v>
      </c>
      <c r="AX248" s="2">
        <f>HYPERLINK("https://water.weather.gov/ahps2/hydrograph.php?wfo=phi&amp;gage=wimd1", "AHPS Data")</f>
        <v>0</v>
      </c>
      <c r="AY248" s="2">
        <f>HYPERLINK("https://vdatum.noaa.gov/vdatumweb/api/convert?s_x=-75.52&amp;s_y=39.7183&amp;s_z=0.0&amp;region=chesapeak_delaware&amp;s_h_frame=NAD83_2011&amp;s_coor=geo&amp;s_v_frame=NAVD88&amp;s_v_unit=us_ft&amp;t_h_frame=IGS14&amp;t_coor=geo&amp;t_v_frame=MLLW&amp;t_v_unit=us_ft", "NAVD88 to MLLW")</f>
        <v>0</v>
      </c>
      <c r="AZ248" s="2">
        <f>HYPERLINK("https://vdatum.noaa.gov/vdatumweb/api/convert?s_x=-75.52&amp;s_y=39.7183&amp;s_z=0.0&amp;region=chesapeak_delaware&amp;s_h_frame=NAD83_2011&amp;s_coor=geo&amp;s_v_frame=NAVD88&amp;s_v_unit=us_ft&amp;t_h_frame=IGS14&amp;t_coor=geo&amp;t_v_frame=MHHW&amp;t_v_unit=us_ft", "NAVD88 to MHHW")</f>
        <v>0</v>
      </c>
    </row>
    <row r="249" spans="1:52">
      <c r="A249" s="1" t="s">
        <v>273</v>
      </c>
      <c r="B249" s="1" t="s">
        <v>622</v>
      </c>
      <c r="D249" s="1" t="s">
        <v>652</v>
      </c>
      <c r="L249" s="1">
        <v>-75.5883</v>
      </c>
      <c r="M249" s="1">
        <v>39.5817</v>
      </c>
      <c r="N249" s="1">
        <v>8551762</v>
      </c>
      <c r="O249" s="1" t="s">
        <v>860</v>
      </c>
      <c r="P249" s="1" t="s">
        <v>866</v>
      </c>
      <c r="Q249" s="2">
        <f>HYPERLINK("https://tidesandcurrents.noaa.gov/stationhome.html?id=8551762", "Station Info")</f>
        <v>0</v>
      </c>
      <c r="R249" s="2">
        <f>HYPERLINK("https://tidesandcurrents.noaa.gov/datums.html?datum=MLLW&amp;units=0&amp;epoch=0&amp;id=8551762", "Datum Info")</f>
        <v>0</v>
      </c>
      <c r="S249" s="2">
        <f>HYPERLINK("https://api.tidesandcurrents.noaa.gov/mdapi/prod/webapi/stations/8551762.json", "More Info")</f>
        <v>0</v>
      </c>
      <c r="T249" s="1">
        <v>5322424</v>
      </c>
      <c r="U249" s="1">
        <v>-0.377</v>
      </c>
      <c r="V249" s="1" t="s">
        <v>869</v>
      </c>
      <c r="W249" s="1" t="s">
        <v>873</v>
      </c>
      <c r="X249" s="1" t="s">
        <v>886</v>
      </c>
      <c r="Y249" s="1">
        <v>6</v>
      </c>
      <c r="Z249" s="1">
        <v>5.62</v>
      </c>
      <c r="AA249" s="1">
        <v>2.9</v>
      </c>
      <c r="AB249" s="1">
        <v>2.95</v>
      </c>
      <c r="AC249" s="1">
        <v>3</v>
      </c>
      <c r="AD249" s="1">
        <v>0.18</v>
      </c>
      <c r="AE249" s="1">
        <v>0</v>
      </c>
      <c r="AF249" s="1" t="s">
        <v>1015</v>
      </c>
      <c r="AG249" s="1">
        <v>-22.4</v>
      </c>
      <c r="AH249" s="1" t="s">
        <v>1202</v>
      </c>
      <c r="AI249" s="1" t="s">
        <v>1470</v>
      </c>
      <c r="AJ249" s="1">
        <v>2.907</v>
      </c>
      <c r="AK249" s="1">
        <v>-3.104</v>
      </c>
      <c r="AY249" s="2">
        <f>HYPERLINK("https://vdatum.noaa.gov/vdatumweb/api/convert?s_x=-75.5883&amp;s_y=39.5817&amp;s_z=0.0&amp;region=chesapeak_delaware&amp;s_h_frame=NAD83_2011&amp;s_coor=geo&amp;s_v_frame=NAVD88&amp;s_v_unit=us_ft&amp;t_h_frame=IGS14&amp;t_coor=geo&amp;t_v_frame=MLLW&amp;t_v_unit=us_ft", "NAVD88 to MLLW")</f>
        <v>0</v>
      </c>
      <c r="AZ249" s="2">
        <f>HYPERLINK("https://vdatum.noaa.gov/vdatumweb/api/convert?s_x=-75.5883&amp;s_y=39.5817&amp;s_z=0.0&amp;region=chesapeak_delaware&amp;s_h_frame=NAD83_2011&amp;s_coor=geo&amp;s_v_frame=NAVD88&amp;s_v_unit=us_ft&amp;t_h_frame=IGS14&amp;t_coor=geo&amp;t_v_frame=MHHW&amp;t_v_unit=us_ft", "NAVD88 to MHHW")</f>
        <v>0</v>
      </c>
    </row>
    <row r="250" spans="1:52">
      <c r="A250" s="1" t="s">
        <v>274</v>
      </c>
      <c r="B250" s="1" t="s">
        <v>622</v>
      </c>
      <c r="C250" s="1" t="s">
        <v>644</v>
      </c>
      <c r="D250" s="1" t="s">
        <v>652</v>
      </c>
      <c r="E250" s="1" t="s">
        <v>737</v>
      </c>
      <c r="F250" s="1" t="s">
        <v>844</v>
      </c>
      <c r="G250" s="1" t="s">
        <v>854</v>
      </c>
      <c r="L250" s="1">
        <v>-75.5719</v>
      </c>
      <c r="M250" s="1">
        <v>39.55833</v>
      </c>
      <c r="N250" s="1">
        <v>8551910</v>
      </c>
      <c r="O250" s="1" t="s">
        <v>860</v>
      </c>
      <c r="P250" s="1" t="s">
        <v>866</v>
      </c>
      <c r="Q250" s="2">
        <f>HYPERLINK("https://tidesandcurrents.noaa.gov/stationhome.html?id=8551910", "Station Info")</f>
        <v>0</v>
      </c>
      <c r="R250" s="2">
        <f>HYPERLINK("https://tidesandcurrents.noaa.gov/datums.html?datum=MLLW&amp;units=0&amp;epoch=0&amp;id=8551910", "Datum Info")</f>
        <v>0</v>
      </c>
      <c r="S250" s="2">
        <f>HYPERLINK("https://api.tidesandcurrents.noaa.gov/mdapi/prod/webapi/stations/8551910.json", "More Info")</f>
        <v>0</v>
      </c>
      <c r="T250" s="1">
        <v>6913427</v>
      </c>
      <c r="U250" s="1">
        <v>0</v>
      </c>
      <c r="V250" s="1" t="s">
        <v>869</v>
      </c>
      <c r="W250" s="1" t="s">
        <v>873</v>
      </c>
      <c r="X250" s="1" t="s">
        <v>886</v>
      </c>
      <c r="Y250" s="1">
        <v>5.84</v>
      </c>
      <c r="Z250" s="1">
        <v>5.52</v>
      </c>
      <c r="AA250" s="1">
        <v>2.85</v>
      </c>
      <c r="AB250" s="1">
        <v>2.92</v>
      </c>
      <c r="AC250" s="1">
        <v>2.92</v>
      </c>
      <c r="AD250" s="1">
        <v>0.18</v>
      </c>
      <c r="AE250" s="1">
        <v>0</v>
      </c>
      <c r="AF250" s="1">
        <v>2.97</v>
      </c>
      <c r="AG250" s="1">
        <v>-1.35</v>
      </c>
      <c r="AH250" s="1" t="s">
        <v>1203</v>
      </c>
      <c r="AI250" s="1" t="s">
        <v>1299</v>
      </c>
      <c r="AJ250" s="1">
        <v>3.054</v>
      </c>
      <c r="AK250" s="1">
        <v>-2.782</v>
      </c>
      <c r="AY250" s="2">
        <f>HYPERLINK("https://vdatum.noaa.gov/vdatumweb/api/convert?s_x=-75.5719&amp;s_y=39.55833&amp;s_z=0.0&amp;region=chesapeak_delaware&amp;s_h_frame=NAD83_2011&amp;s_coor=geo&amp;s_v_frame=NAVD88&amp;s_v_unit=us_ft&amp;t_h_frame=IGS14&amp;t_coor=geo&amp;t_v_frame=MLLW&amp;t_v_unit=us_ft", "NAVD88 to MLLW")</f>
        <v>0</v>
      </c>
      <c r="AZ250" s="2">
        <f>HYPERLINK("https://vdatum.noaa.gov/vdatumweb/api/convert?s_x=-75.5719&amp;s_y=39.55833&amp;s_z=0.0&amp;region=chesapeak_delaware&amp;s_h_frame=NAD83_2011&amp;s_coor=geo&amp;s_v_frame=NAVD88&amp;s_v_unit=us_ft&amp;t_h_frame=IGS14&amp;t_coor=geo&amp;t_v_frame=MHHW&amp;t_v_unit=us_ft", "NAVD88 to MHHW")</f>
        <v>0</v>
      </c>
    </row>
    <row r="251" spans="1:52">
      <c r="A251" s="1" t="s">
        <v>275</v>
      </c>
      <c r="B251" s="1" t="s">
        <v>622</v>
      </c>
      <c r="D251" s="1" t="s">
        <v>652</v>
      </c>
      <c r="H251" s="1" t="s">
        <v>1810</v>
      </c>
      <c r="I251" s="1" t="s">
        <v>1856</v>
      </c>
      <c r="J251" s="1" t="s">
        <v>1945</v>
      </c>
      <c r="K251" s="1" t="s">
        <v>2102</v>
      </c>
      <c r="L251" s="1">
        <v>-75.3967</v>
      </c>
      <c r="M251" s="1">
        <v>39.0583</v>
      </c>
      <c r="N251" s="1">
        <v>8555388</v>
      </c>
      <c r="O251" s="1" t="s">
        <v>860</v>
      </c>
      <c r="P251" s="1" t="s">
        <v>866</v>
      </c>
      <c r="Q251" s="2">
        <f>HYPERLINK("https://tidesandcurrents.noaa.gov/stationhome.html?id=8555388", "Station Info")</f>
        <v>0</v>
      </c>
      <c r="R251" s="2">
        <f>HYPERLINK("https://tidesandcurrents.noaa.gov/datums.html?datum=MLLW&amp;units=0&amp;epoch=0&amp;id=8555388", "Datum Info")</f>
        <v>0</v>
      </c>
      <c r="S251" s="2">
        <f>HYPERLINK("https://api.tidesandcurrents.noaa.gov/mdapi/prod/webapi/stations/8555388.json", "More Info")</f>
        <v>0</v>
      </c>
      <c r="T251" s="1">
        <v>5993486</v>
      </c>
      <c r="U251" s="1">
        <v>0</v>
      </c>
      <c r="V251" s="1" t="s">
        <v>869</v>
      </c>
      <c r="W251" s="1" t="s">
        <v>873</v>
      </c>
      <c r="AJ251" s="1">
        <v>2.799</v>
      </c>
      <c r="AK251" s="1">
        <v>-2.979</v>
      </c>
      <c r="AM251" s="1">
        <v>0</v>
      </c>
      <c r="AN251" s="1" t="s">
        <v>1653</v>
      </c>
      <c r="AQ251" s="1" t="s">
        <v>1730</v>
      </c>
      <c r="AS251" s="1">
        <v>0</v>
      </c>
      <c r="AT251" s="1">
        <v>6.6</v>
      </c>
      <c r="AU251" s="1">
        <v>7.6</v>
      </c>
      <c r="AV251" s="1">
        <v>8.6</v>
      </c>
      <c r="AW251" s="1" t="s">
        <v>1744</v>
      </c>
      <c r="AX251" s="2">
        <f>HYPERLINK("https://water.weather.gov/ahps2/hydrograph.php?wfo=phi&amp;gage=bowd1", "AHPS Data")</f>
        <v>0</v>
      </c>
      <c r="AY251" s="2">
        <f>HYPERLINK("https://vdatum.noaa.gov/vdatumweb/api/convert?s_x=-75.3967&amp;s_y=39.0583&amp;s_z=0.0&amp;region=chesapeak_delaware&amp;s_h_frame=NAD83_2011&amp;s_coor=geo&amp;s_v_frame=NAVD88&amp;s_v_unit=us_ft&amp;t_h_frame=IGS14&amp;t_coor=geo&amp;t_v_frame=MLLW&amp;t_v_unit=us_ft", "NAVD88 to MLLW")</f>
        <v>0</v>
      </c>
      <c r="AZ251" s="2">
        <f>HYPERLINK("https://vdatum.noaa.gov/vdatumweb/api/convert?s_x=-75.3967&amp;s_y=39.0583&amp;s_z=0.0&amp;region=chesapeak_delaware&amp;s_h_frame=NAD83_2011&amp;s_coor=geo&amp;s_v_frame=NAVD88&amp;s_v_unit=us_ft&amp;t_h_frame=IGS14&amp;t_coor=geo&amp;t_v_frame=MHHW&amp;t_v_unit=us_ft", "NAVD88 to MHHW")</f>
        <v>0</v>
      </c>
    </row>
    <row r="252" spans="1:52">
      <c r="A252" s="1" t="s">
        <v>276</v>
      </c>
      <c r="B252" s="1" t="s">
        <v>622</v>
      </c>
      <c r="D252" s="1" t="s">
        <v>652</v>
      </c>
      <c r="L252" s="1">
        <v>-75.113</v>
      </c>
      <c r="M252" s="1">
        <v>38.987</v>
      </c>
      <c r="N252" s="1">
        <v>8555889</v>
      </c>
      <c r="O252" s="1" t="s">
        <v>861</v>
      </c>
      <c r="P252" s="1" t="s">
        <v>866</v>
      </c>
      <c r="Q252" s="2">
        <f>HYPERLINK("https://tidesandcurrents.noaa.gov/stationhome.html?id=8555889", "Station Info")</f>
        <v>0</v>
      </c>
      <c r="R252" s="2">
        <f>HYPERLINK("https://tidesandcurrents.noaa.gov/datums.html?datum=MLLW&amp;units=0&amp;epoch=0&amp;id=8555889", "Datum Info")</f>
        <v>0</v>
      </c>
      <c r="S252" s="2">
        <f>HYPERLINK("https://api.tidesandcurrents.noaa.gov/mdapi/prod/webapi/stations/8555889.json", "More Info")</f>
        <v>0</v>
      </c>
      <c r="T252" s="1">
        <v>3810475</v>
      </c>
      <c r="U252" s="1">
        <v>-0.462</v>
      </c>
      <c r="V252" s="1" t="s">
        <v>869</v>
      </c>
      <c r="W252" s="1" t="s">
        <v>873</v>
      </c>
      <c r="X252" s="1" t="s">
        <v>886</v>
      </c>
      <c r="Y252" s="1">
        <v>5.5</v>
      </c>
      <c r="Z252" s="1">
        <v>5.06</v>
      </c>
      <c r="AA252" s="1">
        <v>2.61</v>
      </c>
      <c r="AB252" s="1">
        <v>2.61</v>
      </c>
      <c r="AC252" s="1">
        <v>2.75</v>
      </c>
      <c r="AD252" s="1">
        <v>0.16</v>
      </c>
      <c r="AE252" s="1">
        <v>0</v>
      </c>
      <c r="AF252" s="1" t="s">
        <v>1016</v>
      </c>
      <c r="AG252" s="1">
        <v>-18.99</v>
      </c>
      <c r="AH252" s="1" t="s">
        <v>1204</v>
      </c>
      <c r="AI252" s="1" t="s">
        <v>1471</v>
      </c>
      <c r="AJ252" s="1">
        <v>2.93</v>
      </c>
      <c r="AK252" s="1">
        <v>-2.579</v>
      </c>
      <c r="AY252" s="2">
        <f>HYPERLINK("https://vdatum.noaa.gov/vdatumweb/api/convert?s_x=-75.113&amp;s_y=38.987&amp;s_z=0.0&amp;region=chesapeak_delaware&amp;s_h_frame=NAD83_2011&amp;s_coor=geo&amp;s_v_frame=NAVD88&amp;s_v_unit=us_ft&amp;t_h_frame=IGS14&amp;t_coor=geo&amp;t_v_frame=MLLW&amp;t_v_unit=us_ft", "NAVD88 to MLLW")</f>
        <v>0</v>
      </c>
      <c r="AZ252" s="2">
        <f>HYPERLINK("https://vdatum.noaa.gov/vdatumweb/api/convert?s_x=-75.113&amp;s_y=38.987&amp;s_z=0.0&amp;region=chesapeak_delaware&amp;s_h_frame=NAD83_2011&amp;s_coor=geo&amp;s_v_frame=NAVD88&amp;s_v_unit=us_ft&amp;t_h_frame=IGS14&amp;t_coor=geo&amp;t_v_frame=MHHW&amp;t_v_unit=us_ft", "NAVD88 to MHHW")</f>
        <v>0</v>
      </c>
    </row>
    <row r="253" spans="1:52">
      <c r="A253" s="1" t="s">
        <v>277</v>
      </c>
      <c r="B253" s="1" t="s">
        <v>622</v>
      </c>
      <c r="C253" s="1" t="s">
        <v>644</v>
      </c>
      <c r="D253" s="1" t="s">
        <v>652</v>
      </c>
      <c r="E253" s="1" t="s">
        <v>738</v>
      </c>
      <c r="F253" s="1" t="s">
        <v>844</v>
      </c>
      <c r="G253" s="1" t="s">
        <v>854</v>
      </c>
      <c r="L253" s="1">
        <v>-75.12</v>
      </c>
      <c r="M253" s="1">
        <v>38.7817</v>
      </c>
      <c r="N253" s="1">
        <v>8557380</v>
      </c>
      <c r="O253" s="1" t="s">
        <v>860</v>
      </c>
      <c r="P253" s="1" t="s">
        <v>866</v>
      </c>
      <c r="Q253" s="2">
        <f>HYPERLINK("https://tidesandcurrents.noaa.gov/stationhome.html?id=8557380", "Station Info")</f>
        <v>0</v>
      </c>
      <c r="R253" s="2">
        <f>HYPERLINK("https://tidesandcurrents.noaa.gov/datums.html?datum=MLLW&amp;units=0&amp;epoch=0&amp;id=8557380", "Datum Info")</f>
        <v>0</v>
      </c>
      <c r="S253" s="2">
        <f>HYPERLINK("https://api.tidesandcurrents.noaa.gov/mdapi/prod/webapi/stations/8557380.json", "More Info")</f>
        <v>0</v>
      </c>
      <c r="T253" s="1">
        <v>4118549</v>
      </c>
      <c r="U253" s="1">
        <v>0</v>
      </c>
      <c r="V253" s="1" t="s">
        <v>869</v>
      </c>
      <c r="W253" s="1" t="s">
        <v>873</v>
      </c>
      <c r="X253" s="1" t="s">
        <v>886</v>
      </c>
      <c r="Y253" s="1">
        <v>4.65</v>
      </c>
      <c r="Z253" s="1">
        <v>4.23</v>
      </c>
      <c r="AA253" s="1">
        <v>2.2</v>
      </c>
      <c r="AB253" s="1">
        <v>2.23</v>
      </c>
      <c r="AC253" s="1">
        <v>2.33</v>
      </c>
      <c r="AD253" s="1">
        <v>0.16</v>
      </c>
      <c r="AE253" s="1">
        <v>0</v>
      </c>
      <c r="AF253" s="1">
        <v>2.63</v>
      </c>
      <c r="AG253" s="1">
        <v>-2.78</v>
      </c>
      <c r="AH253" s="1" t="s">
        <v>1205</v>
      </c>
      <c r="AI253" s="1" t="s">
        <v>1472</v>
      </c>
      <c r="AJ253" s="1">
        <v>2.71</v>
      </c>
      <c r="AK253" s="1">
        <v>-1.988</v>
      </c>
      <c r="AY253" s="2">
        <f>HYPERLINK("https://vdatum.noaa.gov/vdatumweb/api/convert?s_x=-75.12&amp;s_y=38.7817&amp;s_z=0.0&amp;region=chesapeak_delaware&amp;s_h_frame=NAD83_2011&amp;s_coor=geo&amp;s_v_frame=NAVD88&amp;s_v_unit=us_ft&amp;t_h_frame=IGS14&amp;t_coor=geo&amp;t_v_frame=MLLW&amp;t_v_unit=us_ft", "NAVD88 to MLLW")</f>
        <v>0</v>
      </c>
      <c r="AZ253" s="2">
        <f>HYPERLINK("https://vdatum.noaa.gov/vdatumweb/api/convert?s_x=-75.12&amp;s_y=38.7817&amp;s_z=0.0&amp;region=chesapeak_delaware&amp;s_h_frame=NAD83_2011&amp;s_coor=geo&amp;s_v_frame=NAVD88&amp;s_v_unit=us_ft&amp;t_h_frame=IGS14&amp;t_coor=geo&amp;t_v_frame=MHHW&amp;t_v_unit=us_ft", "NAVD88 to MHHW")</f>
        <v>0</v>
      </c>
    </row>
    <row r="254" spans="1:52">
      <c r="A254" s="1" t="s">
        <v>278</v>
      </c>
      <c r="B254" s="1" t="s">
        <v>622</v>
      </c>
      <c r="D254" s="1" t="s">
        <v>652</v>
      </c>
      <c r="H254" s="1" t="s">
        <v>1811</v>
      </c>
      <c r="I254" s="1" t="s">
        <v>1856</v>
      </c>
      <c r="J254" s="1" t="s">
        <v>1946</v>
      </c>
      <c r="K254" s="1" t="s">
        <v>2103</v>
      </c>
      <c r="L254" s="1">
        <v>-75.06999999999999</v>
      </c>
      <c r="M254" s="1">
        <v>38.61</v>
      </c>
      <c r="N254" s="1">
        <v>8558690</v>
      </c>
      <c r="O254" s="1" t="s">
        <v>860</v>
      </c>
      <c r="P254" s="1" t="s">
        <v>866</v>
      </c>
      <c r="Q254" s="2">
        <f>HYPERLINK("https://tidesandcurrents.noaa.gov/stationhome.html?id=8558690", "Station Info")</f>
        <v>0</v>
      </c>
      <c r="R254" s="2">
        <f>HYPERLINK("https://tidesandcurrents.noaa.gov/datums.html?datum=MLLW&amp;units=0&amp;epoch=0&amp;id=8558690", "Datum Info")</f>
        <v>0</v>
      </c>
      <c r="S254" s="2">
        <f>HYPERLINK("https://api.tidesandcurrents.noaa.gov/mdapi/prod/webapi/stations/8558690.json", "More Info")</f>
        <v>0</v>
      </c>
      <c r="T254" s="1">
        <v>3479963</v>
      </c>
      <c r="U254" s="1">
        <v>-0.465</v>
      </c>
      <c r="V254" s="1" t="s">
        <v>869</v>
      </c>
      <c r="W254" s="1" t="s">
        <v>873</v>
      </c>
      <c r="X254" s="1" t="s">
        <v>886</v>
      </c>
      <c r="Y254" s="1">
        <v>2.94</v>
      </c>
      <c r="Z254" s="1">
        <v>2.67</v>
      </c>
      <c r="AA254" s="1">
        <v>1.41</v>
      </c>
      <c r="AB254" s="1">
        <v>1.48</v>
      </c>
      <c r="AC254" s="1">
        <v>1.47</v>
      </c>
      <c r="AD254" s="1">
        <v>0.15</v>
      </c>
      <c r="AE254" s="1">
        <v>0</v>
      </c>
      <c r="AF254" s="1" t="s">
        <v>1017</v>
      </c>
      <c r="AG254" s="1">
        <v>-2.96</v>
      </c>
      <c r="AH254" s="1" t="s">
        <v>1206</v>
      </c>
      <c r="AI254" s="1" t="s">
        <v>1473</v>
      </c>
      <c r="AJ254" s="1">
        <v>1.932</v>
      </c>
      <c r="AK254" s="1">
        <v>-1.01</v>
      </c>
      <c r="AM254" s="1">
        <v>0</v>
      </c>
      <c r="AN254" s="1" t="s">
        <v>1654</v>
      </c>
      <c r="AQ254" s="1" t="s">
        <v>1731</v>
      </c>
      <c r="AS254" s="1">
        <v>0</v>
      </c>
      <c r="AT254" s="1">
        <v>4.2</v>
      </c>
      <c r="AU254" s="1">
        <v>5.2</v>
      </c>
      <c r="AV254" s="1">
        <v>6.2</v>
      </c>
      <c r="AW254" s="1" t="s">
        <v>1744</v>
      </c>
      <c r="AX254" s="2">
        <f>HYPERLINK("https://water.weather.gov/ahps2/hydrograph.php?wfo=phi&amp;gage=inrd1", "AHPS Data")</f>
        <v>0</v>
      </c>
      <c r="AY254" s="2">
        <f>HYPERLINK("https://vdatum.noaa.gov/vdatumweb/api/convert?s_x=-75.07&amp;s_y=38.61&amp;s_z=0.0&amp;region=chesapeak_delaware&amp;s_h_frame=NAD83_2011&amp;s_coor=geo&amp;s_v_frame=NAVD88&amp;s_v_unit=us_ft&amp;t_h_frame=IGS14&amp;t_coor=geo&amp;t_v_frame=MLLW&amp;t_v_unit=us_ft", "NAVD88 to MLLW")</f>
        <v>0</v>
      </c>
      <c r="AZ254" s="2">
        <f>HYPERLINK("https://vdatum.noaa.gov/vdatumweb/api/convert?s_x=-75.07&amp;s_y=38.61&amp;s_z=0.0&amp;region=chesapeak_delaware&amp;s_h_frame=NAD83_2011&amp;s_coor=geo&amp;s_v_frame=NAVD88&amp;s_v_unit=us_ft&amp;t_h_frame=IGS14&amp;t_coor=geo&amp;t_v_frame=MHHW&amp;t_v_unit=us_ft", "NAVD88 to MHHW")</f>
        <v>0</v>
      </c>
    </row>
    <row r="255" spans="1:52">
      <c r="A255" s="1" t="s">
        <v>279</v>
      </c>
      <c r="B255" s="1" t="s">
        <v>622</v>
      </c>
      <c r="C255" s="1" t="s">
        <v>644</v>
      </c>
      <c r="D255" s="1" t="s">
        <v>652</v>
      </c>
      <c r="E255" s="1" t="s">
        <v>739</v>
      </c>
      <c r="F255" s="1" t="s">
        <v>830</v>
      </c>
      <c r="G255" s="1" t="s">
        <v>854</v>
      </c>
      <c r="L255" s="1">
        <v>-76.2445</v>
      </c>
      <c r="M255" s="1">
        <v>39.2134</v>
      </c>
      <c r="N255" s="1">
        <v>8573364</v>
      </c>
      <c r="O255" s="1" t="s">
        <v>860</v>
      </c>
      <c r="P255" s="1" t="s">
        <v>866</v>
      </c>
      <c r="Q255" s="2">
        <f>HYPERLINK("https://tidesandcurrents.noaa.gov/stationhome.html?id=8573364", "Station Info")</f>
        <v>0</v>
      </c>
      <c r="R255" s="2">
        <f>HYPERLINK("https://tidesandcurrents.noaa.gov/datums.html?datum=MLLW&amp;units=0&amp;epoch=0&amp;id=8573364", "Datum Info")</f>
        <v>0</v>
      </c>
      <c r="S255" s="2">
        <f>HYPERLINK("https://api.tidesandcurrents.noaa.gov/mdapi/prod/webapi/stations/8573364.json", "More Info")</f>
        <v>0</v>
      </c>
      <c r="T255" s="1">
        <v>4399058</v>
      </c>
      <c r="U255" s="1">
        <v>0</v>
      </c>
      <c r="V255" s="1" t="s">
        <v>869</v>
      </c>
      <c r="W255" s="1" t="s">
        <v>873</v>
      </c>
      <c r="X255" s="1" t="s">
        <v>886</v>
      </c>
      <c r="Y255" s="1">
        <v>1.74</v>
      </c>
      <c r="Z255" s="1">
        <v>1.43</v>
      </c>
      <c r="AA255" s="1">
        <v>0.82</v>
      </c>
      <c r="AB255" s="1">
        <v>0.84</v>
      </c>
      <c r="AC255" s="1">
        <v>0.87</v>
      </c>
      <c r="AD255" s="1">
        <v>0.21</v>
      </c>
      <c r="AE255" s="1">
        <v>0</v>
      </c>
      <c r="AF255" s="1">
        <v>0.98</v>
      </c>
      <c r="AG255" s="1">
        <v>-3.41</v>
      </c>
      <c r="AH255" s="1" t="s">
        <v>1207</v>
      </c>
      <c r="AI255" s="1" t="s">
        <v>1474</v>
      </c>
      <c r="AJ255" s="1">
        <v>0.84</v>
      </c>
      <c r="AK255" s="1">
        <v>-0.896</v>
      </c>
      <c r="AY255" s="2">
        <f>HYPERLINK("https://vdatum.noaa.gov/vdatumweb/api/convert?s_x=-76.2445&amp;s_y=39.2134&amp;s_z=0.0&amp;region=chesapeak_delaware&amp;s_h_frame=NAD83_2011&amp;s_coor=geo&amp;s_v_frame=NAVD88&amp;s_v_unit=us_ft&amp;t_h_frame=IGS14&amp;t_coor=geo&amp;t_v_frame=MLLW&amp;t_v_unit=us_ft", "NAVD88 to MLLW")</f>
        <v>0</v>
      </c>
      <c r="AZ255" s="2">
        <f>HYPERLINK("https://vdatum.noaa.gov/vdatumweb/api/convert?s_x=-76.2445&amp;s_y=39.2134&amp;s_z=0.0&amp;region=chesapeak_delaware&amp;s_h_frame=NAD83_2011&amp;s_coor=geo&amp;s_v_frame=NAVD88&amp;s_v_unit=us_ft&amp;t_h_frame=IGS14&amp;t_coor=geo&amp;t_v_frame=MHHW&amp;t_v_unit=us_ft", "NAVD88 to MHHW")</f>
        <v>0</v>
      </c>
    </row>
    <row r="256" spans="1:52">
      <c r="A256" s="1" t="s">
        <v>280</v>
      </c>
      <c r="B256" s="1" t="s">
        <v>622</v>
      </c>
      <c r="C256" s="1" t="s">
        <v>644</v>
      </c>
      <c r="D256" s="1" t="s">
        <v>652</v>
      </c>
      <c r="E256" s="1" t="s">
        <v>729</v>
      </c>
      <c r="F256" s="1" t="s">
        <v>842</v>
      </c>
      <c r="G256" s="1" t="s">
        <v>854</v>
      </c>
      <c r="H256" s="1" t="s">
        <v>1812</v>
      </c>
      <c r="I256" s="1" t="s">
        <v>1856</v>
      </c>
      <c r="J256" s="1" t="s">
        <v>1947</v>
      </c>
      <c r="K256" s="1" t="s">
        <v>2104</v>
      </c>
      <c r="L256" s="1">
        <v>-74.04000000000001</v>
      </c>
      <c r="M256" s="1">
        <v>40.11</v>
      </c>
      <c r="N256" s="1">
        <v>8632591</v>
      </c>
      <c r="O256" s="1" t="s">
        <v>860</v>
      </c>
      <c r="P256" s="1" t="s">
        <v>866</v>
      </c>
      <c r="Q256" s="2">
        <f>HYPERLINK("https://tidesandcurrents.noaa.gov/stationhome.html?id=8632591", "Station Info")</f>
        <v>0</v>
      </c>
      <c r="R256" s="2">
        <f>HYPERLINK("https://tidesandcurrents.noaa.gov/datums.html?datum=MLLW&amp;units=0&amp;epoch=0&amp;id=8632591", "Datum Info")</f>
        <v>0</v>
      </c>
      <c r="S256" s="2">
        <f>HYPERLINK("https://api.tidesandcurrents.noaa.gov/mdapi/prod/webapi/stations/8632591.json", "More Info")</f>
        <v>0</v>
      </c>
      <c r="T256" s="1">
        <v>3644621</v>
      </c>
      <c r="U256" s="1">
        <v>0</v>
      </c>
      <c r="V256" s="1" t="s">
        <v>869</v>
      </c>
      <c r="W256" s="1" t="s">
        <v>874</v>
      </c>
      <c r="AJ256" s="1">
        <v>2.369</v>
      </c>
      <c r="AK256" s="1">
        <v>-2.055</v>
      </c>
      <c r="AM256" s="1">
        <v>0</v>
      </c>
      <c r="AN256" s="1" t="s">
        <v>1655</v>
      </c>
      <c r="AQ256" s="1" t="s">
        <v>1732</v>
      </c>
      <c r="AS256" s="1">
        <v>0</v>
      </c>
      <c r="AT256" s="1">
        <v>5.7</v>
      </c>
      <c r="AU256" s="1">
        <v>6.7</v>
      </c>
      <c r="AV256" s="1">
        <v>7.7</v>
      </c>
      <c r="AW256" s="1" t="s">
        <v>1744</v>
      </c>
      <c r="AX256" s="2">
        <f>HYPERLINK("https://water.weather.gov/ahps2/hydrograph.php?wfo=phi&amp;gage=msnn4", "AHPS Data")</f>
        <v>0</v>
      </c>
      <c r="AY256" s="2">
        <f>HYPERLINK("https://vdatum.noaa.gov/vdatumweb/api/convert?s_x=-74.04&amp;s_y=40.11&amp;s_z=0.0&amp;region=contiguous&amp;s_h_frame=NAD83_2011&amp;s_coor=geo&amp;s_v_frame=NAVD88&amp;s_v_unit=us_ft&amp;t_h_frame=NAD83_2011&amp;t_coor=geo&amp;t_v_frame=MLLW&amp;t_v_unit=us_ft", "NAVD88 to MLLW")</f>
        <v>0</v>
      </c>
      <c r="AZ256" s="2">
        <f>HYPERLINK("https://vdatum.noaa.gov/vdatumweb/api/convert?s_x=-74.04&amp;s_y=40.11&amp;s_z=0.0&amp;region=contiguous&amp;s_h_frame=NAD83_2011&amp;s_coor=geo&amp;s_v_frame=NAVD88&amp;s_v_unit=us_ft&amp;t_h_frame=NAD83_2011&amp;t_coor=geo&amp;t_v_frame=MHHW&amp;t_v_unit=us_ft", "NAVD88 to MHHW")</f>
        <v>0</v>
      </c>
    </row>
    <row r="257" spans="1:52">
      <c r="A257" s="1" t="s">
        <v>281</v>
      </c>
      <c r="B257" s="1" t="s">
        <v>622</v>
      </c>
      <c r="C257" s="1" t="s">
        <v>644</v>
      </c>
      <c r="D257" s="1" t="s">
        <v>652</v>
      </c>
      <c r="E257" s="1" t="s">
        <v>731</v>
      </c>
      <c r="F257" s="1" t="s">
        <v>842</v>
      </c>
      <c r="G257" s="1" t="s">
        <v>854</v>
      </c>
      <c r="H257" s="1" t="s">
        <v>1813</v>
      </c>
      <c r="I257" s="1" t="s">
        <v>1856</v>
      </c>
      <c r="J257" s="1" t="s">
        <v>1948</v>
      </c>
      <c r="K257" s="1" t="s">
        <v>2105</v>
      </c>
      <c r="L257" s="1">
        <v>-74.45999999999999</v>
      </c>
      <c r="M257" s="1">
        <v>39.35</v>
      </c>
      <c r="N257" s="1" t="s">
        <v>859</v>
      </c>
      <c r="O257" s="1" t="s">
        <v>860</v>
      </c>
      <c r="P257" s="1" t="s">
        <v>859</v>
      </c>
      <c r="T257" s="1">
        <v>3645439</v>
      </c>
      <c r="U257" s="1">
        <v>0</v>
      </c>
      <c r="V257" s="1" t="s">
        <v>869</v>
      </c>
      <c r="W257" s="1" t="s">
        <v>873</v>
      </c>
      <c r="AJ257" s="1">
        <v>2.388</v>
      </c>
      <c r="AK257" s="1">
        <v>-2.064</v>
      </c>
      <c r="AL257" s="1" t="s">
        <v>1608</v>
      </c>
      <c r="AM257" s="1">
        <v>0</v>
      </c>
      <c r="AN257" s="1" t="s">
        <v>1656</v>
      </c>
      <c r="AQ257" s="1" t="s">
        <v>1733</v>
      </c>
      <c r="AS257" s="1">
        <v>0</v>
      </c>
      <c r="AT257" s="1">
        <v>5.9</v>
      </c>
      <c r="AU257" s="1">
        <v>6.9</v>
      </c>
      <c r="AV257" s="1">
        <v>7.9</v>
      </c>
      <c r="AW257" s="1" t="s">
        <v>1744</v>
      </c>
      <c r="AX257" s="2">
        <f>HYPERLINK("https://water.weather.gov/ahps2/hydrograph.php?wfo=phi&amp;gage=alcn4", "AHPS Data")</f>
        <v>0</v>
      </c>
      <c r="AY257" s="2">
        <f>HYPERLINK("https://vdatum.noaa.gov/vdatumweb/api/convert?s_x=-74.46&amp;s_y=39.35&amp;s_z=0.0&amp;region=chesapeak_delaware&amp;s_h_frame=NAD83_2011&amp;s_coor=geo&amp;s_v_frame=NAVD88&amp;s_v_unit=us_ft&amp;t_h_frame=IGS14&amp;t_coor=geo&amp;t_v_frame=MLLW&amp;t_v_unit=us_ft", "NAVD88 to MLLW")</f>
        <v>0</v>
      </c>
      <c r="AZ257" s="2">
        <f>HYPERLINK("https://vdatum.noaa.gov/vdatumweb/api/convert?s_x=-74.46&amp;s_y=39.35&amp;s_z=0.0&amp;region=chesapeak_delaware&amp;s_h_frame=NAD83_2011&amp;s_coor=geo&amp;s_v_frame=NAVD88&amp;s_v_unit=us_ft&amp;t_h_frame=IGS14&amp;t_coor=geo&amp;t_v_frame=MHHW&amp;t_v_unit=us_ft", "NAVD88 to MHHW")</f>
        <v>0</v>
      </c>
    </row>
    <row r="258" spans="1:52">
      <c r="A258" s="1" t="s">
        <v>282</v>
      </c>
      <c r="B258" s="1" t="s">
        <v>622</v>
      </c>
      <c r="C258" s="1" t="s">
        <v>644</v>
      </c>
      <c r="D258" s="1" t="s">
        <v>652</v>
      </c>
      <c r="E258" s="1" t="s">
        <v>730</v>
      </c>
      <c r="F258" s="1" t="s">
        <v>842</v>
      </c>
      <c r="G258" s="1" t="s">
        <v>854</v>
      </c>
      <c r="L258" s="1">
        <v>-74.08</v>
      </c>
      <c r="M258" s="1">
        <v>39.94</v>
      </c>
      <c r="N258" s="1" t="s">
        <v>859</v>
      </c>
      <c r="O258" s="1" t="s">
        <v>861</v>
      </c>
      <c r="P258" s="1" t="s">
        <v>859</v>
      </c>
      <c r="T258" s="1">
        <v>3478393</v>
      </c>
      <c r="U258" s="1">
        <v>0</v>
      </c>
      <c r="V258" s="1" t="s">
        <v>869</v>
      </c>
      <c r="W258" s="1" t="s">
        <v>874</v>
      </c>
      <c r="AJ258" s="1">
        <v>0.478</v>
      </c>
      <c r="AK258" s="1">
        <v>-0.382</v>
      </c>
      <c r="AY258" s="2">
        <f>HYPERLINK("https://vdatum.noaa.gov/vdatumweb/api/convert?s_x=-74.08&amp;s_y=39.94&amp;s_z=0.0&amp;region=contiguous&amp;s_h_frame=NAD83_2011&amp;s_coor=geo&amp;s_v_frame=NAVD88&amp;s_v_unit=us_ft&amp;t_h_frame=NAD83_2011&amp;t_coor=geo&amp;t_v_frame=MLLW&amp;t_v_unit=us_ft", "NAVD88 to MLLW")</f>
        <v>0</v>
      </c>
      <c r="AZ258" s="2">
        <f>HYPERLINK("https://vdatum.noaa.gov/vdatumweb/api/convert?s_x=-74.08&amp;s_y=39.94&amp;s_z=0.0&amp;region=contiguous&amp;s_h_frame=NAD83_2011&amp;s_coor=geo&amp;s_v_frame=NAVD88&amp;s_v_unit=us_ft&amp;t_h_frame=NAD83_2011&amp;t_coor=geo&amp;t_v_frame=MHHW&amp;t_v_unit=us_ft", "NAVD88 to MHHW")</f>
        <v>0</v>
      </c>
    </row>
    <row r="259" spans="1:52">
      <c r="A259" s="1" t="s">
        <v>283</v>
      </c>
      <c r="B259" s="1" t="s">
        <v>622</v>
      </c>
      <c r="C259" s="1" t="s">
        <v>644</v>
      </c>
      <c r="D259" s="1" t="s">
        <v>652</v>
      </c>
      <c r="E259" s="1" t="s">
        <v>731</v>
      </c>
      <c r="F259" s="1" t="s">
        <v>842</v>
      </c>
      <c r="G259" s="1" t="s">
        <v>854</v>
      </c>
      <c r="H259" s="1" t="s">
        <v>1799</v>
      </c>
      <c r="I259" s="1" t="s">
        <v>1856</v>
      </c>
      <c r="J259" s="1" t="s">
        <v>1934</v>
      </c>
      <c r="K259" s="1" t="s">
        <v>2106</v>
      </c>
      <c r="L259" s="1">
        <v>-74.52055405999999</v>
      </c>
      <c r="M259" s="1">
        <v>39.4302698</v>
      </c>
      <c r="N259" s="1" t="s">
        <v>2207</v>
      </c>
      <c r="O259" s="1" t="s">
        <v>864</v>
      </c>
      <c r="P259" s="1" t="s">
        <v>867</v>
      </c>
      <c r="Q259" s="2">
        <f>HYPERLINK("https://waterdata.usgs.gov/nwis/nwismap/?site_no=01410500&amp;agency_cd=USGS", "Station Info")</f>
        <v>0</v>
      </c>
      <c r="R259" s="2">
        <f>HYPERLINK("https://waterservices.usgs.gov/nwis/site/?site=01410500&amp;format=rdb", "Datum Info")</f>
        <v>0</v>
      </c>
      <c r="T259" s="1">
        <v>4115144</v>
      </c>
      <c r="U259" s="1">
        <v>0</v>
      </c>
      <c r="V259" s="1" t="s">
        <v>869</v>
      </c>
      <c r="W259" s="1" t="s">
        <v>873</v>
      </c>
      <c r="X259" s="1" t="s">
        <v>889</v>
      </c>
      <c r="AH259" s="1" t="s">
        <v>956</v>
      </c>
      <c r="AJ259" s="1">
        <v>-999999</v>
      </c>
      <c r="AK259" s="1">
        <v>-999999</v>
      </c>
      <c r="AL259" s="1" t="s">
        <v>889</v>
      </c>
      <c r="AM259" s="1">
        <v>0</v>
      </c>
      <c r="AO259" s="1" t="s">
        <v>1025</v>
      </c>
      <c r="AR259" s="1" t="s">
        <v>1025</v>
      </c>
      <c r="AS259" s="1">
        <v>0</v>
      </c>
      <c r="AT259" s="1">
        <v>0</v>
      </c>
      <c r="AU259" s="1">
        <v>0</v>
      </c>
      <c r="AV259" s="1">
        <v>0</v>
      </c>
      <c r="AW259" s="1" t="s">
        <v>1744</v>
      </c>
      <c r="AX259" s="2">
        <f>HYPERLINK("https://water.weather.gov/ahps2/hydrograph.php?wfo=phi&amp;gage=absn4", "AHPS Data")</f>
        <v>0</v>
      </c>
      <c r="AY259" s="2">
        <f>HYPERLINK("https://vdatum.noaa.gov/vdatumweb/api/convert?s_x=-74.52055406&amp;s_y=39.4302698&amp;s_z=0.0&amp;region=chesapeak_delaware&amp;s_h_frame=NAD83_2011&amp;s_coor=geo&amp;s_v_frame=NAVD88&amp;s_v_unit=us_ft&amp;t_h_frame=IGS14&amp;t_coor=geo&amp;t_v_frame=MLLW&amp;t_v_unit=us_ft", "Missing")</f>
        <v>0</v>
      </c>
      <c r="AZ259" s="2">
        <f>HYPERLINK("https://vdatum.noaa.gov/vdatumweb/api/convert?s_x=-74.52055406&amp;s_y=39.4302698&amp;s_z=0.0&amp;region=chesapeak_delaware&amp;s_h_frame=NAD83_2011&amp;s_coor=geo&amp;s_v_frame=NAVD88&amp;s_v_unit=us_ft&amp;t_h_frame=IGS14&amp;t_coor=geo&amp;t_v_frame=MHHW&amp;t_v_unit=us_ft", "Missing")</f>
        <v>0</v>
      </c>
    </row>
    <row r="260" spans="1:52">
      <c r="A260" s="1" t="s">
        <v>284</v>
      </c>
      <c r="B260" s="1" t="s">
        <v>622</v>
      </c>
      <c r="C260" s="1" t="s">
        <v>644</v>
      </c>
      <c r="D260" s="1" t="s">
        <v>652</v>
      </c>
      <c r="E260" s="1" t="s">
        <v>734</v>
      </c>
      <c r="F260" s="1" t="s">
        <v>843</v>
      </c>
      <c r="G260" s="1" t="s">
        <v>854</v>
      </c>
      <c r="H260" s="1" t="s">
        <v>1814</v>
      </c>
      <c r="I260" s="1" t="s">
        <v>1856</v>
      </c>
      <c r="J260" s="1" t="s">
        <v>1949</v>
      </c>
      <c r="K260" s="1" t="s">
        <v>2107</v>
      </c>
      <c r="L260" s="1">
        <v>-75.18030382000001</v>
      </c>
      <c r="M260" s="1">
        <v>39.95663082</v>
      </c>
      <c r="N260" s="1" t="s">
        <v>2208</v>
      </c>
      <c r="O260" s="1" t="s">
        <v>861</v>
      </c>
      <c r="P260" s="1" t="s">
        <v>867</v>
      </c>
      <c r="Q260" s="2">
        <f>HYPERLINK("https://waterdata.usgs.gov/nwis/nwismap/?site_no=01474501&amp;agency_cd=USGS", "Station Info")</f>
        <v>0</v>
      </c>
      <c r="R260" s="2">
        <f>HYPERLINK("https://waterservices.usgs.gov/nwis/site/?site=01474501&amp;format=rdb", "Datum Info")</f>
        <v>0</v>
      </c>
      <c r="T260" s="1">
        <v>4815932</v>
      </c>
      <c r="U260" s="1">
        <v>0</v>
      </c>
      <c r="V260" s="1" t="s">
        <v>869</v>
      </c>
      <c r="W260" s="1" t="s">
        <v>873</v>
      </c>
      <c r="X260" s="1" t="s">
        <v>887</v>
      </c>
      <c r="AF260" s="1" t="s">
        <v>1018</v>
      </c>
      <c r="AJ260" s="1">
        <v>-999999</v>
      </c>
      <c r="AK260" s="1">
        <v>-999999</v>
      </c>
      <c r="AL260" s="1" t="s">
        <v>1608</v>
      </c>
      <c r="AN260" s="1" t="s">
        <v>1025</v>
      </c>
      <c r="AS260" s="1">
        <v>5</v>
      </c>
      <c r="AT260" s="1">
        <v>9</v>
      </c>
      <c r="AU260" s="1">
        <v>11</v>
      </c>
      <c r="AV260" s="1">
        <v>14</v>
      </c>
      <c r="AW260" s="1" t="s">
        <v>1744</v>
      </c>
      <c r="AX260" s="2">
        <f>HYPERLINK("https://water.weather.gov/ahps2/hydrograph.php?wfo=phi&amp;gage=phdp1", "AHPS Data")</f>
        <v>0</v>
      </c>
      <c r="AY260" s="2">
        <f>HYPERLINK("https://vdatum.noaa.gov/vdatumweb/api/convert?s_x=-75.18030382&amp;s_y=39.95663082&amp;s_z=0.0&amp;region=chesapeak_delaware&amp;s_h_frame=NAD83_2011&amp;s_coor=geo&amp;s_v_frame=NAVD88&amp;s_v_unit=us_ft&amp;t_h_frame=IGS14&amp;t_coor=geo&amp;t_v_frame=MLLW&amp;t_v_unit=us_ft", "Missing")</f>
        <v>0</v>
      </c>
      <c r="AZ260" s="2">
        <f>HYPERLINK("https://vdatum.noaa.gov/vdatumweb/api/convert?s_x=-75.18030382&amp;s_y=39.95663082&amp;s_z=0.0&amp;region=chesapeak_delaware&amp;s_h_frame=NAD83_2011&amp;s_coor=geo&amp;s_v_frame=NAVD88&amp;s_v_unit=us_ft&amp;t_h_frame=IGS14&amp;t_coor=geo&amp;t_v_frame=MHHW&amp;t_v_unit=us_ft", "Missing")</f>
        <v>0</v>
      </c>
    </row>
    <row r="261" spans="1:52">
      <c r="A261" s="1" t="s">
        <v>285</v>
      </c>
      <c r="B261" s="1" t="s">
        <v>623</v>
      </c>
      <c r="D261" s="1" t="s">
        <v>653</v>
      </c>
      <c r="L261" s="1">
        <v>-157.832</v>
      </c>
      <c r="M261" s="1">
        <v>21.2882</v>
      </c>
      <c r="N261" s="1" t="s">
        <v>859</v>
      </c>
      <c r="O261" s="1" t="s">
        <v>861</v>
      </c>
      <c r="P261" s="1" t="s">
        <v>859</v>
      </c>
      <c r="T261" s="1">
        <v>437478</v>
      </c>
      <c r="U261" s="1">
        <v>0</v>
      </c>
      <c r="V261" s="1" t="s">
        <v>870</v>
      </c>
      <c r="W261" s="1" t="s">
        <v>875</v>
      </c>
      <c r="AJ261" s="1">
        <v>-999999</v>
      </c>
      <c r="AK261" s="1">
        <v>-999999</v>
      </c>
      <c r="AY261" s="2">
        <f>HYPERLINK("https://vdatum.noaa.gov/vdatumweb/api/convert?s_x=-157.832&amp;s_y=21.2882&amp;s_z=0.0&amp;region=hi&amp;s_h_frame=None&amp;s_coor=geo&amp;s_v_frame=LMSL&amp;s_v_unit=us_ft&amp;t_h_frame=None&amp;t_coor=geo&amp;t_v_frame=MLLW&amp;t_v_unit=us_ft", "Error")</f>
        <v>0</v>
      </c>
      <c r="AZ261" s="2">
        <f>HYPERLINK("https://vdatum.noaa.gov/vdatumweb/api/convert?s_x=-157.832&amp;s_y=21.2882&amp;s_z=0.0&amp;region=hi&amp;s_h_frame=None&amp;s_coor=geo&amp;s_v_frame=LMSL&amp;s_v_unit=us_ft&amp;t_h_frame=None&amp;t_coor=geo&amp;t_v_frame=MHHW&amp;t_v_unit=us_ft", "Error")</f>
        <v>0</v>
      </c>
    </row>
    <row r="262" spans="1:52">
      <c r="A262" s="1" t="s">
        <v>286</v>
      </c>
      <c r="B262" s="1" t="s">
        <v>623</v>
      </c>
      <c r="C262" s="1" t="s">
        <v>647</v>
      </c>
      <c r="D262" s="1" t="s">
        <v>653</v>
      </c>
      <c r="E262" s="1" t="s">
        <v>740</v>
      </c>
      <c r="F262" s="1" t="s">
        <v>845</v>
      </c>
      <c r="G262" s="1" t="s">
        <v>855</v>
      </c>
      <c r="L262" s="1">
        <v>-158.1035</v>
      </c>
      <c r="M262" s="1">
        <v>21.5936</v>
      </c>
      <c r="N262" s="1" t="s">
        <v>859</v>
      </c>
      <c r="O262" s="1" t="s">
        <v>861</v>
      </c>
      <c r="P262" s="1" t="s">
        <v>859</v>
      </c>
      <c r="T262" s="1">
        <v>777883</v>
      </c>
      <c r="U262" s="1">
        <v>0</v>
      </c>
      <c r="V262" s="1" t="s">
        <v>870</v>
      </c>
      <c r="W262" s="1" t="s">
        <v>875</v>
      </c>
      <c r="AJ262" s="1">
        <v>-999999</v>
      </c>
      <c r="AK262" s="1">
        <v>-999999</v>
      </c>
      <c r="AY262" s="2">
        <f>HYPERLINK("https://vdatum.noaa.gov/vdatumweb/api/convert?s_x=-158.1035&amp;s_y=21.5936&amp;s_z=0.0&amp;region=hi&amp;s_h_frame=None&amp;s_coor=geo&amp;s_v_frame=LMSL&amp;s_v_unit=us_ft&amp;t_h_frame=None&amp;t_coor=geo&amp;t_v_frame=MLLW&amp;t_v_unit=us_ft", "Error")</f>
        <v>0</v>
      </c>
      <c r="AZ262" s="2">
        <f>HYPERLINK("https://vdatum.noaa.gov/vdatumweb/api/convert?s_x=-158.1035&amp;s_y=21.5936&amp;s_z=0.0&amp;region=hi&amp;s_h_frame=None&amp;s_coor=geo&amp;s_v_frame=LMSL&amp;s_v_unit=us_ft&amp;t_h_frame=None&amp;t_coor=geo&amp;t_v_frame=MHHW&amp;t_v_unit=us_ft", "Error")</f>
        <v>0</v>
      </c>
    </row>
    <row r="263" spans="1:52">
      <c r="A263" s="1" t="s">
        <v>287</v>
      </c>
      <c r="B263" s="1" t="s">
        <v>623</v>
      </c>
      <c r="C263" s="1" t="s">
        <v>647</v>
      </c>
      <c r="D263" s="1" t="s">
        <v>653</v>
      </c>
      <c r="E263" s="1" t="s">
        <v>740</v>
      </c>
      <c r="F263" s="1" t="s">
        <v>845</v>
      </c>
      <c r="G263" s="1" t="s">
        <v>855</v>
      </c>
      <c r="L263" s="1">
        <v>-157.8937</v>
      </c>
      <c r="M263" s="1">
        <v>21.3354</v>
      </c>
      <c r="N263" s="1" t="s">
        <v>859</v>
      </c>
      <c r="O263" s="1" t="s">
        <v>861</v>
      </c>
      <c r="P263" s="1" t="s">
        <v>859</v>
      </c>
      <c r="T263" s="1">
        <v>364386</v>
      </c>
      <c r="U263" s="1">
        <v>0</v>
      </c>
      <c r="V263" s="1" t="s">
        <v>870</v>
      </c>
      <c r="W263" s="1" t="s">
        <v>875</v>
      </c>
      <c r="AJ263" s="1">
        <v>-999999</v>
      </c>
      <c r="AK263" s="1">
        <v>-999999</v>
      </c>
      <c r="AY263" s="2">
        <f>HYPERLINK("https://vdatum.noaa.gov/vdatumweb/api/convert?s_x=-157.8937&amp;s_y=21.3354&amp;s_z=0.0&amp;region=hi&amp;s_h_frame=None&amp;s_coor=geo&amp;s_v_frame=LMSL&amp;s_v_unit=us_ft&amp;t_h_frame=None&amp;t_coor=geo&amp;t_v_frame=MLLW&amp;t_v_unit=us_ft", "Error")</f>
        <v>0</v>
      </c>
      <c r="AZ263" s="2">
        <f>HYPERLINK("https://vdatum.noaa.gov/vdatumweb/api/convert?s_x=-157.8937&amp;s_y=21.3354&amp;s_z=0.0&amp;region=hi&amp;s_h_frame=None&amp;s_coor=geo&amp;s_v_frame=LMSL&amp;s_v_unit=us_ft&amp;t_h_frame=None&amp;t_coor=geo&amp;t_v_frame=MHHW&amp;t_v_unit=us_ft", "Error")</f>
        <v>0</v>
      </c>
    </row>
    <row r="264" spans="1:52">
      <c r="A264" s="1" t="s">
        <v>288</v>
      </c>
      <c r="B264" s="1" t="s">
        <v>623</v>
      </c>
      <c r="C264" s="1" t="s">
        <v>647</v>
      </c>
      <c r="D264" s="1" t="s">
        <v>653</v>
      </c>
      <c r="E264" s="1" t="s">
        <v>740</v>
      </c>
      <c r="F264" s="1" t="s">
        <v>845</v>
      </c>
      <c r="G264" s="1" t="s">
        <v>855</v>
      </c>
      <c r="L264" s="1">
        <v>-158.1052</v>
      </c>
      <c r="M264" s="1">
        <v>21.5798</v>
      </c>
      <c r="N264" s="1" t="s">
        <v>859</v>
      </c>
      <c r="O264" s="1" t="s">
        <v>861</v>
      </c>
      <c r="P264" s="1" t="s">
        <v>859</v>
      </c>
      <c r="T264" s="1">
        <v>732671</v>
      </c>
      <c r="U264" s="1">
        <v>0</v>
      </c>
      <c r="V264" s="1" t="s">
        <v>870</v>
      </c>
      <c r="W264" s="1" t="s">
        <v>875</v>
      </c>
      <c r="AJ264" s="1">
        <v>-999999</v>
      </c>
      <c r="AK264" s="1">
        <v>-999999</v>
      </c>
      <c r="AY264" s="2">
        <f>HYPERLINK("https://vdatum.noaa.gov/vdatumweb/api/convert?s_x=-158.1052&amp;s_y=21.5798&amp;s_z=0.0&amp;region=hi&amp;s_h_frame=None&amp;s_coor=geo&amp;s_v_frame=LMSL&amp;s_v_unit=us_ft&amp;t_h_frame=None&amp;t_coor=geo&amp;t_v_frame=MLLW&amp;t_v_unit=us_ft", "Error")</f>
        <v>0</v>
      </c>
      <c r="AZ264" s="2">
        <f>HYPERLINK("https://vdatum.noaa.gov/vdatumweb/api/convert?s_x=-158.1052&amp;s_y=21.5798&amp;s_z=0.0&amp;region=hi&amp;s_h_frame=None&amp;s_coor=geo&amp;s_v_frame=LMSL&amp;s_v_unit=us_ft&amp;t_h_frame=None&amp;t_coor=geo&amp;t_v_frame=MHHW&amp;t_v_unit=us_ft", "Error")</f>
        <v>0</v>
      </c>
    </row>
    <row r="265" spans="1:52">
      <c r="A265" s="1" t="s">
        <v>289</v>
      </c>
      <c r="B265" s="1" t="s">
        <v>623</v>
      </c>
      <c r="C265" s="1" t="s">
        <v>647</v>
      </c>
      <c r="D265" s="1" t="s">
        <v>653</v>
      </c>
      <c r="E265" s="1" t="s">
        <v>741</v>
      </c>
      <c r="F265" s="1" t="s">
        <v>845</v>
      </c>
      <c r="G265" s="1" t="s">
        <v>855</v>
      </c>
      <c r="L265" s="1">
        <v>-159.3389</v>
      </c>
      <c r="M265" s="1">
        <v>22.046</v>
      </c>
      <c r="N265" s="1" t="s">
        <v>859</v>
      </c>
      <c r="O265" s="1" t="s">
        <v>861</v>
      </c>
      <c r="P265" s="1" t="s">
        <v>859</v>
      </c>
      <c r="T265" s="1">
        <v>806205</v>
      </c>
      <c r="U265" s="1">
        <v>0</v>
      </c>
      <c r="V265" s="1" t="s">
        <v>870</v>
      </c>
      <c r="W265" s="1" t="s">
        <v>875</v>
      </c>
      <c r="AJ265" s="1">
        <v>-999999</v>
      </c>
      <c r="AK265" s="1">
        <v>-999999</v>
      </c>
      <c r="AY265" s="2">
        <f>HYPERLINK("https://vdatum.noaa.gov/vdatumweb/api/convert?s_x=-159.3389&amp;s_y=22.046&amp;s_z=0.0&amp;region=hi&amp;s_h_frame=None&amp;s_coor=geo&amp;s_v_frame=LMSL&amp;s_v_unit=us_ft&amp;t_h_frame=None&amp;t_coor=geo&amp;t_v_frame=MLLW&amp;t_v_unit=us_ft", "Error")</f>
        <v>0</v>
      </c>
      <c r="AZ265" s="2">
        <f>HYPERLINK("https://vdatum.noaa.gov/vdatumweb/api/convert?s_x=-159.3389&amp;s_y=22.046&amp;s_z=0.0&amp;region=hi&amp;s_h_frame=None&amp;s_coor=geo&amp;s_v_frame=LMSL&amp;s_v_unit=us_ft&amp;t_h_frame=None&amp;t_coor=geo&amp;t_v_frame=MHHW&amp;t_v_unit=us_ft", "Error")</f>
        <v>0</v>
      </c>
    </row>
    <row r="266" spans="1:52">
      <c r="A266" s="1" t="s">
        <v>290</v>
      </c>
      <c r="B266" s="1" t="s">
        <v>624</v>
      </c>
      <c r="D266" s="1" t="s">
        <v>654</v>
      </c>
      <c r="E266" s="1" t="s">
        <v>742</v>
      </c>
      <c r="F266" s="1" t="s">
        <v>846</v>
      </c>
      <c r="G266" s="1" t="s">
        <v>856</v>
      </c>
      <c r="L266" s="1">
        <v>-97.28530000000001</v>
      </c>
      <c r="M266" s="1">
        <v>26.2625</v>
      </c>
      <c r="N266" s="1">
        <v>8779280</v>
      </c>
      <c r="O266" s="1" t="s">
        <v>861</v>
      </c>
      <c r="P266" s="1" t="s">
        <v>866</v>
      </c>
      <c r="Q266" s="2">
        <f>HYPERLINK("https://tidesandcurrents.noaa.gov/stationhome.html?id=8779280", "Station Info")</f>
        <v>0</v>
      </c>
      <c r="R266" s="2">
        <f>HYPERLINK("https://tidesandcurrents.noaa.gov/datums.html?datum=MLLW&amp;units=0&amp;epoch=0&amp;id=8779280", "Datum Info")</f>
        <v>0</v>
      </c>
      <c r="S266" s="2">
        <f>HYPERLINK("https://api.tidesandcurrents.noaa.gov/mdapi/prod/webapi/stations/8779280.json", "More Info")</f>
        <v>0</v>
      </c>
      <c r="T266" s="1">
        <v>3556046</v>
      </c>
      <c r="U266" s="1">
        <v>-0.003</v>
      </c>
      <c r="V266" s="1" t="s">
        <v>869</v>
      </c>
      <c r="W266" s="1" t="s">
        <v>874</v>
      </c>
      <c r="X266" s="1" t="s">
        <v>886</v>
      </c>
      <c r="Y266" s="1">
        <v>0.5600000000000001</v>
      </c>
      <c r="Z266" s="1">
        <v>0.55</v>
      </c>
      <c r="AA266" s="1">
        <v>0.29</v>
      </c>
      <c r="AB266" s="1">
        <v>0.31</v>
      </c>
      <c r="AC266" s="1" t="s">
        <v>930</v>
      </c>
      <c r="AD266" s="1">
        <v>0.02</v>
      </c>
      <c r="AE266" s="1">
        <v>0</v>
      </c>
      <c r="AF266" s="1" t="s">
        <v>1019</v>
      </c>
      <c r="AG266" s="1">
        <v>-15.62</v>
      </c>
      <c r="AH266" s="1" t="s">
        <v>1208</v>
      </c>
      <c r="AI266" s="1" t="s">
        <v>1475</v>
      </c>
      <c r="AJ266" s="1">
        <v>0.29</v>
      </c>
      <c r="AK266" s="1">
        <v>-0.24</v>
      </c>
      <c r="AY266" s="2">
        <f>HYPERLINK("https://vdatum.noaa.gov/vdatumweb/api/convert?s_x=-97.2853&amp;s_y=26.2625&amp;s_z=0.0&amp;region=contiguous&amp;s_h_frame=NAD83_2011&amp;s_coor=geo&amp;s_v_frame=NAVD88&amp;s_v_unit=us_ft&amp;t_h_frame=NAD83_2011&amp;t_coor=geo&amp;t_v_frame=MLLW&amp;t_v_unit=us_ft", "NAVD88 to MLLW")</f>
        <v>0</v>
      </c>
      <c r="AZ266" s="2">
        <f>HYPERLINK("https://vdatum.noaa.gov/vdatumweb/api/convert?s_x=-97.2853&amp;s_y=26.2625&amp;s_z=0.0&amp;region=contiguous&amp;s_h_frame=NAD83_2011&amp;s_coor=geo&amp;s_v_frame=NAVD88&amp;s_v_unit=us_ft&amp;t_h_frame=NAD83_2011&amp;t_coor=geo&amp;t_v_frame=MHHW&amp;t_v_unit=us_ft", "NAVD88 to MHHW")</f>
        <v>0</v>
      </c>
    </row>
    <row r="267" spans="1:52">
      <c r="A267" s="1" t="s">
        <v>291</v>
      </c>
      <c r="B267" s="1" t="s">
        <v>624</v>
      </c>
      <c r="D267" s="1" t="s">
        <v>654</v>
      </c>
      <c r="L267" s="1">
        <v>-97.1669</v>
      </c>
      <c r="M267" s="1">
        <v>26.07247</v>
      </c>
      <c r="N267" s="1">
        <v>8779748</v>
      </c>
      <c r="O267" s="1" t="s">
        <v>861</v>
      </c>
      <c r="P267" s="1" t="s">
        <v>866</v>
      </c>
      <c r="Q267" s="2">
        <f>HYPERLINK("https://tidesandcurrents.noaa.gov/stationhome.html?id=8779748", "Station Info")</f>
        <v>0</v>
      </c>
      <c r="R267" s="2">
        <f>HYPERLINK("https://tidesandcurrents.noaa.gov/datums.html?datum=MLLW&amp;units=0&amp;epoch=0&amp;id=8779748", "Datum Info")</f>
        <v>0</v>
      </c>
      <c r="S267" s="2">
        <f>HYPERLINK("https://api.tidesandcurrents.noaa.gov/mdapi/prod/webapi/stations/8779748.json", "More Info")</f>
        <v>0</v>
      </c>
      <c r="T267" s="1">
        <v>2191017</v>
      </c>
      <c r="U267" s="1">
        <v>0</v>
      </c>
      <c r="V267" s="1" t="s">
        <v>869</v>
      </c>
      <c r="W267" s="1" t="s">
        <v>874</v>
      </c>
      <c r="X267" s="1" t="s">
        <v>886</v>
      </c>
      <c r="Y267" s="1">
        <v>1.37</v>
      </c>
      <c r="Z267" s="1">
        <v>1.31</v>
      </c>
      <c r="AA267" s="1">
        <v>0.73</v>
      </c>
      <c r="AB267" s="1">
        <v>0.8100000000000001</v>
      </c>
      <c r="AC267" s="1">
        <v>0.68</v>
      </c>
      <c r="AD267" s="1">
        <v>0.14</v>
      </c>
      <c r="AE267" s="1">
        <v>0</v>
      </c>
      <c r="AF267" s="1">
        <v>0.93</v>
      </c>
      <c r="AG267" s="1">
        <v>-3.63</v>
      </c>
      <c r="AH267" s="1" t="s">
        <v>1209</v>
      </c>
      <c r="AI267" s="1" t="s">
        <v>1476</v>
      </c>
      <c r="AJ267" s="1">
        <v>1.055</v>
      </c>
      <c r="AK267" s="1">
        <v>-0.341</v>
      </c>
      <c r="AY267" s="2">
        <f>HYPERLINK("https://vdatum.noaa.gov/vdatumweb/api/convert?s_x=-97.1669&amp;s_y=26.07247&amp;s_z=0.0&amp;region=contiguous&amp;s_h_frame=NAD83_2011&amp;s_coor=geo&amp;s_v_frame=NAVD88&amp;s_v_unit=us_ft&amp;t_h_frame=NAD83_2011&amp;t_coor=geo&amp;t_v_frame=MLLW&amp;t_v_unit=us_ft", "NAVD88 to MLLW")</f>
        <v>0</v>
      </c>
      <c r="AZ267" s="2">
        <f>HYPERLINK("https://vdatum.noaa.gov/vdatumweb/api/convert?s_x=-97.1669&amp;s_y=26.07247&amp;s_z=0.0&amp;region=contiguous&amp;s_h_frame=NAD83_2011&amp;s_coor=geo&amp;s_v_frame=NAVD88&amp;s_v_unit=us_ft&amp;t_h_frame=NAD83_2011&amp;t_coor=geo&amp;t_v_frame=MHHW&amp;t_v_unit=us_ft", "NAVD88 to MHHW")</f>
        <v>0</v>
      </c>
    </row>
    <row r="268" spans="1:52">
      <c r="A268" s="1" t="s">
        <v>292</v>
      </c>
      <c r="B268" s="1" t="s">
        <v>624</v>
      </c>
      <c r="C268" s="1" t="s">
        <v>648</v>
      </c>
      <c r="D268" s="1" t="s">
        <v>654</v>
      </c>
      <c r="L268" s="1">
        <v>-97.15470000000001</v>
      </c>
      <c r="M268" s="1">
        <v>26.0675</v>
      </c>
      <c r="N268" s="1">
        <v>8779749</v>
      </c>
      <c r="O268" s="1" t="s">
        <v>861</v>
      </c>
      <c r="P268" s="1" t="s">
        <v>866</v>
      </c>
      <c r="Q268" s="2">
        <f>HYPERLINK("https://tidesandcurrents.noaa.gov/stationhome.html?id=8779749", "Station Info")</f>
        <v>0</v>
      </c>
      <c r="R268" s="2">
        <f>HYPERLINK("https://tidesandcurrents.noaa.gov/datums.html?datum=MLLW&amp;units=0&amp;epoch=0&amp;id=8779749", "Datum Info")</f>
        <v>0</v>
      </c>
      <c r="S268" s="2">
        <f>HYPERLINK("https://api.tidesandcurrents.noaa.gov/mdapi/prod/webapi/stations/8779749.json", "More Info")</f>
        <v>0</v>
      </c>
      <c r="T268" s="1">
        <v>1648719</v>
      </c>
      <c r="U268" s="1">
        <v>0</v>
      </c>
      <c r="V268" s="1" t="s">
        <v>869</v>
      </c>
      <c r="W268" s="1" t="s">
        <v>874</v>
      </c>
      <c r="X268" s="1" t="s">
        <v>886</v>
      </c>
      <c r="Y268" s="1">
        <v>1.47</v>
      </c>
      <c r="Z268" s="1">
        <v>1.41</v>
      </c>
      <c r="AA268" s="1">
        <v>0.79</v>
      </c>
      <c r="AB268" s="1">
        <v>0.87</v>
      </c>
      <c r="AC268" s="1">
        <v>0.74</v>
      </c>
      <c r="AD268" s="1">
        <v>0.17</v>
      </c>
      <c r="AE268" s="1">
        <v>0</v>
      </c>
      <c r="AF268" s="1">
        <v>1.23</v>
      </c>
      <c r="AG268" s="1">
        <v>-24.24</v>
      </c>
      <c r="AH268" s="1" t="s">
        <v>1087</v>
      </c>
      <c r="AI268" s="1" t="s">
        <v>1477</v>
      </c>
      <c r="AJ268" s="1">
        <v>0.916</v>
      </c>
      <c r="AK268" s="1">
        <v>-0.62</v>
      </c>
      <c r="AY268" s="2">
        <f>HYPERLINK("https://vdatum.noaa.gov/vdatumweb/api/convert?s_x=-97.1547&amp;s_y=26.0675&amp;s_z=0.0&amp;region=contiguous&amp;s_h_frame=NAD83_2011&amp;s_coor=geo&amp;s_v_frame=NAVD88&amp;s_v_unit=us_ft&amp;t_h_frame=NAD83_2011&amp;t_coor=geo&amp;t_v_frame=MLLW&amp;t_v_unit=us_ft", "NAVD88 to MLLW")</f>
        <v>0</v>
      </c>
      <c r="AZ268" s="2">
        <f>HYPERLINK("https://vdatum.noaa.gov/vdatumweb/api/convert?s_x=-97.1547&amp;s_y=26.0675&amp;s_z=0.0&amp;region=contiguous&amp;s_h_frame=NAD83_2011&amp;s_coor=geo&amp;s_v_frame=NAVD88&amp;s_v_unit=us_ft&amp;t_h_frame=NAD83_2011&amp;t_coor=geo&amp;t_v_frame=MHHW&amp;t_v_unit=us_ft", "NAVD88 to MHHW")</f>
        <v>0</v>
      </c>
    </row>
    <row r="269" spans="1:52">
      <c r="A269" s="1" t="s">
        <v>293</v>
      </c>
      <c r="B269" s="1" t="s">
        <v>624</v>
      </c>
      <c r="C269" s="1" t="s">
        <v>648</v>
      </c>
      <c r="D269" s="1" t="s">
        <v>654</v>
      </c>
      <c r="L269" s="1">
        <v>-97.1567</v>
      </c>
      <c r="M269" s="1">
        <v>26.0683</v>
      </c>
      <c r="N269" s="1">
        <v>8779750</v>
      </c>
      <c r="O269" s="1" t="s">
        <v>861</v>
      </c>
      <c r="P269" s="1" t="s">
        <v>866</v>
      </c>
      <c r="Q269" s="2">
        <f>HYPERLINK("https://tidesandcurrents.noaa.gov/stationhome.html?id=8779750", "Station Info")</f>
        <v>0</v>
      </c>
      <c r="R269" s="2">
        <f>HYPERLINK("https://tidesandcurrents.noaa.gov/datums.html?datum=MLLW&amp;units=0&amp;epoch=0&amp;id=8779750", "Datum Info")</f>
        <v>0</v>
      </c>
      <c r="S269" s="2">
        <f>HYPERLINK("https://api.tidesandcurrents.noaa.gov/mdapi/prod/webapi/stations/8779750.json", "More Info")</f>
        <v>0</v>
      </c>
      <c r="T269" s="1">
        <v>2191023</v>
      </c>
      <c r="U269" s="1">
        <v>0</v>
      </c>
      <c r="V269" s="1" t="s">
        <v>869</v>
      </c>
      <c r="W269" s="1" t="s">
        <v>874</v>
      </c>
      <c r="X269" s="1" t="s">
        <v>886</v>
      </c>
      <c r="Y269" s="1">
        <v>1.48</v>
      </c>
      <c r="Z269" s="1">
        <v>1.42</v>
      </c>
      <c r="AA269" s="1">
        <v>0.79</v>
      </c>
      <c r="AB269" s="1">
        <v>0.88</v>
      </c>
      <c r="AC269" s="1">
        <v>0.74</v>
      </c>
      <c r="AD269" s="1">
        <v>0.17</v>
      </c>
      <c r="AE269" s="1">
        <v>0</v>
      </c>
      <c r="AF269" s="1">
        <v>0.9</v>
      </c>
      <c r="AG269" s="1">
        <v>-1.9</v>
      </c>
      <c r="AH269" s="1" t="s">
        <v>1210</v>
      </c>
      <c r="AI269" s="1" t="s">
        <v>1478</v>
      </c>
      <c r="AJ269" s="1">
        <v>0.899</v>
      </c>
      <c r="AK269" s="1">
        <v>-0.579</v>
      </c>
      <c r="AY269" s="2">
        <f>HYPERLINK("https://vdatum.noaa.gov/vdatumweb/api/convert?s_x=-97.1567&amp;s_y=26.0683&amp;s_z=0.0&amp;region=contiguous&amp;s_h_frame=NAD83_2011&amp;s_coor=geo&amp;s_v_frame=NAVD88&amp;s_v_unit=us_ft&amp;t_h_frame=NAD83_2011&amp;t_coor=geo&amp;t_v_frame=MLLW&amp;t_v_unit=us_ft", "NAVD88 to MLLW")</f>
        <v>0</v>
      </c>
      <c r="AZ269" s="2">
        <f>HYPERLINK("https://vdatum.noaa.gov/vdatumweb/api/convert?s_x=-97.1567&amp;s_y=26.0683&amp;s_z=0.0&amp;region=contiguous&amp;s_h_frame=NAD83_2011&amp;s_coor=geo&amp;s_v_frame=NAVD88&amp;s_v_unit=us_ft&amp;t_h_frame=NAD83_2011&amp;t_coor=geo&amp;t_v_frame=MHHW&amp;t_v_unit=us_ft", "NAVD88 to MHHW")</f>
        <v>0</v>
      </c>
    </row>
    <row r="270" spans="1:52">
      <c r="A270" s="1" t="s">
        <v>294</v>
      </c>
      <c r="B270" s="1" t="s">
        <v>624</v>
      </c>
      <c r="D270" s="1" t="s">
        <v>654</v>
      </c>
      <c r="E270" s="1" t="s">
        <v>742</v>
      </c>
      <c r="F270" s="1" t="s">
        <v>846</v>
      </c>
      <c r="G270" s="1" t="s">
        <v>856</v>
      </c>
      <c r="L270" s="1">
        <v>-97.21550000000001</v>
      </c>
      <c r="M270" s="1">
        <v>26.06117</v>
      </c>
      <c r="N270" s="1">
        <v>8779770</v>
      </c>
      <c r="O270" s="1" t="s">
        <v>861</v>
      </c>
      <c r="P270" s="1" t="s">
        <v>866</v>
      </c>
      <c r="Q270" s="2">
        <f>HYPERLINK("https://tidesandcurrents.noaa.gov/stationhome.html?id=8779770", "Station Info")</f>
        <v>0</v>
      </c>
      <c r="R270" s="2">
        <f>HYPERLINK("https://tidesandcurrents.noaa.gov/datums.html?datum=MLLW&amp;units=0&amp;epoch=0&amp;id=8779770", "Datum Info")</f>
        <v>0</v>
      </c>
      <c r="S270" s="2">
        <f>HYPERLINK("https://api.tidesandcurrents.noaa.gov/mdapi/prod/webapi/stations/8779770.json", "More Info")</f>
        <v>0</v>
      </c>
      <c r="T270" s="1">
        <v>5919942</v>
      </c>
      <c r="U270" s="1">
        <v>0</v>
      </c>
      <c r="V270" s="1" t="s">
        <v>869</v>
      </c>
      <c r="W270" s="1" t="s">
        <v>874</v>
      </c>
      <c r="X270" s="1" t="s">
        <v>886</v>
      </c>
      <c r="Y270" s="1">
        <v>1.37</v>
      </c>
      <c r="Z270" s="1">
        <v>1.31</v>
      </c>
      <c r="AA270" s="1">
        <v>0.73</v>
      </c>
      <c r="AB270" s="1">
        <v>0.8100000000000001</v>
      </c>
      <c r="AC270" s="1">
        <v>0.68</v>
      </c>
      <c r="AD270" s="1">
        <v>0.16</v>
      </c>
      <c r="AE270" s="1">
        <v>0</v>
      </c>
      <c r="AF270" s="1">
        <v>0.85</v>
      </c>
      <c r="AG270" s="1">
        <v>-3.86</v>
      </c>
      <c r="AH270" s="1" t="s">
        <v>1211</v>
      </c>
      <c r="AI270" s="1" t="s">
        <v>1479</v>
      </c>
      <c r="AJ270" s="1">
        <v>0.842</v>
      </c>
      <c r="AK270" s="1">
        <v>-0.517</v>
      </c>
      <c r="AY270" s="2">
        <f>HYPERLINK("https://vdatum.noaa.gov/vdatumweb/api/convert?s_x=-97.2155&amp;s_y=26.06117&amp;s_z=0.0&amp;region=contiguous&amp;s_h_frame=NAD83_2011&amp;s_coor=geo&amp;s_v_frame=NAVD88&amp;s_v_unit=us_ft&amp;t_h_frame=NAD83_2011&amp;t_coor=geo&amp;t_v_frame=MLLW&amp;t_v_unit=us_ft", "NAVD88 to MLLW")</f>
        <v>0</v>
      </c>
      <c r="AZ270" s="2">
        <f>HYPERLINK("https://vdatum.noaa.gov/vdatumweb/api/convert?s_x=-97.2155&amp;s_y=26.06117&amp;s_z=0.0&amp;region=contiguous&amp;s_h_frame=NAD83_2011&amp;s_coor=geo&amp;s_v_frame=NAVD88&amp;s_v_unit=us_ft&amp;t_h_frame=NAD83_2011&amp;t_coor=geo&amp;t_v_frame=MHHW&amp;t_v_unit=us_ft", "NAVD88 to MHHW")</f>
        <v>0</v>
      </c>
    </row>
    <row r="271" spans="1:52">
      <c r="A271" s="1" t="s">
        <v>295</v>
      </c>
      <c r="B271" s="1" t="s">
        <v>624</v>
      </c>
      <c r="D271" s="1" t="s">
        <v>654</v>
      </c>
      <c r="L271" s="1">
        <v>-97.33029999999999</v>
      </c>
      <c r="M271" s="1">
        <v>26.3616</v>
      </c>
      <c r="N271" s="1" t="s">
        <v>859</v>
      </c>
      <c r="O271" s="1" t="s">
        <v>861</v>
      </c>
      <c r="P271" s="1" t="s">
        <v>859</v>
      </c>
      <c r="T271" s="1">
        <v>4324743</v>
      </c>
      <c r="U271" s="1">
        <v>0</v>
      </c>
      <c r="V271" s="1" t="s">
        <v>869</v>
      </c>
      <c r="W271" s="1" t="s">
        <v>874</v>
      </c>
      <c r="AJ271" s="1">
        <v>-0.022</v>
      </c>
      <c r="AK271" s="1">
        <v>-0.022</v>
      </c>
      <c r="AY271" s="2">
        <f>HYPERLINK("https://vdatum.noaa.gov/vdatumweb/api/convert?s_x=-97.3303&amp;s_y=26.3616&amp;s_z=0.0&amp;region=contiguous&amp;s_h_frame=NAD83_2011&amp;s_coor=geo&amp;s_v_frame=NAVD88&amp;s_v_unit=us_ft&amp;t_h_frame=NAD83_2011&amp;t_coor=geo&amp;t_v_frame=MLLW&amp;t_v_unit=us_ft", "NAVD88 to MLLW")</f>
        <v>0</v>
      </c>
      <c r="AZ271" s="2">
        <f>HYPERLINK("https://vdatum.noaa.gov/vdatumweb/api/convert?s_x=-97.3303&amp;s_y=26.3616&amp;s_z=0.0&amp;region=contiguous&amp;s_h_frame=NAD83_2011&amp;s_coor=geo&amp;s_v_frame=NAVD88&amp;s_v_unit=us_ft&amp;t_h_frame=NAD83_2011&amp;t_coor=geo&amp;t_v_frame=MHHW&amp;t_v_unit=us_ft", "NAVD88 to MHHW")</f>
        <v>0</v>
      </c>
    </row>
    <row r="272" spans="1:52">
      <c r="A272" s="1" t="s">
        <v>296</v>
      </c>
      <c r="B272" s="1" t="s">
        <v>624</v>
      </c>
      <c r="D272" s="1" t="s">
        <v>654</v>
      </c>
      <c r="L272" s="1">
        <v>-97.26860000000001</v>
      </c>
      <c r="M272" s="1">
        <v>26.5639</v>
      </c>
      <c r="N272" s="1" t="s">
        <v>859</v>
      </c>
      <c r="O272" s="1" t="s">
        <v>861</v>
      </c>
      <c r="P272" s="1" t="s">
        <v>859</v>
      </c>
      <c r="T272" s="1">
        <v>1648681</v>
      </c>
      <c r="U272" s="1">
        <v>0</v>
      </c>
      <c r="V272" s="1" t="s">
        <v>869</v>
      </c>
      <c r="W272" s="1" t="s">
        <v>874</v>
      </c>
      <c r="AJ272" s="1">
        <v>0.732</v>
      </c>
      <c r="AK272" s="1">
        <v>-0.89</v>
      </c>
      <c r="AY272" s="2">
        <f>HYPERLINK("https://vdatum.noaa.gov/vdatumweb/api/convert?s_x=-97.2686&amp;s_y=26.5639&amp;s_z=0.0&amp;region=contiguous&amp;s_h_frame=NAD83_2011&amp;s_coor=geo&amp;s_v_frame=NAVD88&amp;s_v_unit=us_ft&amp;t_h_frame=NAD83_2011&amp;t_coor=geo&amp;t_v_frame=MLLW&amp;t_v_unit=us_ft", "NAVD88 to MLLW")</f>
        <v>0</v>
      </c>
      <c r="AZ272" s="2">
        <f>HYPERLINK("https://vdatum.noaa.gov/vdatumweb/api/convert?s_x=-97.2686&amp;s_y=26.5639&amp;s_z=0.0&amp;region=contiguous&amp;s_h_frame=NAD83_2011&amp;s_coor=geo&amp;s_v_frame=NAVD88&amp;s_v_unit=us_ft&amp;t_h_frame=NAD83_2011&amp;t_coor=geo&amp;t_v_frame=MHHW&amp;t_v_unit=us_ft", "NAVD88 to MHHW")</f>
        <v>0</v>
      </c>
    </row>
    <row r="273" spans="1:52">
      <c r="A273" s="1" t="s">
        <v>297</v>
      </c>
      <c r="B273" s="1" t="s">
        <v>624</v>
      </c>
      <c r="D273" s="1" t="s">
        <v>654</v>
      </c>
      <c r="E273" s="1" t="s">
        <v>742</v>
      </c>
      <c r="F273" s="1" t="s">
        <v>846</v>
      </c>
      <c r="G273" s="1" t="s">
        <v>856</v>
      </c>
      <c r="L273" s="1">
        <v>-97.14709999999999</v>
      </c>
      <c r="M273" s="1">
        <v>25.9568</v>
      </c>
      <c r="N273" s="1" t="s">
        <v>859</v>
      </c>
      <c r="O273" s="1" t="s">
        <v>861</v>
      </c>
      <c r="P273" s="1" t="s">
        <v>859</v>
      </c>
      <c r="T273" s="1">
        <v>4324743</v>
      </c>
      <c r="U273" s="1">
        <v>0</v>
      </c>
      <c r="V273" s="1" t="s">
        <v>869</v>
      </c>
      <c r="W273" s="1" t="s">
        <v>874</v>
      </c>
      <c r="AJ273" s="1">
        <v>0.773</v>
      </c>
      <c r="AK273" s="1">
        <v>-0.843</v>
      </c>
      <c r="AY273" s="2">
        <f>HYPERLINK("https://vdatum.noaa.gov/vdatumweb/api/convert?s_x=-97.1471&amp;s_y=25.9568&amp;s_z=0.0&amp;region=contiguous&amp;s_h_frame=NAD83_2011&amp;s_coor=geo&amp;s_v_frame=NAVD88&amp;s_v_unit=us_ft&amp;t_h_frame=NAD83_2011&amp;t_coor=geo&amp;t_v_frame=MLLW&amp;t_v_unit=us_ft", "NAVD88 to MLLW")</f>
        <v>0</v>
      </c>
      <c r="AZ273" s="2">
        <f>HYPERLINK("https://vdatum.noaa.gov/vdatumweb/api/convert?s_x=-97.1471&amp;s_y=25.9568&amp;s_z=0.0&amp;region=contiguous&amp;s_h_frame=NAD83_2011&amp;s_coor=geo&amp;s_v_frame=NAVD88&amp;s_v_unit=us_ft&amp;t_h_frame=NAD83_2011&amp;t_coor=geo&amp;t_v_frame=MHHW&amp;t_v_unit=us_ft", "NAVD88 to MHHW")</f>
        <v>0</v>
      </c>
    </row>
    <row r="274" spans="1:52">
      <c r="A274" s="1" t="s">
        <v>298</v>
      </c>
      <c r="B274" s="1" t="s">
        <v>624</v>
      </c>
      <c r="C274" s="1" t="s">
        <v>648</v>
      </c>
      <c r="D274" s="1" t="s">
        <v>654</v>
      </c>
      <c r="E274" s="1" t="s">
        <v>742</v>
      </c>
      <c r="F274" s="1" t="s">
        <v>846</v>
      </c>
      <c r="G274" s="1" t="s">
        <v>856</v>
      </c>
      <c r="L274" s="1">
        <v>-97.194</v>
      </c>
      <c r="M274" s="1">
        <v>25.979</v>
      </c>
      <c r="N274" s="1" t="s">
        <v>859</v>
      </c>
      <c r="O274" s="1" t="s">
        <v>861</v>
      </c>
      <c r="P274" s="1" t="s">
        <v>859</v>
      </c>
      <c r="T274" s="1">
        <v>4858905</v>
      </c>
      <c r="U274" s="1">
        <v>0</v>
      </c>
      <c r="V274" s="1" t="s">
        <v>869</v>
      </c>
      <c r="W274" s="1" t="s">
        <v>874</v>
      </c>
      <c r="AJ274" s="1">
        <v>-999999</v>
      </c>
      <c r="AK274" s="1">
        <v>-999999</v>
      </c>
      <c r="AY274" s="2">
        <f>HYPERLINK("https://vdatum.noaa.gov/vdatumweb/api/convert?s_x=-97.194&amp;s_y=25.979&amp;s_z=0.0&amp;region=contiguous&amp;s_h_frame=NAD83_2011&amp;s_coor=geo&amp;s_v_frame=NAVD88&amp;s_v_unit=us_ft&amp;t_h_frame=NAD83_2011&amp;t_coor=geo&amp;t_v_frame=MLLW&amp;t_v_unit=us_ft", "Missing")</f>
        <v>0</v>
      </c>
      <c r="AZ274" s="2">
        <f>HYPERLINK("https://vdatum.noaa.gov/vdatumweb/api/convert?s_x=-97.194&amp;s_y=25.979&amp;s_z=0.0&amp;region=contiguous&amp;s_h_frame=NAD83_2011&amp;s_coor=geo&amp;s_v_frame=NAVD88&amp;s_v_unit=us_ft&amp;t_h_frame=NAD83_2011&amp;t_coor=geo&amp;t_v_frame=MHHW&amp;t_v_unit=us_ft", "Missing")</f>
        <v>0</v>
      </c>
    </row>
    <row r="275" spans="1:52">
      <c r="A275" s="1" t="s">
        <v>299</v>
      </c>
      <c r="B275" s="1" t="s">
        <v>625</v>
      </c>
      <c r="D275" s="1" t="s">
        <v>654</v>
      </c>
      <c r="L275" s="1">
        <v>-96.7124</v>
      </c>
      <c r="M275" s="1">
        <v>28.4069</v>
      </c>
      <c r="N275" s="1">
        <v>8773037</v>
      </c>
      <c r="O275" s="1" t="s">
        <v>860</v>
      </c>
      <c r="P275" s="1" t="s">
        <v>866</v>
      </c>
      <c r="Q275" s="2">
        <f>HYPERLINK("https://tidesandcurrents.noaa.gov/stationhome.html?id=8773037", "Station Info")</f>
        <v>0</v>
      </c>
      <c r="R275" s="2">
        <f>HYPERLINK("https://tidesandcurrents.noaa.gov/datums.html?datum=MLLW&amp;units=0&amp;epoch=0&amp;id=8773037", "Datum Info")</f>
        <v>0</v>
      </c>
      <c r="S275" s="2">
        <f>HYPERLINK("https://api.tidesandcurrents.noaa.gov/mdapi/prod/webapi/stations/8773037.json", "More Info")</f>
        <v>0</v>
      </c>
      <c r="T275" s="1">
        <v>7569914</v>
      </c>
      <c r="U275" s="1">
        <v>0</v>
      </c>
      <c r="V275" s="1" t="s">
        <v>869</v>
      </c>
      <c r="W275" s="1" t="s">
        <v>874</v>
      </c>
      <c r="X275" s="1" t="s">
        <v>886</v>
      </c>
      <c r="Y275" s="1">
        <v>0.35</v>
      </c>
      <c r="Z275" s="1">
        <v>0.35</v>
      </c>
      <c r="AA275" s="1">
        <v>0.18</v>
      </c>
      <c r="AB275" s="1">
        <v>0.19</v>
      </c>
      <c r="AC275" s="1">
        <v>0.17</v>
      </c>
      <c r="AD275" s="1">
        <v>0.02</v>
      </c>
      <c r="AE275" s="1">
        <v>0</v>
      </c>
      <c r="AF275" s="1">
        <v>-0.99</v>
      </c>
      <c r="AG275" s="1">
        <v>-1.28</v>
      </c>
      <c r="AH275" s="1" t="s">
        <v>1212</v>
      </c>
      <c r="AI275" s="1" t="s">
        <v>1480</v>
      </c>
      <c r="AJ275" s="1">
        <v>-0.231</v>
      </c>
      <c r="AK275" s="1">
        <v>-0.615</v>
      </c>
      <c r="AY275" s="2">
        <f>HYPERLINK("https://vdatum.noaa.gov/vdatumweb/api/convert?s_x=-96.7124&amp;s_y=28.4069&amp;s_z=0.0&amp;region=contiguous&amp;s_h_frame=NAD83_2011&amp;s_coor=geo&amp;s_v_frame=NAVD88&amp;s_v_unit=us_ft&amp;t_h_frame=NAD83_2011&amp;t_coor=geo&amp;t_v_frame=MLLW&amp;t_v_unit=us_ft", "NAVD88 to MLLW")</f>
        <v>0</v>
      </c>
      <c r="AZ275" s="2">
        <f>HYPERLINK("https://vdatum.noaa.gov/vdatumweb/api/convert?s_x=-96.7124&amp;s_y=28.4069&amp;s_z=0.0&amp;region=contiguous&amp;s_h_frame=NAD83_2011&amp;s_coor=geo&amp;s_v_frame=NAVD88&amp;s_v_unit=us_ft&amp;t_h_frame=NAD83_2011&amp;t_coor=geo&amp;t_v_frame=MHHW&amp;t_v_unit=us_ft", "NAVD88 to MHHW")</f>
        <v>0</v>
      </c>
    </row>
    <row r="276" spans="1:52">
      <c r="A276" s="1" t="s">
        <v>300</v>
      </c>
      <c r="B276" s="1" t="s">
        <v>625</v>
      </c>
      <c r="D276" s="1" t="s">
        <v>654</v>
      </c>
      <c r="L276" s="1">
        <v>-96.795</v>
      </c>
      <c r="M276" s="1">
        <v>28.2283</v>
      </c>
      <c r="N276" s="1">
        <v>8774230</v>
      </c>
      <c r="O276" s="1" t="s">
        <v>861</v>
      </c>
      <c r="P276" s="1" t="s">
        <v>866</v>
      </c>
      <c r="Q276" s="2">
        <f>HYPERLINK("https://tidesandcurrents.noaa.gov/stationhome.html?id=8774230", "Station Info")</f>
        <v>0</v>
      </c>
      <c r="R276" s="2">
        <f>HYPERLINK("https://tidesandcurrents.noaa.gov/datums.html?datum=MLLW&amp;units=0&amp;epoch=0&amp;id=8774230", "Datum Info")</f>
        <v>0</v>
      </c>
      <c r="S276" s="2">
        <f>HYPERLINK("https://api.tidesandcurrents.noaa.gov/mdapi/prod/webapi/stations/8774230.json", "More Info")</f>
        <v>0</v>
      </c>
      <c r="T276" s="1">
        <v>4740822</v>
      </c>
      <c r="U276" s="1">
        <v>0</v>
      </c>
      <c r="V276" s="1" t="s">
        <v>869</v>
      </c>
      <c r="W276" s="1" t="s">
        <v>874</v>
      </c>
      <c r="X276" s="1" t="s">
        <v>886</v>
      </c>
      <c r="Y276" s="1">
        <v>0.33</v>
      </c>
      <c r="Z276" s="1">
        <v>0.33</v>
      </c>
      <c r="AA276" s="1">
        <v>0.17</v>
      </c>
      <c r="AB276" s="1">
        <v>0.17</v>
      </c>
      <c r="AC276" s="1">
        <v>0.17</v>
      </c>
      <c r="AD276" s="1">
        <v>0</v>
      </c>
      <c r="AE276" s="1">
        <v>0</v>
      </c>
      <c r="AF276" s="1">
        <v>-0.95</v>
      </c>
      <c r="AG276" s="1">
        <v>-28.95</v>
      </c>
      <c r="AH276" s="1" t="s">
        <v>1213</v>
      </c>
      <c r="AI276" s="1" t="s">
        <v>1481</v>
      </c>
      <c r="AJ276" s="1">
        <v>-0.462</v>
      </c>
      <c r="AK276" s="1">
        <v>-0.873</v>
      </c>
      <c r="AY276" s="2">
        <f>HYPERLINK("https://vdatum.noaa.gov/vdatumweb/api/convert?s_x=-96.795&amp;s_y=28.2283&amp;s_z=0.0&amp;region=contiguous&amp;s_h_frame=NAD83_2011&amp;s_coor=geo&amp;s_v_frame=NAVD88&amp;s_v_unit=us_ft&amp;t_h_frame=NAD83_2011&amp;t_coor=geo&amp;t_v_frame=MLLW&amp;t_v_unit=us_ft", "NAVD88 to MLLW")</f>
        <v>0</v>
      </c>
      <c r="AZ276" s="2">
        <f>HYPERLINK("https://vdatum.noaa.gov/vdatumweb/api/convert?s_x=-96.795&amp;s_y=28.2283&amp;s_z=0.0&amp;region=contiguous&amp;s_h_frame=NAD83_2011&amp;s_coor=geo&amp;s_v_frame=NAVD88&amp;s_v_unit=us_ft&amp;t_h_frame=NAD83_2011&amp;t_coor=geo&amp;t_v_frame=MHHW&amp;t_v_unit=us_ft", "NAVD88 to MHHW")</f>
        <v>0</v>
      </c>
    </row>
    <row r="277" spans="1:52">
      <c r="A277" s="1" t="s">
        <v>301</v>
      </c>
      <c r="B277" s="1" t="s">
        <v>625</v>
      </c>
      <c r="D277" s="1" t="s">
        <v>654</v>
      </c>
      <c r="L277" s="1">
        <v>-97.0244</v>
      </c>
      <c r="M277" s="1">
        <v>28.114</v>
      </c>
      <c r="N277" s="1">
        <v>8774513</v>
      </c>
      <c r="O277" s="1" t="s">
        <v>860</v>
      </c>
      <c r="P277" s="1" t="s">
        <v>866</v>
      </c>
      <c r="Q277" s="2">
        <f>HYPERLINK("https://tidesandcurrents.noaa.gov/stationhome.html?id=8774513", "Station Info")</f>
        <v>0</v>
      </c>
      <c r="R277" s="2">
        <f>HYPERLINK("https://tidesandcurrents.noaa.gov/datums.html?datum=MLLW&amp;units=0&amp;epoch=0&amp;id=8774513", "Datum Info")</f>
        <v>0</v>
      </c>
      <c r="S277" s="2">
        <f>HYPERLINK("https://api.tidesandcurrents.noaa.gov/mdapi/prod/webapi/stations/8774513.json", "More Info")</f>
        <v>0</v>
      </c>
      <c r="T277" s="1">
        <v>5921297</v>
      </c>
      <c r="U277" s="1">
        <v>0</v>
      </c>
      <c r="V277" s="1" t="s">
        <v>869</v>
      </c>
      <c r="W277" s="1" t="s">
        <v>874</v>
      </c>
      <c r="X277" s="1" t="s">
        <v>886</v>
      </c>
      <c r="Y277" s="1">
        <v>0.39</v>
      </c>
      <c r="Z277" s="1">
        <v>0.39</v>
      </c>
      <c r="AA277" s="1">
        <v>0.19</v>
      </c>
      <c r="AB277" s="1">
        <v>0.21</v>
      </c>
      <c r="AC277" s="1">
        <v>0.2</v>
      </c>
      <c r="AD277" s="1">
        <v>0</v>
      </c>
      <c r="AE277" s="1">
        <v>0</v>
      </c>
      <c r="AF277" s="1">
        <v>-0.63</v>
      </c>
      <c r="AG277" s="1">
        <v>-5.21</v>
      </c>
      <c r="AH277" s="1" t="s">
        <v>1214</v>
      </c>
      <c r="AI277" s="1" t="s">
        <v>1480</v>
      </c>
      <c r="AJ277" s="1">
        <v>-0.216</v>
      </c>
      <c r="AK277" s="1">
        <v>-0.602</v>
      </c>
      <c r="AY277" s="2">
        <f>HYPERLINK("https://vdatum.noaa.gov/vdatumweb/api/convert?s_x=-97.0244&amp;s_y=28.114&amp;s_z=0.0&amp;region=contiguous&amp;s_h_frame=NAD83_2011&amp;s_coor=geo&amp;s_v_frame=NAVD88&amp;s_v_unit=us_ft&amp;t_h_frame=NAD83_2011&amp;t_coor=geo&amp;t_v_frame=MLLW&amp;t_v_unit=us_ft", "NAVD88 to MLLW")</f>
        <v>0</v>
      </c>
      <c r="AZ277" s="2">
        <f>HYPERLINK("https://vdatum.noaa.gov/vdatumweb/api/convert?s_x=-97.0244&amp;s_y=28.114&amp;s_z=0.0&amp;region=contiguous&amp;s_h_frame=NAD83_2011&amp;s_coor=geo&amp;s_v_frame=NAVD88&amp;s_v_unit=us_ft&amp;t_h_frame=NAD83_2011&amp;t_coor=geo&amp;t_v_frame=MHHW&amp;t_v_unit=us_ft", "NAVD88 to MHHW")</f>
        <v>0</v>
      </c>
    </row>
    <row r="278" spans="1:52">
      <c r="A278" s="1" t="s">
        <v>302</v>
      </c>
      <c r="B278" s="1" t="s">
        <v>625</v>
      </c>
      <c r="D278" s="1" t="s">
        <v>654</v>
      </c>
      <c r="L278" s="1">
        <v>-97.0467</v>
      </c>
      <c r="M278" s="1">
        <v>28.0217</v>
      </c>
      <c r="N278" s="1">
        <v>8774770</v>
      </c>
      <c r="O278" s="1" t="s">
        <v>860</v>
      </c>
      <c r="P278" s="1" t="s">
        <v>866</v>
      </c>
      <c r="Q278" s="2">
        <f>HYPERLINK("https://tidesandcurrents.noaa.gov/stationhome.html?id=8774770", "Station Info")</f>
        <v>0</v>
      </c>
      <c r="R278" s="2">
        <f>HYPERLINK("https://tidesandcurrents.noaa.gov/datums.html?datum=MLLW&amp;units=0&amp;epoch=0&amp;id=8774770", "Datum Info")</f>
        <v>0</v>
      </c>
      <c r="S278" s="2">
        <f>HYPERLINK("https://api.tidesandcurrents.noaa.gov/mdapi/prod/webapi/stations/8774770.json", "More Info")</f>
        <v>0</v>
      </c>
      <c r="T278" s="1">
        <v>4873045</v>
      </c>
      <c r="U278" s="1">
        <v>0</v>
      </c>
      <c r="V278" s="1" t="s">
        <v>869</v>
      </c>
      <c r="W278" s="1" t="s">
        <v>874</v>
      </c>
      <c r="X278" s="1" t="s">
        <v>886</v>
      </c>
      <c r="Y278" s="1">
        <v>0.37</v>
      </c>
      <c r="Z278" s="1">
        <v>0.36</v>
      </c>
      <c r="AA278" s="1">
        <v>0.18</v>
      </c>
      <c r="AB278" s="1">
        <v>0.19</v>
      </c>
      <c r="AC278" s="1">
        <v>0.18</v>
      </c>
      <c r="AD278" s="1">
        <v>0.01</v>
      </c>
      <c r="AE278" s="1">
        <v>0</v>
      </c>
      <c r="AF278" s="1">
        <v>-0.93</v>
      </c>
      <c r="AG278" s="1">
        <v>-6.45</v>
      </c>
      <c r="AH278" s="1" t="s">
        <v>1215</v>
      </c>
      <c r="AI278" s="1" t="s">
        <v>1088</v>
      </c>
      <c r="AJ278" s="1">
        <v>-0.924</v>
      </c>
      <c r="AK278" s="1">
        <v>-1.288</v>
      </c>
      <c r="AY278" s="2">
        <f>HYPERLINK("https://vdatum.noaa.gov/vdatumweb/api/convert?s_x=-97.0467&amp;s_y=28.0217&amp;s_z=0.0&amp;region=contiguous&amp;s_h_frame=NAD83_2011&amp;s_coor=geo&amp;s_v_frame=NAVD88&amp;s_v_unit=us_ft&amp;t_h_frame=NAD83_2011&amp;t_coor=geo&amp;t_v_frame=MLLW&amp;t_v_unit=us_ft", "NAVD88 to MLLW")</f>
        <v>0</v>
      </c>
      <c r="AZ278" s="2">
        <f>HYPERLINK("https://vdatum.noaa.gov/vdatumweb/api/convert?s_x=-97.0467&amp;s_y=28.0217&amp;s_z=0.0&amp;region=contiguous&amp;s_h_frame=NAD83_2011&amp;s_coor=geo&amp;s_v_frame=NAVD88&amp;s_v_unit=us_ft&amp;t_h_frame=NAD83_2011&amp;t_coor=geo&amp;t_v_frame=MHHW&amp;t_v_unit=us_ft", "NAVD88 to MHHW")</f>
        <v>0</v>
      </c>
    </row>
    <row r="279" spans="1:52">
      <c r="A279" s="1" t="s">
        <v>303</v>
      </c>
      <c r="B279" s="1" t="s">
        <v>625</v>
      </c>
      <c r="C279" s="1" t="s">
        <v>648</v>
      </c>
      <c r="D279" s="1" t="s">
        <v>654</v>
      </c>
      <c r="L279" s="1">
        <v>-97.07250000000001</v>
      </c>
      <c r="M279" s="1">
        <v>27.8397</v>
      </c>
      <c r="N279" s="1">
        <v>8775237</v>
      </c>
      <c r="O279" s="1" t="s">
        <v>860</v>
      </c>
      <c r="P279" s="1" t="s">
        <v>866</v>
      </c>
      <c r="Q279" s="2">
        <f>HYPERLINK("https://tidesandcurrents.noaa.gov/stationhome.html?id=8775237", "Station Info")</f>
        <v>0</v>
      </c>
      <c r="R279" s="2">
        <f>HYPERLINK("https://tidesandcurrents.noaa.gov/datums.html?datum=MLLW&amp;units=0&amp;epoch=0&amp;id=8775237", "Datum Info")</f>
        <v>0</v>
      </c>
      <c r="S279" s="2">
        <f>HYPERLINK("https://api.tidesandcurrents.noaa.gov/mdapi/prod/webapi/stations/8775237.json", "More Info")</f>
        <v>0</v>
      </c>
      <c r="T279" s="1">
        <v>3033152</v>
      </c>
      <c r="U279" s="1">
        <v>0</v>
      </c>
      <c r="V279" s="1" t="s">
        <v>869</v>
      </c>
      <c r="W279" s="1" t="s">
        <v>874</v>
      </c>
      <c r="X279" s="1" t="s">
        <v>886</v>
      </c>
      <c r="Y279" s="1">
        <v>1.04</v>
      </c>
      <c r="Z279" s="1">
        <v>1.01</v>
      </c>
      <c r="AA279" s="1">
        <v>0.57</v>
      </c>
      <c r="AB279" s="1">
        <v>0.65</v>
      </c>
      <c r="AC279" s="1">
        <v>0.52</v>
      </c>
      <c r="AD279" s="1">
        <v>0.12</v>
      </c>
      <c r="AE279" s="1">
        <v>0</v>
      </c>
      <c r="AF279" s="1">
        <v>0.15</v>
      </c>
      <c r="AG279" s="1">
        <v>-4.61</v>
      </c>
      <c r="AH279" s="1" t="s">
        <v>1216</v>
      </c>
      <c r="AI279" s="1" t="s">
        <v>1482</v>
      </c>
      <c r="AJ279" s="1">
        <v>0.21</v>
      </c>
      <c r="AK279" s="1">
        <v>-0.778</v>
      </c>
      <c r="AY279" s="2">
        <f>HYPERLINK("https://vdatum.noaa.gov/vdatumweb/api/convert?s_x=-97.0725&amp;s_y=27.8397&amp;s_z=0.0&amp;region=contiguous&amp;s_h_frame=NAD83_2011&amp;s_coor=geo&amp;s_v_frame=NAVD88&amp;s_v_unit=us_ft&amp;t_h_frame=NAD83_2011&amp;t_coor=geo&amp;t_v_frame=MLLW&amp;t_v_unit=us_ft", "NAVD88 to MLLW")</f>
        <v>0</v>
      </c>
      <c r="AZ279" s="2">
        <f>HYPERLINK("https://vdatum.noaa.gov/vdatumweb/api/convert?s_x=-97.0725&amp;s_y=27.8397&amp;s_z=0.0&amp;region=contiguous&amp;s_h_frame=NAD83_2011&amp;s_coor=geo&amp;s_v_frame=NAVD88&amp;s_v_unit=us_ft&amp;t_h_frame=NAD83_2011&amp;t_coor=geo&amp;t_v_frame=MHHW&amp;t_v_unit=us_ft", "NAVD88 to MHHW")</f>
        <v>0</v>
      </c>
    </row>
    <row r="280" spans="1:52">
      <c r="A280" s="1" t="s">
        <v>304</v>
      </c>
      <c r="B280" s="1" t="s">
        <v>625</v>
      </c>
      <c r="D280" s="1" t="s">
        <v>654</v>
      </c>
      <c r="L280" s="1">
        <v>-97.0391</v>
      </c>
      <c r="M280" s="1">
        <v>27.8366</v>
      </c>
      <c r="N280" s="1">
        <v>8775241</v>
      </c>
      <c r="O280" s="1" t="s">
        <v>860</v>
      </c>
      <c r="P280" s="1" t="s">
        <v>866</v>
      </c>
      <c r="Q280" s="2">
        <f>HYPERLINK("https://tidesandcurrents.noaa.gov/stationhome.html?id=8775241", "Station Info")</f>
        <v>0</v>
      </c>
      <c r="R280" s="2">
        <f>HYPERLINK("https://tidesandcurrents.noaa.gov/datums.html?datum=MLLW&amp;units=0&amp;epoch=0&amp;id=8775241", "Datum Info")</f>
        <v>0</v>
      </c>
      <c r="S280" s="2">
        <f>HYPERLINK("https://api.tidesandcurrents.noaa.gov/mdapi/prod/webapi/stations/8775241.json", "More Info")</f>
        <v>0</v>
      </c>
      <c r="T280" s="1">
        <v>2190742</v>
      </c>
      <c r="U280" s="1">
        <v>0</v>
      </c>
      <c r="V280" s="1" t="s">
        <v>869</v>
      </c>
      <c r="W280" s="1" t="s">
        <v>874</v>
      </c>
      <c r="X280" s="1" t="s">
        <v>886</v>
      </c>
      <c r="Y280" s="1">
        <v>1.37</v>
      </c>
      <c r="Z280" s="1">
        <v>1.32</v>
      </c>
      <c r="AA280" s="1">
        <v>0.76</v>
      </c>
      <c r="AB280" s="1">
        <v>0.83</v>
      </c>
      <c r="AC280" s="1">
        <v>0.68</v>
      </c>
      <c r="AD280" s="1">
        <v>0.21</v>
      </c>
      <c r="AE280" s="1">
        <v>0</v>
      </c>
      <c r="AF280" s="1">
        <v>0.65</v>
      </c>
      <c r="AG280" s="1">
        <v>-24.09</v>
      </c>
      <c r="AH280" s="1" t="s">
        <v>1217</v>
      </c>
      <c r="AI280" s="1" t="s">
        <v>1483</v>
      </c>
      <c r="AJ280" s="1">
        <v>0.518</v>
      </c>
      <c r="AK280" s="1">
        <v>-1.09</v>
      </c>
      <c r="AY280" s="2">
        <f>HYPERLINK("https://vdatum.noaa.gov/vdatumweb/api/convert?s_x=-97.0391&amp;s_y=27.8366&amp;s_z=0.0&amp;region=contiguous&amp;s_h_frame=NAD83_2011&amp;s_coor=geo&amp;s_v_frame=NAVD88&amp;s_v_unit=us_ft&amp;t_h_frame=NAD83_2011&amp;t_coor=geo&amp;t_v_frame=MLLW&amp;t_v_unit=us_ft", "NAVD88 to MLLW")</f>
        <v>0</v>
      </c>
      <c r="AZ280" s="2">
        <f>HYPERLINK("https://vdatum.noaa.gov/vdatumweb/api/convert?s_x=-97.0391&amp;s_y=27.8366&amp;s_z=0.0&amp;region=contiguous&amp;s_h_frame=NAD83_2011&amp;s_coor=geo&amp;s_v_frame=NAVD88&amp;s_v_unit=us_ft&amp;t_h_frame=NAD83_2011&amp;t_coor=geo&amp;t_v_frame=MHHW&amp;t_v_unit=us_ft", "NAVD88 to MHHW")</f>
        <v>0</v>
      </c>
    </row>
    <row r="281" spans="1:52">
      <c r="A281" s="1" t="s">
        <v>305</v>
      </c>
      <c r="B281" s="1" t="s">
        <v>625</v>
      </c>
      <c r="D281" s="1" t="s">
        <v>654</v>
      </c>
      <c r="L281" s="1">
        <v>-97.4859</v>
      </c>
      <c r="M281" s="1">
        <v>27.83275</v>
      </c>
      <c r="N281" s="1">
        <v>8775244</v>
      </c>
      <c r="O281" s="1" t="s">
        <v>860</v>
      </c>
      <c r="P281" s="1" t="s">
        <v>866</v>
      </c>
      <c r="Q281" s="2">
        <f>HYPERLINK("https://tidesandcurrents.noaa.gov/stationhome.html?id=8775244", "Station Info")</f>
        <v>0</v>
      </c>
      <c r="R281" s="2">
        <f>HYPERLINK("https://tidesandcurrents.noaa.gov/datums.html?datum=MLLW&amp;units=0&amp;epoch=0&amp;id=8775244", "Datum Info")</f>
        <v>0</v>
      </c>
      <c r="S281" s="2">
        <f>HYPERLINK("https://api.tidesandcurrents.noaa.gov/mdapi/prod/webapi/stations/8775244.json", "More Info")</f>
        <v>0</v>
      </c>
      <c r="T281" s="1">
        <v>3559283</v>
      </c>
      <c r="U281" s="1">
        <v>0</v>
      </c>
      <c r="V281" s="1" t="s">
        <v>869</v>
      </c>
      <c r="W281" s="1" t="s">
        <v>874</v>
      </c>
      <c r="X281" s="1" t="s">
        <v>886</v>
      </c>
      <c r="Y281" s="1">
        <v>0.7</v>
      </c>
      <c r="Z281" s="1">
        <v>0.68</v>
      </c>
      <c r="AA281" s="1">
        <v>0.35</v>
      </c>
      <c r="AB281" s="1">
        <v>0.38</v>
      </c>
      <c r="AC281" s="1">
        <v>0.35</v>
      </c>
      <c r="AD281" s="1">
        <v>0.03</v>
      </c>
      <c r="AE281" s="1">
        <v>0</v>
      </c>
      <c r="AF281" s="1">
        <v>-0.57</v>
      </c>
      <c r="AG281" s="1">
        <v>-24.49</v>
      </c>
      <c r="AH281" s="1" t="s">
        <v>1218</v>
      </c>
      <c r="AI281" s="1" t="s">
        <v>1221</v>
      </c>
      <c r="AJ281" s="1">
        <v>-0.06</v>
      </c>
      <c r="AK281" s="1">
        <v>-0.721</v>
      </c>
      <c r="AY281" s="2">
        <f>HYPERLINK("https://vdatum.noaa.gov/vdatumweb/api/convert?s_x=-97.4859&amp;s_y=27.83275&amp;s_z=0.0&amp;region=contiguous&amp;s_h_frame=NAD83_2011&amp;s_coor=geo&amp;s_v_frame=NAVD88&amp;s_v_unit=us_ft&amp;t_h_frame=NAD83_2011&amp;t_coor=geo&amp;t_v_frame=MLLW&amp;t_v_unit=us_ft", "NAVD88 to MLLW")</f>
        <v>0</v>
      </c>
      <c r="AZ281" s="2">
        <f>HYPERLINK("https://vdatum.noaa.gov/vdatumweb/api/convert?s_x=-97.4859&amp;s_y=27.83275&amp;s_z=0.0&amp;region=contiguous&amp;s_h_frame=NAD83_2011&amp;s_coor=geo&amp;s_v_frame=NAVD88&amp;s_v_unit=us_ft&amp;t_h_frame=NAD83_2011&amp;t_coor=geo&amp;t_v_frame=MHHW&amp;t_v_unit=us_ft", "NAVD88 to MHHW")</f>
        <v>0</v>
      </c>
    </row>
    <row r="282" spans="1:52">
      <c r="A282" s="1" t="s">
        <v>306</v>
      </c>
      <c r="B282" s="1" t="s">
        <v>625</v>
      </c>
      <c r="D282" s="1" t="s">
        <v>654</v>
      </c>
      <c r="L282" s="1">
        <v>-97.05</v>
      </c>
      <c r="M282" s="1">
        <v>27.8267</v>
      </c>
      <c r="N282" s="1">
        <v>8775270</v>
      </c>
      <c r="O282" s="1" t="s">
        <v>861</v>
      </c>
      <c r="P282" s="1" t="s">
        <v>866</v>
      </c>
      <c r="Q282" s="2">
        <f>HYPERLINK("https://tidesandcurrents.noaa.gov/stationhome.html?id=8775270", "Station Info")</f>
        <v>0</v>
      </c>
      <c r="R282" s="2">
        <f>HYPERLINK("https://tidesandcurrents.noaa.gov/datums.html?datum=MLLW&amp;units=0&amp;epoch=0&amp;id=8775270", "Datum Info")</f>
        <v>0</v>
      </c>
      <c r="S282" s="2">
        <f>HYPERLINK("https://api.tidesandcurrents.noaa.gov/mdapi/prod/webapi/stations/8775270.json", "More Info")</f>
        <v>0</v>
      </c>
      <c r="T282" s="1">
        <v>1812749</v>
      </c>
      <c r="U282" s="1">
        <v>0</v>
      </c>
      <c r="V282" s="1" t="s">
        <v>869</v>
      </c>
      <c r="W282" s="1" t="s">
        <v>874</v>
      </c>
      <c r="X282" s="1" t="s">
        <v>886</v>
      </c>
      <c r="Y282" s="1">
        <v>1.63</v>
      </c>
      <c r="Z282" s="1">
        <v>1.52</v>
      </c>
      <c r="AA282" s="1">
        <v>0.87</v>
      </c>
      <c r="AB282" s="1">
        <v>0.92</v>
      </c>
      <c r="AC282" s="1">
        <v>0.82</v>
      </c>
      <c r="AD282" s="1">
        <v>0.22</v>
      </c>
      <c r="AE282" s="1">
        <v>0</v>
      </c>
      <c r="AF282" s="1">
        <v>0.52</v>
      </c>
      <c r="AG282" s="1">
        <v>-4.2</v>
      </c>
      <c r="AH282" s="1" t="s">
        <v>1219</v>
      </c>
      <c r="AI282" s="1" t="s">
        <v>1484</v>
      </c>
      <c r="AJ282" s="1">
        <v>0.525</v>
      </c>
      <c r="AK282" s="1">
        <v>-1.112</v>
      </c>
      <c r="AY282" s="2">
        <f>HYPERLINK("https://vdatum.noaa.gov/vdatumweb/api/convert?s_x=-97.05&amp;s_y=27.8267&amp;s_z=0.0&amp;region=contiguous&amp;s_h_frame=NAD83_2011&amp;s_coor=geo&amp;s_v_frame=NAVD88&amp;s_v_unit=us_ft&amp;t_h_frame=NAD83_2011&amp;t_coor=geo&amp;t_v_frame=MLLW&amp;t_v_unit=us_ft", "NAVD88 to MLLW")</f>
        <v>0</v>
      </c>
      <c r="AZ282" s="2">
        <f>HYPERLINK("https://vdatum.noaa.gov/vdatumweb/api/convert?s_x=-97.05&amp;s_y=27.8267&amp;s_z=0.0&amp;region=contiguous&amp;s_h_frame=NAD83_2011&amp;s_coor=geo&amp;s_v_frame=NAVD88&amp;s_v_unit=us_ft&amp;t_h_frame=NAD83_2011&amp;t_coor=geo&amp;t_v_frame=MHHW&amp;t_v_unit=us_ft", "NAVD88 to MHHW")</f>
        <v>0</v>
      </c>
    </row>
    <row r="283" spans="1:52">
      <c r="A283" s="1" t="s">
        <v>307</v>
      </c>
      <c r="B283" s="1" t="s">
        <v>625</v>
      </c>
      <c r="C283" s="1" t="s">
        <v>648</v>
      </c>
      <c r="D283" s="1" t="s">
        <v>654</v>
      </c>
      <c r="E283" s="1" t="s">
        <v>743</v>
      </c>
      <c r="F283" s="1" t="s">
        <v>846</v>
      </c>
      <c r="G283" s="1" t="s">
        <v>856</v>
      </c>
      <c r="L283" s="1">
        <v>-97.2033</v>
      </c>
      <c r="M283" s="1">
        <v>27.8217</v>
      </c>
      <c r="N283" s="1">
        <v>8775283</v>
      </c>
      <c r="O283" s="1" t="s">
        <v>861</v>
      </c>
      <c r="P283" s="1" t="s">
        <v>866</v>
      </c>
      <c r="Q283" s="2">
        <f>HYPERLINK("https://tidesandcurrents.noaa.gov/stationhome.html?id=8775283", "Station Info")</f>
        <v>0</v>
      </c>
      <c r="R283" s="2">
        <f>HYPERLINK("https://tidesandcurrents.noaa.gov/datums.html?datum=MLLW&amp;units=0&amp;epoch=0&amp;id=8775283", "Datum Info")</f>
        <v>0</v>
      </c>
      <c r="S283" s="2">
        <f>HYPERLINK("https://api.tidesandcurrents.noaa.gov/mdapi/prod/webapi/stations/8775283.json", "More Info")</f>
        <v>0</v>
      </c>
      <c r="T283" s="1">
        <v>5370014</v>
      </c>
      <c r="U283" s="1">
        <v>0.139</v>
      </c>
      <c r="V283" s="1" t="s">
        <v>869</v>
      </c>
      <c r="W283" s="1" t="s">
        <v>874</v>
      </c>
      <c r="X283" s="1" t="s">
        <v>886</v>
      </c>
      <c r="Y283" s="1">
        <v>0.59</v>
      </c>
      <c r="Z283" s="1">
        <v>0.57</v>
      </c>
      <c r="AA283" s="1">
        <v>0.3</v>
      </c>
      <c r="AB283" s="1">
        <v>0.33</v>
      </c>
      <c r="AC283" s="1">
        <v>0.3</v>
      </c>
      <c r="AD283" s="1">
        <v>0.02</v>
      </c>
      <c r="AE283" s="1">
        <v>0</v>
      </c>
      <c r="AF283" s="1" t="s">
        <v>1020</v>
      </c>
      <c r="AG283" s="1">
        <v>-19.93</v>
      </c>
      <c r="AH283" s="1" t="s">
        <v>1220</v>
      </c>
      <c r="AI283" s="1" t="s">
        <v>1485</v>
      </c>
      <c r="AJ283" s="1">
        <v>-0.142</v>
      </c>
      <c r="AK283" s="1">
        <v>-0.72</v>
      </c>
      <c r="AY283" s="2">
        <f>HYPERLINK("https://vdatum.noaa.gov/vdatumweb/api/convert?s_x=-97.2033&amp;s_y=27.8217&amp;s_z=0.0&amp;region=contiguous&amp;s_h_frame=NAD83_2011&amp;s_coor=geo&amp;s_v_frame=NAVD88&amp;s_v_unit=us_ft&amp;t_h_frame=NAD83_2011&amp;t_coor=geo&amp;t_v_frame=MLLW&amp;t_v_unit=us_ft", "NAVD88 to MLLW")</f>
        <v>0</v>
      </c>
      <c r="AZ283" s="2">
        <f>HYPERLINK("https://vdatum.noaa.gov/vdatumweb/api/convert?s_x=-97.2033&amp;s_y=27.8217&amp;s_z=0.0&amp;region=contiguous&amp;s_h_frame=NAD83_2011&amp;s_coor=geo&amp;s_v_frame=NAVD88&amp;s_v_unit=us_ft&amp;t_h_frame=NAD83_2011&amp;t_coor=geo&amp;t_v_frame=MHHW&amp;t_v_unit=us_ft", "NAVD88 to MHHW")</f>
        <v>0</v>
      </c>
    </row>
    <row r="284" spans="1:52">
      <c r="A284" s="1" t="s">
        <v>308</v>
      </c>
      <c r="B284" s="1" t="s">
        <v>625</v>
      </c>
      <c r="D284" s="1" t="s">
        <v>654</v>
      </c>
      <c r="L284" s="1">
        <v>-97.39</v>
      </c>
      <c r="M284" s="1">
        <v>27.81169</v>
      </c>
      <c r="N284" s="1">
        <v>8775296</v>
      </c>
      <c r="O284" s="1" t="s">
        <v>860</v>
      </c>
      <c r="P284" s="1" t="s">
        <v>866</v>
      </c>
      <c r="Q284" s="2">
        <f>HYPERLINK("https://tidesandcurrents.noaa.gov/stationhome.html?id=8775296", "Station Info")</f>
        <v>0</v>
      </c>
      <c r="R284" s="2">
        <f>HYPERLINK("https://tidesandcurrents.noaa.gov/datums.html?datum=MLLW&amp;units=0&amp;epoch=0&amp;id=8775296", "Datum Info")</f>
        <v>0</v>
      </c>
      <c r="S284" s="2">
        <f>HYPERLINK("https://api.tidesandcurrents.noaa.gov/mdapi/prod/webapi/stations/8775296.json", "More Info")</f>
        <v>0</v>
      </c>
      <c r="T284" s="1">
        <v>4873343</v>
      </c>
      <c r="U284" s="1">
        <v>0</v>
      </c>
      <c r="V284" s="1" t="s">
        <v>869</v>
      </c>
      <c r="W284" s="1" t="s">
        <v>874</v>
      </c>
      <c r="X284" s="1" t="s">
        <v>886</v>
      </c>
      <c r="Y284" s="1">
        <v>0.6</v>
      </c>
      <c r="Z284" s="1">
        <v>0.59</v>
      </c>
      <c r="AA284" s="1">
        <v>0.3</v>
      </c>
      <c r="AB284" s="1">
        <v>0.34</v>
      </c>
      <c r="AC284" s="1">
        <v>0.3</v>
      </c>
      <c r="AD284" s="1">
        <v>0.01</v>
      </c>
      <c r="AE284" s="1">
        <v>0</v>
      </c>
      <c r="AF284" s="1">
        <v>-0.42</v>
      </c>
      <c r="AG284" s="1">
        <v>-4.62</v>
      </c>
      <c r="AH284" s="1" t="s">
        <v>1221</v>
      </c>
      <c r="AI284" s="1" t="s">
        <v>1486</v>
      </c>
      <c r="AJ284" s="1">
        <v>0.956</v>
      </c>
      <c r="AK284" s="1">
        <v>0.329</v>
      </c>
      <c r="AY284" s="2">
        <f>HYPERLINK("https://vdatum.noaa.gov/vdatumweb/api/convert?s_x=-97.39&amp;s_y=27.81169&amp;s_z=0.0&amp;region=contiguous&amp;s_h_frame=NAD83_2011&amp;s_coor=geo&amp;s_v_frame=NAVD88&amp;s_v_unit=us_ft&amp;t_h_frame=NAD83_2011&amp;t_coor=geo&amp;t_v_frame=MLLW&amp;t_v_unit=us_ft", "NAVD88 to MLLW")</f>
        <v>0</v>
      </c>
      <c r="AZ284" s="2">
        <f>HYPERLINK("https://vdatum.noaa.gov/vdatumweb/api/convert?s_x=-97.39&amp;s_y=27.81169&amp;s_z=0.0&amp;region=contiguous&amp;s_h_frame=NAD83_2011&amp;s_coor=geo&amp;s_v_frame=NAVD88&amp;s_v_unit=us_ft&amp;t_h_frame=NAD83_2011&amp;t_coor=geo&amp;t_v_frame=MHHW&amp;t_v_unit=us_ft", "NAVD88 to MHHW")</f>
        <v>0</v>
      </c>
    </row>
    <row r="285" spans="1:52">
      <c r="A285" s="1" t="s">
        <v>309</v>
      </c>
      <c r="B285" s="1" t="s">
        <v>625</v>
      </c>
      <c r="D285" s="1" t="s">
        <v>654</v>
      </c>
      <c r="L285" s="1">
        <v>-97.2367</v>
      </c>
      <c r="M285" s="1">
        <v>27.63331</v>
      </c>
      <c r="N285" s="1">
        <v>8775792</v>
      </c>
      <c r="O285" s="1" t="s">
        <v>860</v>
      </c>
      <c r="P285" s="1" t="s">
        <v>866</v>
      </c>
      <c r="Q285" s="2">
        <f>HYPERLINK("https://tidesandcurrents.noaa.gov/stationhome.html?id=8775792", "Station Info")</f>
        <v>0</v>
      </c>
      <c r="R285" s="2">
        <f>HYPERLINK("https://tidesandcurrents.noaa.gov/datums.html?datum=MLLW&amp;units=0&amp;epoch=0&amp;id=8775792", "Datum Info")</f>
        <v>0</v>
      </c>
      <c r="S285" s="2">
        <f>HYPERLINK("https://api.tidesandcurrents.noaa.gov/mdapi/prod/webapi/stations/8775792.json", "More Info")</f>
        <v>0</v>
      </c>
      <c r="T285" s="1">
        <v>3033395</v>
      </c>
      <c r="U285" s="1">
        <v>0</v>
      </c>
      <c r="V285" s="1" t="s">
        <v>869</v>
      </c>
      <c r="W285" s="1" t="s">
        <v>874</v>
      </c>
      <c r="X285" s="1" t="s">
        <v>886</v>
      </c>
      <c r="Y285" s="1">
        <v>0.42</v>
      </c>
      <c r="Z285" s="1">
        <v>0.42</v>
      </c>
      <c r="AA285" s="1">
        <v>0.21</v>
      </c>
      <c r="AB285" s="1">
        <v>0.22</v>
      </c>
      <c r="AC285" s="1">
        <v>0.21</v>
      </c>
      <c r="AD285" s="1">
        <v>-0.01</v>
      </c>
      <c r="AE285" s="1">
        <v>0</v>
      </c>
      <c r="AF285" s="1">
        <v>-0.37</v>
      </c>
      <c r="AG285" s="1">
        <v>-2.84</v>
      </c>
      <c r="AH285" s="1" t="s">
        <v>1222</v>
      </c>
      <c r="AI285" s="1" t="s">
        <v>1487</v>
      </c>
      <c r="AJ285" s="1">
        <v>-0.267</v>
      </c>
      <c r="AK285" s="1">
        <v>-0.643</v>
      </c>
      <c r="AY285" s="2">
        <f>HYPERLINK("https://vdatum.noaa.gov/vdatumweb/api/convert?s_x=-97.2367&amp;s_y=27.63331&amp;s_z=0.0&amp;region=contiguous&amp;s_h_frame=NAD83_2011&amp;s_coor=geo&amp;s_v_frame=NAVD88&amp;s_v_unit=us_ft&amp;t_h_frame=NAD83_2011&amp;t_coor=geo&amp;t_v_frame=MLLW&amp;t_v_unit=us_ft", "NAVD88 to MLLW")</f>
        <v>0</v>
      </c>
      <c r="AZ285" s="2">
        <f>HYPERLINK("https://vdatum.noaa.gov/vdatumweb/api/convert?s_x=-97.2367&amp;s_y=27.63331&amp;s_z=0.0&amp;region=contiguous&amp;s_h_frame=NAD83_2011&amp;s_coor=geo&amp;s_v_frame=NAVD88&amp;s_v_unit=us_ft&amp;t_h_frame=NAD83_2011&amp;t_coor=geo&amp;t_v_frame=MHHW&amp;t_v_unit=us_ft", "NAVD88 to MHHW")</f>
        <v>0</v>
      </c>
    </row>
    <row r="286" spans="1:52">
      <c r="A286" s="1" t="s">
        <v>310</v>
      </c>
      <c r="B286" s="1" t="s">
        <v>625</v>
      </c>
      <c r="D286" s="1" t="s">
        <v>654</v>
      </c>
      <c r="L286" s="1">
        <v>-97.4284</v>
      </c>
      <c r="M286" s="1">
        <v>27.289</v>
      </c>
      <c r="N286" s="1" t="s">
        <v>859</v>
      </c>
      <c r="O286" s="1" t="s">
        <v>861</v>
      </c>
      <c r="P286" s="1" t="s">
        <v>859</v>
      </c>
      <c r="T286" s="1">
        <v>4324743</v>
      </c>
      <c r="U286" s="1">
        <v>0</v>
      </c>
      <c r="V286" s="1" t="s">
        <v>869</v>
      </c>
      <c r="W286" s="1" t="s">
        <v>874</v>
      </c>
      <c r="AJ286" s="1">
        <v>0.135</v>
      </c>
      <c r="AK286" s="1">
        <v>0.135</v>
      </c>
      <c r="AY286" s="2">
        <f>HYPERLINK("https://vdatum.noaa.gov/vdatumweb/api/convert?s_x=-97.4284&amp;s_y=27.289&amp;s_z=0.0&amp;region=contiguous&amp;s_h_frame=NAD83_2011&amp;s_coor=geo&amp;s_v_frame=NAVD88&amp;s_v_unit=us_ft&amp;t_h_frame=NAD83_2011&amp;t_coor=geo&amp;t_v_frame=MLLW&amp;t_v_unit=us_ft", "NAVD88 to MLLW")</f>
        <v>0</v>
      </c>
      <c r="AZ286" s="2">
        <f>HYPERLINK("https://vdatum.noaa.gov/vdatumweb/api/convert?s_x=-97.4284&amp;s_y=27.289&amp;s_z=0.0&amp;region=contiguous&amp;s_h_frame=NAD83_2011&amp;s_coor=geo&amp;s_v_frame=NAVD88&amp;s_v_unit=us_ft&amp;t_h_frame=NAD83_2011&amp;t_coor=geo&amp;t_v_frame=MHHW&amp;t_v_unit=us_ft", "NAVD88 to MHHW")</f>
        <v>0</v>
      </c>
    </row>
    <row r="287" spans="1:52">
      <c r="A287" s="1" t="s">
        <v>311</v>
      </c>
      <c r="B287" s="1" t="s">
        <v>626</v>
      </c>
      <c r="C287" s="1" t="s">
        <v>648</v>
      </c>
      <c r="D287" s="1" t="s">
        <v>654</v>
      </c>
      <c r="E287" s="1" t="s">
        <v>744</v>
      </c>
      <c r="F287" s="1" t="s">
        <v>846</v>
      </c>
      <c r="G287" s="1" t="s">
        <v>856</v>
      </c>
      <c r="L287" s="1">
        <v>-95.1211</v>
      </c>
      <c r="M287" s="1">
        <v>29.5114</v>
      </c>
      <c r="N287" s="1">
        <v>110</v>
      </c>
      <c r="O287" s="1" t="s">
        <v>861</v>
      </c>
      <c r="P287" s="1" t="s">
        <v>868</v>
      </c>
      <c r="T287" s="1">
        <v>4036878</v>
      </c>
      <c r="U287" s="1">
        <v>0</v>
      </c>
      <c r="V287" s="1" t="s">
        <v>869</v>
      </c>
      <c r="W287" s="1" t="s">
        <v>874</v>
      </c>
      <c r="AJ287" s="1">
        <v>-999999</v>
      </c>
      <c r="AK287" s="1">
        <v>-999999</v>
      </c>
      <c r="AY287" s="2">
        <f>HYPERLINK("https://vdatum.noaa.gov/vdatumweb/api/convert?s_x=-95.1211&amp;s_y=29.5114&amp;s_z=0.0&amp;region=contiguous&amp;s_h_frame=NAD83_2011&amp;s_coor=geo&amp;s_v_frame=NAVD88&amp;s_v_unit=us_ft&amp;t_h_frame=NAD83_2011&amp;t_coor=geo&amp;t_v_frame=MLLW&amp;t_v_unit=us_ft", "Missing")</f>
        <v>0</v>
      </c>
      <c r="AZ287" s="2">
        <f>HYPERLINK("https://vdatum.noaa.gov/vdatumweb/api/convert?s_x=-95.1211&amp;s_y=29.5114&amp;s_z=0.0&amp;region=contiguous&amp;s_h_frame=NAD83_2011&amp;s_coor=geo&amp;s_v_frame=NAVD88&amp;s_v_unit=us_ft&amp;t_h_frame=NAD83_2011&amp;t_coor=geo&amp;t_v_frame=MHHW&amp;t_v_unit=us_ft", "Missing")</f>
        <v>0</v>
      </c>
    </row>
    <row r="288" spans="1:52">
      <c r="A288" s="1" t="s">
        <v>312</v>
      </c>
      <c r="B288" s="1" t="s">
        <v>626</v>
      </c>
      <c r="C288" s="1" t="s">
        <v>648</v>
      </c>
      <c r="D288" s="1" t="s">
        <v>654</v>
      </c>
      <c r="E288" s="1" t="s">
        <v>744</v>
      </c>
      <c r="F288" s="1" t="s">
        <v>846</v>
      </c>
      <c r="G288" s="1" t="s">
        <v>856</v>
      </c>
      <c r="L288" s="1">
        <v>-95.07769</v>
      </c>
      <c r="M288" s="1">
        <v>29.82904</v>
      </c>
      <c r="N288" s="1">
        <v>710</v>
      </c>
      <c r="O288" s="1" t="s">
        <v>861</v>
      </c>
      <c r="P288" s="1" t="s">
        <v>868</v>
      </c>
      <c r="T288" s="1">
        <v>4312898</v>
      </c>
      <c r="U288" s="1">
        <v>0</v>
      </c>
      <c r="V288" s="1" t="s">
        <v>869</v>
      </c>
      <c r="W288" s="1" t="s">
        <v>874</v>
      </c>
      <c r="AJ288" s="1">
        <v>0.017</v>
      </c>
      <c r="AK288" s="1">
        <v>-1.506</v>
      </c>
      <c r="AY288" s="2">
        <f>HYPERLINK("https://vdatum.noaa.gov/vdatumweb/api/convert?s_x=-95.07769&amp;s_y=29.82904&amp;s_z=0.0&amp;region=contiguous&amp;s_h_frame=NAD83_2011&amp;s_coor=geo&amp;s_v_frame=NAVD88&amp;s_v_unit=us_ft&amp;t_h_frame=NAD83_2011&amp;t_coor=geo&amp;t_v_frame=MLLW&amp;t_v_unit=us_ft", "NAVD88 to MLLW")</f>
        <v>0</v>
      </c>
      <c r="AZ288" s="2">
        <f>HYPERLINK("https://vdatum.noaa.gov/vdatumweb/api/convert?s_x=-95.07769&amp;s_y=29.82904&amp;s_z=0.0&amp;region=contiguous&amp;s_h_frame=NAD83_2011&amp;s_coor=geo&amp;s_v_frame=NAVD88&amp;s_v_unit=us_ft&amp;t_h_frame=NAD83_2011&amp;t_coor=geo&amp;t_v_frame=MHHW&amp;t_v_unit=us_ft", "NAVD88 to MHHW")</f>
        <v>0</v>
      </c>
    </row>
    <row r="289" spans="1:52">
      <c r="A289" s="1" t="s">
        <v>313</v>
      </c>
      <c r="B289" s="1" t="s">
        <v>626</v>
      </c>
      <c r="C289" s="1" t="s">
        <v>648</v>
      </c>
      <c r="D289" s="1" t="s">
        <v>654</v>
      </c>
      <c r="E289" s="1" t="s">
        <v>744</v>
      </c>
      <c r="F289" s="1" t="s">
        <v>846</v>
      </c>
      <c r="G289" s="1" t="s">
        <v>856</v>
      </c>
      <c r="L289" s="1">
        <v>-95.22795000000001</v>
      </c>
      <c r="M289" s="1">
        <v>29.77162</v>
      </c>
      <c r="N289" s="1">
        <v>820</v>
      </c>
      <c r="O289" s="1" t="s">
        <v>861</v>
      </c>
      <c r="P289" s="1" t="s">
        <v>868</v>
      </c>
      <c r="T289" s="1">
        <v>4186296</v>
      </c>
      <c r="U289" s="1">
        <v>0</v>
      </c>
      <c r="V289" s="1" t="s">
        <v>869</v>
      </c>
      <c r="W289" s="1" t="s">
        <v>874</v>
      </c>
      <c r="AJ289" s="1">
        <v>-999999</v>
      </c>
      <c r="AK289" s="1">
        <v>-999999</v>
      </c>
      <c r="AY289" s="2">
        <f>HYPERLINK("https://vdatum.noaa.gov/vdatumweb/api/convert?s_x=-95.22795&amp;s_y=29.77162&amp;s_z=0.0&amp;region=contiguous&amp;s_h_frame=NAD83_2011&amp;s_coor=geo&amp;s_v_frame=NAVD88&amp;s_v_unit=us_ft&amp;t_h_frame=NAD83_2011&amp;t_coor=geo&amp;t_v_frame=MLLW&amp;t_v_unit=us_ft", "Missing")</f>
        <v>0</v>
      </c>
      <c r="AZ289" s="2">
        <f>HYPERLINK("https://vdatum.noaa.gov/vdatumweb/api/convert?s_x=-95.22795&amp;s_y=29.77162&amp;s_z=0.0&amp;region=contiguous&amp;s_h_frame=NAD83_2011&amp;s_coor=geo&amp;s_v_frame=NAVD88&amp;s_v_unit=us_ft&amp;t_h_frame=NAD83_2011&amp;t_coor=geo&amp;t_v_frame=MHHW&amp;t_v_unit=us_ft", "Missing")</f>
        <v>0</v>
      </c>
    </row>
    <row r="290" spans="1:52">
      <c r="A290" s="1" t="s">
        <v>314</v>
      </c>
      <c r="B290" s="1" t="s">
        <v>626</v>
      </c>
      <c r="C290" s="1" t="s">
        <v>648</v>
      </c>
      <c r="D290" s="1" t="s">
        <v>654</v>
      </c>
      <c r="E290" s="1" t="s">
        <v>744</v>
      </c>
      <c r="F290" s="1" t="s">
        <v>846</v>
      </c>
      <c r="G290" s="1" t="s">
        <v>856</v>
      </c>
      <c r="L290" s="1">
        <v>-95.20014</v>
      </c>
      <c r="M290" s="1">
        <v>29.70549</v>
      </c>
      <c r="N290" s="1">
        <v>940</v>
      </c>
      <c r="O290" s="1" t="s">
        <v>861</v>
      </c>
      <c r="P290" s="1" t="s">
        <v>868</v>
      </c>
      <c r="T290" s="1">
        <v>4186296</v>
      </c>
      <c r="U290" s="1">
        <v>0</v>
      </c>
      <c r="V290" s="1" t="s">
        <v>869</v>
      </c>
      <c r="W290" s="1" t="s">
        <v>874</v>
      </c>
      <c r="AJ290" s="1">
        <v>-999999</v>
      </c>
      <c r="AK290" s="1">
        <v>-999999</v>
      </c>
      <c r="AY290" s="2">
        <f>HYPERLINK("https://vdatum.noaa.gov/vdatumweb/api/convert?s_x=-95.20014&amp;s_y=29.70549&amp;s_z=0.0&amp;region=contiguous&amp;s_h_frame=NAD83_2011&amp;s_coor=geo&amp;s_v_frame=NAVD88&amp;s_v_unit=us_ft&amp;t_h_frame=NAD83_2011&amp;t_coor=geo&amp;t_v_frame=MLLW&amp;t_v_unit=us_ft", "Missing")</f>
        <v>0</v>
      </c>
      <c r="AZ290" s="2">
        <f>HYPERLINK("https://vdatum.noaa.gov/vdatumweb/api/convert?s_x=-95.20014&amp;s_y=29.70549&amp;s_z=0.0&amp;region=contiguous&amp;s_h_frame=NAD83_2011&amp;s_coor=geo&amp;s_v_frame=NAVD88&amp;s_v_unit=us_ft&amp;t_h_frame=NAD83_2011&amp;t_coor=geo&amp;t_v_frame=MHHW&amp;t_v_unit=us_ft", "Missing")</f>
        <v>0</v>
      </c>
    </row>
    <row r="291" spans="1:52">
      <c r="A291" s="1" t="s">
        <v>315</v>
      </c>
      <c r="B291" s="1" t="s">
        <v>626</v>
      </c>
      <c r="C291" s="1" t="s">
        <v>648</v>
      </c>
      <c r="D291" s="1" t="s">
        <v>654</v>
      </c>
      <c r="E291" s="1" t="s">
        <v>744</v>
      </c>
      <c r="F291" s="1" t="s">
        <v>846</v>
      </c>
      <c r="G291" s="1" t="s">
        <v>856</v>
      </c>
      <c r="L291" s="1">
        <v>-95.14901999999999</v>
      </c>
      <c r="M291" s="1">
        <v>29.77154</v>
      </c>
      <c r="N291" s="1">
        <v>1420</v>
      </c>
      <c r="O291" s="1" t="s">
        <v>861</v>
      </c>
      <c r="P291" s="1" t="s">
        <v>868</v>
      </c>
      <c r="T291" s="1">
        <v>3726839</v>
      </c>
      <c r="U291" s="1">
        <v>0</v>
      </c>
      <c r="V291" s="1" t="s">
        <v>869</v>
      </c>
      <c r="W291" s="1" t="s">
        <v>874</v>
      </c>
      <c r="AJ291" s="1">
        <v>-999999</v>
      </c>
      <c r="AK291" s="1">
        <v>-999999</v>
      </c>
      <c r="AY291" s="2">
        <f>HYPERLINK("https://vdatum.noaa.gov/vdatumweb/api/convert?s_x=-95.14902&amp;s_y=29.77154&amp;s_z=0.0&amp;region=contiguous&amp;s_h_frame=NAD83_2011&amp;s_coor=geo&amp;s_v_frame=NAVD88&amp;s_v_unit=us_ft&amp;t_h_frame=NAD83_2011&amp;t_coor=geo&amp;t_v_frame=MLLW&amp;t_v_unit=us_ft", "Missing")</f>
        <v>0</v>
      </c>
      <c r="AZ291" s="2">
        <f>HYPERLINK("https://vdatum.noaa.gov/vdatumweb/api/convert?s_x=-95.14902&amp;s_y=29.77154&amp;s_z=0.0&amp;region=contiguous&amp;s_h_frame=NAD83_2011&amp;s_coor=geo&amp;s_v_frame=NAVD88&amp;s_v_unit=us_ft&amp;t_h_frame=NAD83_2011&amp;t_coor=geo&amp;t_v_frame=MHHW&amp;t_v_unit=us_ft", "Missing")</f>
        <v>0</v>
      </c>
    </row>
    <row r="292" spans="1:52">
      <c r="A292" s="1" t="s">
        <v>316</v>
      </c>
      <c r="B292" s="1" t="s">
        <v>626</v>
      </c>
      <c r="C292" s="1" t="s">
        <v>648</v>
      </c>
      <c r="D292" s="1" t="s">
        <v>654</v>
      </c>
      <c r="E292" s="1" t="s">
        <v>744</v>
      </c>
      <c r="F292" s="1" t="s">
        <v>846</v>
      </c>
      <c r="G292" s="1" t="s">
        <v>856</v>
      </c>
      <c r="L292" s="1">
        <v>-94.99051</v>
      </c>
      <c r="M292" s="1">
        <v>29.71345</v>
      </c>
      <c r="N292" s="1">
        <v>1520</v>
      </c>
      <c r="O292" s="1" t="s">
        <v>861</v>
      </c>
      <c r="P292" s="1" t="s">
        <v>868</v>
      </c>
      <c r="T292" s="1">
        <v>5605730</v>
      </c>
      <c r="U292" s="1">
        <v>0</v>
      </c>
      <c r="V292" s="1" t="s">
        <v>869</v>
      </c>
      <c r="W292" s="1" t="s">
        <v>874</v>
      </c>
      <c r="AJ292" s="1">
        <v>0.03</v>
      </c>
      <c r="AK292" s="1">
        <v>-1.302</v>
      </c>
      <c r="AY292" s="2">
        <f>HYPERLINK("https://vdatum.noaa.gov/vdatumweb/api/convert?s_x=-94.99051&amp;s_y=29.71345&amp;s_z=0.0&amp;region=contiguous&amp;s_h_frame=NAD83_2011&amp;s_coor=geo&amp;s_v_frame=NAVD88&amp;s_v_unit=us_ft&amp;t_h_frame=NAD83_2011&amp;t_coor=geo&amp;t_v_frame=MLLW&amp;t_v_unit=us_ft", "NAVD88 to MLLW")</f>
        <v>0</v>
      </c>
      <c r="AZ292" s="2">
        <f>HYPERLINK("https://vdatum.noaa.gov/vdatumweb/api/convert?s_x=-94.99051&amp;s_y=29.71345&amp;s_z=0.0&amp;region=contiguous&amp;s_h_frame=NAD83_2011&amp;s_coor=geo&amp;s_v_frame=NAVD88&amp;s_v_unit=us_ft&amp;t_h_frame=NAD83_2011&amp;t_coor=geo&amp;t_v_frame=MHHW&amp;t_v_unit=us_ft", "NAVD88 to MHHW")</f>
        <v>0</v>
      </c>
    </row>
    <row r="293" spans="1:52">
      <c r="A293" s="1" t="s">
        <v>317</v>
      </c>
      <c r="B293" s="1" t="s">
        <v>626</v>
      </c>
      <c r="C293" s="1" t="s">
        <v>648</v>
      </c>
      <c r="D293" s="1" t="s">
        <v>654</v>
      </c>
      <c r="E293" s="1" t="s">
        <v>744</v>
      </c>
      <c r="F293" s="1" t="s">
        <v>846</v>
      </c>
      <c r="G293" s="1" t="s">
        <v>856</v>
      </c>
      <c r="L293" s="1">
        <v>-95.20645</v>
      </c>
      <c r="M293" s="1">
        <v>29.77602</v>
      </c>
      <c r="N293" s="1">
        <v>1610</v>
      </c>
      <c r="O293" s="1" t="s">
        <v>861</v>
      </c>
      <c r="P293" s="1" t="s">
        <v>868</v>
      </c>
      <c r="T293" s="1">
        <v>4186296</v>
      </c>
      <c r="U293" s="1">
        <v>0</v>
      </c>
      <c r="V293" s="1" t="s">
        <v>869</v>
      </c>
      <c r="W293" s="1" t="s">
        <v>874</v>
      </c>
      <c r="AJ293" s="1">
        <v>-999999</v>
      </c>
      <c r="AK293" s="1">
        <v>-999999</v>
      </c>
      <c r="AY293" s="2">
        <f>HYPERLINK("https://vdatum.noaa.gov/vdatumweb/api/convert?s_x=-95.20645&amp;s_y=29.77602&amp;s_z=0.0&amp;region=contiguous&amp;s_h_frame=NAD83_2011&amp;s_coor=geo&amp;s_v_frame=NAVD88&amp;s_v_unit=us_ft&amp;t_h_frame=NAD83_2011&amp;t_coor=geo&amp;t_v_frame=MLLW&amp;t_v_unit=us_ft", "Missing")</f>
        <v>0</v>
      </c>
      <c r="AZ293" s="2">
        <f>HYPERLINK("https://vdatum.noaa.gov/vdatumweb/api/convert?s_x=-95.20645&amp;s_y=29.77602&amp;s_z=0.0&amp;region=contiguous&amp;s_h_frame=NAD83_2011&amp;s_coor=geo&amp;s_v_frame=NAVD88&amp;s_v_unit=us_ft&amp;t_h_frame=NAD83_2011&amp;t_coor=geo&amp;t_v_frame=MHHW&amp;t_v_unit=us_ft", "Missing")</f>
        <v>0</v>
      </c>
    </row>
    <row r="294" spans="1:52">
      <c r="A294" s="1" t="s">
        <v>318</v>
      </c>
      <c r="B294" s="1" t="s">
        <v>626</v>
      </c>
      <c r="C294" s="1" t="s">
        <v>648</v>
      </c>
      <c r="D294" s="1" t="s">
        <v>654</v>
      </c>
      <c r="E294" s="1" t="s">
        <v>744</v>
      </c>
      <c r="F294" s="1" t="s">
        <v>846</v>
      </c>
      <c r="G294" s="1" t="s">
        <v>856</v>
      </c>
      <c r="L294" s="1">
        <v>-95.08172</v>
      </c>
      <c r="M294" s="1">
        <v>29.76201</v>
      </c>
      <c r="N294" s="1">
        <v>2200</v>
      </c>
      <c r="O294" s="1" t="s">
        <v>861</v>
      </c>
      <c r="P294" s="1" t="s">
        <v>868</v>
      </c>
      <c r="T294" s="1">
        <v>5703940</v>
      </c>
      <c r="U294" s="1">
        <v>0</v>
      </c>
      <c r="V294" s="1" t="s">
        <v>869</v>
      </c>
      <c r="W294" s="1" t="s">
        <v>874</v>
      </c>
      <c r="AJ294" s="1">
        <v>-0.017</v>
      </c>
      <c r="AK294" s="1">
        <v>-1.487</v>
      </c>
      <c r="AY294" s="2">
        <f>HYPERLINK("https://vdatum.noaa.gov/vdatumweb/api/convert?s_x=-95.08172&amp;s_y=29.76201&amp;s_z=0.0&amp;region=contiguous&amp;s_h_frame=NAD83_2011&amp;s_coor=geo&amp;s_v_frame=NAVD88&amp;s_v_unit=us_ft&amp;t_h_frame=NAD83_2011&amp;t_coor=geo&amp;t_v_frame=MLLW&amp;t_v_unit=us_ft", "NAVD88 to MLLW")</f>
        <v>0</v>
      </c>
      <c r="AZ294" s="2">
        <f>HYPERLINK("https://vdatum.noaa.gov/vdatumweb/api/convert?s_x=-95.08172&amp;s_y=29.76201&amp;s_z=0.0&amp;region=contiguous&amp;s_h_frame=NAD83_2011&amp;s_coor=geo&amp;s_v_frame=NAVD88&amp;s_v_unit=us_ft&amp;t_h_frame=NAD83_2011&amp;t_coor=geo&amp;t_v_frame=MHHW&amp;t_v_unit=us_ft", "NAVD88 to MHHW")</f>
        <v>0</v>
      </c>
    </row>
    <row r="295" spans="1:52">
      <c r="A295" s="1" t="s">
        <v>319</v>
      </c>
      <c r="B295" s="1" t="s">
        <v>626</v>
      </c>
      <c r="C295" s="1" t="s">
        <v>648</v>
      </c>
      <c r="D295" s="1" t="s">
        <v>654</v>
      </c>
      <c r="E295" s="1" t="s">
        <v>745</v>
      </c>
      <c r="F295" s="1" t="s">
        <v>846</v>
      </c>
      <c r="G295" s="1" t="s">
        <v>856</v>
      </c>
      <c r="L295" s="1">
        <v>-94.9448</v>
      </c>
      <c r="M295" s="1">
        <v>29.3317</v>
      </c>
      <c r="N295" s="1">
        <v>4230</v>
      </c>
      <c r="O295" s="1" t="s">
        <v>861</v>
      </c>
      <c r="P295" s="1" t="s">
        <v>868</v>
      </c>
      <c r="T295" s="1">
        <v>7920247</v>
      </c>
      <c r="U295" s="1">
        <v>0</v>
      </c>
      <c r="V295" s="1" t="s">
        <v>869</v>
      </c>
      <c r="W295" s="1" t="s">
        <v>874</v>
      </c>
      <c r="AJ295" s="1">
        <v>0.023</v>
      </c>
      <c r="AK295" s="1">
        <v>-1.095</v>
      </c>
      <c r="AY295" s="2">
        <f>HYPERLINK("https://vdatum.noaa.gov/vdatumweb/api/convert?s_x=-94.9448&amp;s_y=29.3317&amp;s_z=0.0&amp;region=contiguous&amp;s_h_frame=NAD83_2011&amp;s_coor=geo&amp;s_v_frame=NAVD88&amp;s_v_unit=us_ft&amp;t_h_frame=NAD83_2011&amp;t_coor=geo&amp;t_v_frame=MLLW&amp;t_v_unit=us_ft", "NAVD88 to MLLW")</f>
        <v>0</v>
      </c>
      <c r="AZ295" s="2">
        <f>HYPERLINK("https://vdatum.noaa.gov/vdatumweb/api/convert?s_x=-94.9448&amp;s_y=29.3317&amp;s_z=0.0&amp;region=contiguous&amp;s_h_frame=NAD83_2011&amp;s_coor=geo&amp;s_v_frame=NAVD88&amp;s_v_unit=us_ft&amp;t_h_frame=NAD83_2011&amp;t_coor=geo&amp;t_v_frame=MHHW&amp;t_v_unit=us_ft", "NAVD88 to MHHW")</f>
        <v>0</v>
      </c>
    </row>
    <row r="296" spans="1:52">
      <c r="A296" s="1" t="s">
        <v>320</v>
      </c>
      <c r="B296" s="1" t="s">
        <v>626</v>
      </c>
      <c r="C296" s="1" t="s">
        <v>648</v>
      </c>
      <c r="D296" s="1" t="s">
        <v>654</v>
      </c>
      <c r="E296" s="1" t="s">
        <v>745</v>
      </c>
      <c r="F296" s="1" t="s">
        <v>846</v>
      </c>
      <c r="G296" s="1" t="s">
        <v>856</v>
      </c>
      <c r="L296" s="1">
        <v>-95.0478</v>
      </c>
      <c r="M296" s="1">
        <v>29.4565</v>
      </c>
      <c r="N296" s="1">
        <v>5350</v>
      </c>
      <c r="O296" s="1" t="s">
        <v>861</v>
      </c>
      <c r="P296" s="1" t="s">
        <v>868</v>
      </c>
      <c r="T296" s="1">
        <v>8657856</v>
      </c>
      <c r="U296" s="1">
        <v>0</v>
      </c>
      <c r="V296" s="1" t="s">
        <v>869</v>
      </c>
      <c r="W296" s="1" t="s">
        <v>874</v>
      </c>
      <c r="AJ296" s="1">
        <v>-999999</v>
      </c>
      <c r="AK296" s="1">
        <v>-999999</v>
      </c>
      <c r="AY296" s="2">
        <f>HYPERLINK("https://vdatum.noaa.gov/vdatumweb/api/convert?s_x=-95.0478&amp;s_y=29.4565&amp;s_z=0.0&amp;region=contiguous&amp;s_h_frame=NAD83_2011&amp;s_coor=geo&amp;s_v_frame=NAVD88&amp;s_v_unit=us_ft&amp;t_h_frame=NAD83_2011&amp;t_coor=geo&amp;t_v_frame=MLLW&amp;t_v_unit=us_ft", "Missing")</f>
        <v>0</v>
      </c>
      <c r="AZ296" s="2">
        <f>HYPERLINK("https://vdatum.noaa.gov/vdatumweb/api/convert?s_x=-95.0478&amp;s_y=29.4565&amp;s_z=0.0&amp;region=contiguous&amp;s_h_frame=NAD83_2011&amp;s_coor=geo&amp;s_v_frame=NAVD88&amp;s_v_unit=us_ft&amp;t_h_frame=NAD83_2011&amp;t_coor=geo&amp;t_v_frame=MHHW&amp;t_v_unit=us_ft", "Missing")</f>
        <v>0</v>
      </c>
    </row>
    <row r="297" spans="1:52">
      <c r="A297" s="1" t="s">
        <v>321</v>
      </c>
      <c r="B297" s="1" t="s">
        <v>626</v>
      </c>
      <c r="C297" s="1" t="s">
        <v>648</v>
      </c>
      <c r="D297" s="1" t="s">
        <v>654</v>
      </c>
      <c r="L297" s="1">
        <v>-94.985</v>
      </c>
      <c r="M297" s="1">
        <v>29.68167</v>
      </c>
      <c r="N297" s="1">
        <v>8770613</v>
      </c>
      <c r="O297" s="1" t="s">
        <v>860</v>
      </c>
      <c r="P297" s="1" t="s">
        <v>866</v>
      </c>
      <c r="Q297" s="2">
        <f>HYPERLINK("https://tidesandcurrents.noaa.gov/stationhome.html?id=8770613", "Station Info")</f>
        <v>0</v>
      </c>
      <c r="R297" s="2">
        <f>HYPERLINK("https://tidesandcurrents.noaa.gov/datums.html?datum=MLLW&amp;units=0&amp;epoch=0&amp;id=8770613", "Datum Info")</f>
        <v>0</v>
      </c>
      <c r="S297" s="2">
        <f>HYPERLINK("https://api.tidesandcurrents.noaa.gov/mdapi/prod/webapi/stations/8770613.json", "More Info")</f>
        <v>0</v>
      </c>
      <c r="T297" s="1">
        <v>7269389</v>
      </c>
      <c r="U297" s="1">
        <v>0</v>
      </c>
      <c r="V297" s="1" t="s">
        <v>869</v>
      </c>
      <c r="W297" s="1" t="s">
        <v>874</v>
      </c>
      <c r="X297" s="1" t="s">
        <v>886</v>
      </c>
      <c r="Y297" s="1">
        <v>1.33</v>
      </c>
      <c r="Z297" s="1">
        <v>1.26</v>
      </c>
      <c r="AA297" s="1">
        <v>0.6899999999999999</v>
      </c>
      <c r="AB297" s="1">
        <v>0.73</v>
      </c>
      <c r="AC297" s="1">
        <v>0.67</v>
      </c>
      <c r="AD297" s="1">
        <v>0.13</v>
      </c>
      <c r="AE297" s="1">
        <v>0</v>
      </c>
      <c r="AF297" s="1">
        <v>-0.01</v>
      </c>
      <c r="AG297" s="1">
        <v>-5.13</v>
      </c>
      <c r="AH297" s="1" t="s">
        <v>1223</v>
      </c>
      <c r="AI297" s="1" t="s">
        <v>1488</v>
      </c>
      <c r="AJ297" s="1">
        <v>0.053</v>
      </c>
      <c r="AK297" s="1">
        <v>-1.259</v>
      </c>
      <c r="AY297" s="2">
        <f>HYPERLINK("https://vdatum.noaa.gov/vdatumweb/api/convert?s_x=-94.985&amp;s_y=29.68167&amp;s_z=0.0&amp;region=contiguous&amp;s_h_frame=NAD83_2011&amp;s_coor=geo&amp;s_v_frame=NAVD88&amp;s_v_unit=us_ft&amp;t_h_frame=NAD83_2011&amp;t_coor=geo&amp;t_v_frame=MLLW&amp;t_v_unit=us_ft", "NAVD88 to MLLW")</f>
        <v>0</v>
      </c>
      <c r="AZ297" s="2">
        <f>HYPERLINK("https://vdatum.noaa.gov/vdatumweb/api/convert?s_x=-94.985&amp;s_y=29.68167&amp;s_z=0.0&amp;region=contiguous&amp;s_h_frame=NAD83_2011&amp;s_coor=geo&amp;s_v_frame=NAVD88&amp;s_v_unit=us_ft&amp;t_h_frame=NAD83_2011&amp;t_coor=geo&amp;t_v_frame=MHHW&amp;t_v_unit=us_ft", "NAVD88 to MHHW")</f>
        <v>0</v>
      </c>
    </row>
    <row r="298" spans="1:52">
      <c r="A298" s="1" t="s">
        <v>322</v>
      </c>
      <c r="B298" s="1" t="s">
        <v>626</v>
      </c>
      <c r="C298" s="1" t="s">
        <v>648</v>
      </c>
      <c r="D298" s="1" t="s">
        <v>654</v>
      </c>
      <c r="E298" s="1" t="s">
        <v>744</v>
      </c>
      <c r="F298" s="1" t="s">
        <v>846</v>
      </c>
      <c r="G298" s="1" t="s">
        <v>856</v>
      </c>
      <c r="L298" s="1">
        <v>-95.0789</v>
      </c>
      <c r="M298" s="1">
        <v>29.76486</v>
      </c>
      <c r="N298" s="1">
        <v>8770733</v>
      </c>
      <c r="O298" s="1" t="s">
        <v>861</v>
      </c>
      <c r="P298" s="1" t="s">
        <v>866</v>
      </c>
      <c r="Q298" s="2">
        <f>HYPERLINK("https://tidesandcurrents.noaa.gov/stationhome.html?id=8770733", "Station Info")</f>
        <v>0</v>
      </c>
      <c r="R298" s="2">
        <f>HYPERLINK("https://tidesandcurrents.noaa.gov/datums.html?datum=MLLW&amp;units=0&amp;epoch=0&amp;id=8770733", "Datum Info")</f>
        <v>0</v>
      </c>
      <c r="S298" s="2">
        <f>HYPERLINK("https://api.tidesandcurrents.noaa.gov/mdapi/prod/webapi/stations/8770733.json", "More Info")</f>
        <v>0</v>
      </c>
      <c r="T298" s="1">
        <v>5591448</v>
      </c>
      <c r="U298" s="1">
        <v>0</v>
      </c>
      <c r="V298" s="1" t="s">
        <v>869</v>
      </c>
      <c r="W298" s="1" t="s">
        <v>874</v>
      </c>
      <c r="X298" s="1" t="s">
        <v>886</v>
      </c>
      <c r="Y298" s="1">
        <v>1.49</v>
      </c>
      <c r="Z298" s="1">
        <v>1.39</v>
      </c>
      <c r="AA298" s="1">
        <v>0.78</v>
      </c>
      <c r="AB298" s="1">
        <v>0.8100000000000001</v>
      </c>
      <c r="AC298" s="1">
        <v>0.74</v>
      </c>
      <c r="AD298" s="1">
        <v>0.18</v>
      </c>
      <c r="AE298" s="1">
        <v>0</v>
      </c>
      <c r="AF298" s="1">
        <v>-0.04</v>
      </c>
      <c r="AG298" s="1">
        <v>-4.56</v>
      </c>
      <c r="AH298" s="1" t="s">
        <v>997</v>
      </c>
      <c r="AI298" s="1" t="s">
        <v>1489</v>
      </c>
      <c r="AJ298" s="1">
        <v>0.002</v>
      </c>
      <c r="AK298" s="1">
        <v>-1.474</v>
      </c>
      <c r="AY298" s="2">
        <f>HYPERLINK("https://vdatum.noaa.gov/vdatumweb/api/convert?s_x=-95.0789&amp;s_y=29.76486&amp;s_z=0.0&amp;region=contiguous&amp;s_h_frame=NAD83_2011&amp;s_coor=geo&amp;s_v_frame=NAVD88&amp;s_v_unit=us_ft&amp;t_h_frame=NAD83_2011&amp;t_coor=geo&amp;t_v_frame=MLLW&amp;t_v_unit=us_ft", "NAVD88 to MLLW")</f>
        <v>0</v>
      </c>
      <c r="AZ298" s="2">
        <f>HYPERLINK("https://vdatum.noaa.gov/vdatumweb/api/convert?s_x=-95.0789&amp;s_y=29.76486&amp;s_z=0.0&amp;region=contiguous&amp;s_h_frame=NAD83_2011&amp;s_coor=geo&amp;s_v_frame=NAVD88&amp;s_v_unit=us_ft&amp;t_h_frame=NAD83_2011&amp;t_coor=geo&amp;t_v_frame=MHHW&amp;t_v_unit=us_ft", "NAVD88 to MHHW")</f>
        <v>0</v>
      </c>
    </row>
    <row r="299" spans="1:52">
      <c r="A299" s="1" t="s">
        <v>323</v>
      </c>
      <c r="B299" s="1" t="s">
        <v>626</v>
      </c>
      <c r="C299" s="1" t="s">
        <v>648</v>
      </c>
      <c r="D299" s="1" t="s">
        <v>654</v>
      </c>
      <c r="E299" s="1" t="s">
        <v>744</v>
      </c>
      <c r="F299" s="1" t="s">
        <v>846</v>
      </c>
      <c r="G299" s="1" t="s">
        <v>856</v>
      </c>
      <c r="L299" s="1">
        <v>-95.2658</v>
      </c>
      <c r="M299" s="1">
        <v>29.72622</v>
      </c>
      <c r="N299" s="1">
        <v>8770777</v>
      </c>
      <c r="O299" s="1" t="s">
        <v>860</v>
      </c>
      <c r="P299" s="1" t="s">
        <v>866</v>
      </c>
      <c r="Q299" s="2">
        <f>HYPERLINK("https://tidesandcurrents.noaa.gov/stationhome.html?id=8770777", "Station Info")</f>
        <v>0</v>
      </c>
      <c r="R299" s="2">
        <f>HYPERLINK("https://tidesandcurrents.noaa.gov/datums.html?datum=MLLW&amp;units=0&amp;epoch=0&amp;id=8770777", "Datum Info")</f>
        <v>0</v>
      </c>
      <c r="S299" s="2">
        <f>HYPERLINK("https://api.tidesandcurrents.noaa.gov/mdapi/prod/webapi/stations/8770777.json", "More Info")</f>
        <v>0</v>
      </c>
      <c r="T299" s="1">
        <v>2858690</v>
      </c>
      <c r="U299" s="1">
        <v>0</v>
      </c>
      <c r="V299" s="1" t="s">
        <v>869</v>
      </c>
      <c r="W299" s="1" t="s">
        <v>874</v>
      </c>
      <c r="X299" s="1" t="s">
        <v>886</v>
      </c>
      <c r="Y299" s="1">
        <v>1.62</v>
      </c>
      <c r="Z299" s="1">
        <v>1.5</v>
      </c>
      <c r="AA299" s="1">
        <v>0.87</v>
      </c>
      <c r="AB299" s="1">
        <v>0.89</v>
      </c>
      <c r="AC299" s="1">
        <v>0.8100000000000001</v>
      </c>
      <c r="AD299" s="1">
        <v>0.24</v>
      </c>
      <c r="AE299" s="1">
        <v>0</v>
      </c>
      <c r="AF299" s="1">
        <v>-0.13</v>
      </c>
      <c r="AG299" s="1">
        <v>-5.52</v>
      </c>
      <c r="AH299" s="1" t="s">
        <v>1224</v>
      </c>
      <c r="AI299" s="1" t="s">
        <v>1490</v>
      </c>
      <c r="AJ299" s="1">
        <v>-0.154</v>
      </c>
      <c r="AK299" s="1">
        <v>-1.797</v>
      </c>
      <c r="AY299" s="2">
        <f>HYPERLINK("https://vdatum.noaa.gov/vdatumweb/api/convert?s_x=-95.2658&amp;s_y=29.72622&amp;s_z=0.0&amp;region=contiguous&amp;s_h_frame=NAD83_2011&amp;s_coor=geo&amp;s_v_frame=NAVD88&amp;s_v_unit=us_ft&amp;t_h_frame=NAD83_2011&amp;t_coor=geo&amp;t_v_frame=MLLW&amp;t_v_unit=us_ft", "NAVD88 to MLLW")</f>
        <v>0</v>
      </c>
      <c r="AZ299" s="2">
        <f>HYPERLINK("https://vdatum.noaa.gov/vdatumweb/api/convert?s_x=-95.2658&amp;s_y=29.72622&amp;s_z=0.0&amp;region=contiguous&amp;s_h_frame=NAD83_2011&amp;s_coor=geo&amp;s_v_frame=NAVD88&amp;s_v_unit=us_ft&amp;t_h_frame=NAD83_2011&amp;t_coor=geo&amp;t_v_frame=MHHW&amp;t_v_unit=us_ft", "NAVD88 to MHHW")</f>
        <v>0</v>
      </c>
    </row>
    <row r="300" spans="1:52">
      <c r="A300" s="1" t="s">
        <v>324</v>
      </c>
      <c r="B300" s="1" t="s">
        <v>626</v>
      </c>
      <c r="C300" s="1" t="s">
        <v>648</v>
      </c>
      <c r="D300" s="1" t="s">
        <v>654</v>
      </c>
      <c r="E300" s="1" t="s">
        <v>745</v>
      </c>
      <c r="F300" s="1" t="s">
        <v>846</v>
      </c>
      <c r="G300" s="1" t="s">
        <v>856</v>
      </c>
      <c r="L300" s="1">
        <v>-94.51300000000001</v>
      </c>
      <c r="M300" s="1">
        <v>29.515</v>
      </c>
      <c r="N300" s="1">
        <v>8770971</v>
      </c>
      <c r="O300" s="1" t="s">
        <v>860</v>
      </c>
      <c r="P300" s="1" t="s">
        <v>866</v>
      </c>
      <c r="Q300" s="2">
        <f>HYPERLINK("https://tidesandcurrents.noaa.gov/stationhome.html?id=8770971", "Station Info")</f>
        <v>0</v>
      </c>
      <c r="R300" s="2">
        <f>HYPERLINK("https://tidesandcurrents.noaa.gov/datums.html?datum=MLLW&amp;units=0&amp;epoch=0&amp;id=8770971", "Datum Info")</f>
        <v>0</v>
      </c>
      <c r="S300" s="2">
        <f>HYPERLINK("https://api.tidesandcurrents.noaa.gov/mdapi/prod/webapi/stations/8770971.json", "More Info")</f>
        <v>0</v>
      </c>
      <c r="T300" s="1">
        <v>4026519</v>
      </c>
      <c r="U300" s="1">
        <v>0</v>
      </c>
      <c r="V300" s="1" t="s">
        <v>869</v>
      </c>
      <c r="W300" s="1" t="s">
        <v>874</v>
      </c>
      <c r="X300" s="1" t="s">
        <v>886</v>
      </c>
      <c r="Y300" s="1">
        <v>1.35</v>
      </c>
      <c r="Z300" s="1">
        <v>1.25</v>
      </c>
      <c r="AA300" s="1">
        <v>0.72</v>
      </c>
      <c r="AB300" s="1">
        <v>0.74</v>
      </c>
      <c r="AC300" s="1">
        <v>0.68</v>
      </c>
      <c r="AD300" s="1">
        <v>0.19</v>
      </c>
      <c r="AE300" s="1">
        <v>0</v>
      </c>
      <c r="AF300" s="1">
        <v>0.74</v>
      </c>
      <c r="AG300" s="1">
        <v>-3.2</v>
      </c>
      <c r="AH300" s="1" t="s">
        <v>1225</v>
      </c>
      <c r="AI300" s="1" t="s">
        <v>1491</v>
      </c>
      <c r="AJ300" s="1">
        <v>0.13</v>
      </c>
      <c r="AK300" s="1">
        <v>-1.204</v>
      </c>
      <c r="AY300" s="2">
        <f>HYPERLINK("https://vdatum.noaa.gov/vdatumweb/api/convert?s_x=-94.513&amp;s_y=29.515&amp;s_z=0.0&amp;region=contiguous&amp;s_h_frame=NAD83_2011&amp;s_coor=geo&amp;s_v_frame=NAVD88&amp;s_v_unit=us_ft&amp;t_h_frame=NAD83_2011&amp;t_coor=geo&amp;t_v_frame=MLLW&amp;t_v_unit=us_ft", "NAVD88 to MLLW")</f>
        <v>0</v>
      </c>
      <c r="AZ300" s="2">
        <f>HYPERLINK("https://vdatum.noaa.gov/vdatumweb/api/convert?s_x=-94.513&amp;s_y=29.515&amp;s_z=0.0&amp;region=contiguous&amp;s_h_frame=NAD83_2011&amp;s_coor=geo&amp;s_v_frame=NAVD88&amp;s_v_unit=us_ft&amp;t_h_frame=NAD83_2011&amp;t_coor=geo&amp;t_v_frame=MHHW&amp;t_v_unit=us_ft", "NAVD88 to MHHW")</f>
        <v>0</v>
      </c>
    </row>
    <row r="301" spans="1:52">
      <c r="A301" s="1" t="s">
        <v>325</v>
      </c>
      <c r="B301" s="1" t="s">
        <v>626</v>
      </c>
      <c r="D301" s="1" t="s">
        <v>654</v>
      </c>
      <c r="L301" s="1">
        <v>-94.9183</v>
      </c>
      <c r="M301" s="1">
        <v>29.48</v>
      </c>
      <c r="N301" s="1">
        <v>8771013</v>
      </c>
      <c r="O301" s="1" t="s">
        <v>860</v>
      </c>
      <c r="P301" s="1" t="s">
        <v>866</v>
      </c>
      <c r="Q301" s="2">
        <f>HYPERLINK("https://tidesandcurrents.noaa.gov/stationhome.html?id=8771013", "Station Info")</f>
        <v>0</v>
      </c>
      <c r="R301" s="2">
        <f>HYPERLINK("https://tidesandcurrents.noaa.gov/datums.html?datum=MLLW&amp;units=0&amp;epoch=0&amp;id=8771013", "Datum Info")</f>
        <v>0</v>
      </c>
      <c r="S301" s="2">
        <f>HYPERLINK("https://api.tidesandcurrents.noaa.gov/mdapi/prod/webapi/stations/8771013.json", "More Info")</f>
        <v>0</v>
      </c>
      <c r="T301" s="1">
        <v>8168808</v>
      </c>
      <c r="U301" s="1">
        <v>0.207</v>
      </c>
      <c r="V301" s="1" t="s">
        <v>869</v>
      </c>
      <c r="W301" s="1" t="s">
        <v>874</v>
      </c>
      <c r="X301" s="1" t="s">
        <v>886</v>
      </c>
      <c r="Y301" s="1">
        <v>1.12</v>
      </c>
      <c r="Z301" s="1">
        <v>1.08</v>
      </c>
      <c r="AA301" s="1">
        <v>0.57</v>
      </c>
      <c r="AB301" s="1">
        <v>0.61</v>
      </c>
      <c r="AC301" s="1">
        <v>0.5600000000000001</v>
      </c>
      <c r="AD301" s="1">
        <v>0.06</v>
      </c>
      <c r="AE301" s="1">
        <v>0</v>
      </c>
      <c r="AF301" s="1" t="s">
        <v>1021</v>
      </c>
      <c r="AG301" s="1">
        <v>-4.27</v>
      </c>
      <c r="AH301" s="1" t="s">
        <v>1226</v>
      </c>
      <c r="AI301" s="1" t="s">
        <v>1073</v>
      </c>
      <c r="AJ301" s="1">
        <v>-0.078</v>
      </c>
      <c r="AK301" s="1">
        <v>-1.178</v>
      </c>
      <c r="AY301" s="2">
        <f>HYPERLINK("https://vdatum.noaa.gov/vdatumweb/api/convert?s_x=-94.9183&amp;s_y=29.48&amp;s_z=0.0&amp;region=contiguous&amp;s_h_frame=NAD83_2011&amp;s_coor=geo&amp;s_v_frame=NAVD88&amp;s_v_unit=us_ft&amp;t_h_frame=NAD83_2011&amp;t_coor=geo&amp;t_v_frame=MLLW&amp;t_v_unit=us_ft", "NAVD88 to MLLW")</f>
        <v>0</v>
      </c>
      <c r="AZ301" s="2">
        <f>HYPERLINK("https://vdatum.noaa.gov/vdatumweb/api/convert?s_x=-94.9183&amp;s_y=29.48&amp;s_z=0.0&amp;region=contiguous&amp;s_h_frame=NAD83_2011&amp;s_coor=geo&amp;s_v_frame=NAVD88&amp;s_v_unit=us_ft&amp;t_h_frame=NAD83_2011&amp;t_coor=geo&amp;t_v_frame=MHHW&amp;t_v_unit=us_ft", "NAVD88 to MHHW")</f>
        <v>0</v>
      </c>
    </row>
    <row r="302" spans="1:52">
      <c r="A302" s="1" t="s">
        <v>326</v>
      </c>
      <c r="B302" s="1" t="s">
        <v>626</v>
      </c>
      <c r="D302" s="1" t="s">
        <v>654</v>
      </c>
      <c r="L302" s="1">
        <v>-94.7248</v>
      </c>
      <c r="M302" s="1">
        <v>29.3573</v>
      </c>
      <c r="N302" s="1">
        <v>8771341</v>
      </c>
      <c r="O302" s="1" t="s">
        <v>860</v>
      </c>
      <c r="P302" s="1" t="s">
        <v>866</v>
      </c>
      <c r="Q302" s="2">
        <f>HYPERLINK("https://tidesandcurrents.noaa.gov/stationhome.html?id=8771341", "Station Info")</f>
        <v>0</v>
      </c>
      <c r="R302" s="2">
        <f>HYPERLINK("https://tidesandcurrents.noaa.gov/datums.html?datum=MLLW&amp;units=0&amp;epoch=0&amp;id=8771341", "Datum Info")</f>
        <v>0</v>
      </c>
      <c r="S302" s="2">
        <f>HYPERLINK("https://api.tidesandcurrents.noaa.gov/mdapi/prod/webapi/stations/8771341.json", "More Info")</f>
        <v>0</v>
      </c>
      <c r="T302" s="1">
        <v>3030808</v>
      </c>
      <c r="U302" s="1">
        <v>0</v>
      </c>
      <c r="V302" s="1" t="s">
        <v>869</v>
      </c>
      <c r="W302" s="1" t="s">
        <v>874</v>
      </c>
      <c r="X302" s="1" t="s">
        <v>886</v>
      </c>
      <c r="Y302" s="1">
        <v>1.67</v>
      </c>
      <c r="Z302" s="1">
        <v>1.55</v>
      </c>
      <c r="AA302" s="1">
        <v>0.97</v>
      </c>
      <c r="AB302" s="1">
        <v>0.97</v>
      </c>
      <c r="AC302" s="1">
        <v>0.83</v>
      </c>
      <c r="AD302" s="1">
        <v>0.39</v>
      </c>
      <c r="AE302" s="1">
        <v>0</v>
      </c>
      <c r="AF302" s="1">
        <v>0.5600000000000001</v>
      </c>
      <c r="AG302" s="1">
        <v>-9.09</v>
      </c>
      <c r="AH302" s="1" t="s">
        <v>1227</v>
      </c>
      <c r="AI302" s="1" t="s">
        <v>1492</v>
      </c>
      <c r="AJ302" s="1">
        <v>0.422</v>
      </c>
      <c r="AK302" s="1">
        <v>-1.274</v>
      </c>
      <c r="AY302" s="2">
        <f>HYPERLINK("https://vdatum.noaa.gov/vdatumweb/api/convert?s_x=-94.7248&amp;s_y=29.3573&amp;s_z=0.0&amp;region=contiguous&amp;s_h_frame=NAD83_2011&amp;s_coor=geo&amp;s_v_frame=NAVD88&amp;s_v_unit=us_ft&amp;t_h_frame=NAD83_2011&amp;t_coor=geo&amp;t_v_frame=MLLW&amp;t_v_unit=us_ft", "NAVD88 to MLLW")</f>
        <v>0</v>
      </c>
      <c r="AZ302" s="2">
        <f>HYPERLINK("https://vdatum.noaa.gov/vdatumweb/api/convert?s_x=-94.7248&amp;s_y=29.3573&amp;s_z=0.0&amp;region=contiguous&amp;s_h_frame=NAD83_2011&amp;s_coor=geo&amp;s_v_frame=NAVD88&amp;s_v_unit=us_ft&amp;t_h_frame=NAD83_2011&amp;t_coor=geo&amp;t_v_frame=MHHW&amp;t_v_unit=us_ft", "NAVD88 to MHHW")</f>
        <v>0</v>
      </c>
    </row>
    <row r="303" spans="1:52">
      <c r="A303" s="1" t="s">
        <v>327</v>
      </c>
      <c r="B303" s="1" t="s">
        <v>626</v>
      </c>
      <c r="C303" s="1" t="s">
        <v>648</v>
      </c>
      <c r="D303" s="1" t="s">
        <v>654</v>
      </c>
      <c r="L303" s="1">
        <v>-94.7933</v>
      </c>
      <c r="M303" s="1">
        <v>29.31</v>
      </c>
      <c r="N303" s="1">
        <v>8771450</v>
      </c>
      <c r="O303" s="1" t="s">
        <v>860</v>
      </c>
      <c r="P303" s="1" t="s">
        <v>866</v>
      </c>
      <c r="Q303" s="2">
        <f>HYPERLINK("https://tidesandcurrents.noaa.gov/stationhome.html?id=8771450", "Station Info")</f>
        <v>0</v>
      </c>
      <c r="R303" s="2">
        <f>HYPERLINK("https://tidesandcurrents.noaa.gov/datums.html?datum=MLLW&amp;units=0&amp;epoch=0&amp;id=8771450", "Datum Info")</f>
        <v>0</v>
      </c>
      <c r="S303" s="2">
        <f>HYPERLINK("https://api.tidesandcurrents.noaa.gov/mdapi/prod/webapi/stations/8771450.json", "More Info")</f>
        <v>0</v>
      </c>
      <c r="T303" s="1">
        <v>3210024</v>
      </c>
      <c r="U303" s="1">
        <v>0</v>
      </c>
      <c r="V303" s="1" t="s">
        <v>869</v>
      </c>
      <c r="W303" s="1" t="s">
        <v>874</v>
      </c>
      <c r="X303" s="1" t="s">
        <v>886</v>
      </c>
      <c r="Y303" s="1">
        <v>1.41</v>
      </c>
      <c r="Z303" s="1">
        <v>1.32</v>
      </c>
      <c r="AA303" s="1">
        <v>0.82</v>
      </c>
      <c r="AB303" s="1">
        <v>0.83</v>
      </c>
      <c r="AC303" s="1">
        <v>0.71</v>
      </c>
      <c r="AD303" s="1">
        <v>0.3</v>
      </c>
      <c r="AE303" s="1">
        <v>0</v>
      </c>
      <c r="AF303" s="1">
        <v>0.31</v>
      </c>
      <c r="AG303" s="1">
        <v>-4.38</v>
      </c>
      <c r="AH303" s="1" t="s">
        <v>1228</v>
      </c>
      <c r="AI303" s="1" t="s">
        <v>1476</v>
      </c>
      <c r="AJ303" s="1">
        <v>0.142</v>
      </c>
      <c r="AK303" s="1">
        <v>-1.265</v>
      </c>
      <c r="AY303" s="2">
        <f>HYPERLINK("https://vdatum.noaa.gov/vdatumweb/api/convert?s_x=-94.7933&amp;s_y=29.31&amp;s_z=0.0&amp;region=contiguous&amp;s_h_frame=NAD83_2011&amp;s_coor=geo&amp;s_v_frame=NAVD88&amp;s_v_unit=us_ft&amp;t_h_frame=NAD83_2011&amp;t_coor=geo&amp;t_v_frame=MLLW&amp;t_v_unit=us_ft", "NAVD88 to MLLW")</f>
        <v>0</v>
      </c>
      <c r="AZ303" s="2">
        <f>HYPERLINK("https://vdatum.noaa.gov/vdatumweb/api/convert?s_x=-94.7933&amp;s_y=29.31&amp;s_z=0.0&amp;region=contiguous&amp;s_h_frame=NAD83_2011&amp;s_coor=geo&amp;s_v_frame=NAVD88&amp;s_v_unit=us_ft&amp;t_h_frame=NAD83_2011&amp;t_coor=geo&amp;t_v_frame=MHHW&amp;t_v_unit=us_ft", "NAVD88 to MHHW")</f>
        <v>0</v>
      </c>
    </row>
    <row r="304" spans="1:52">
      <c r="A304" s="1" t="s">
        <v>328</v>
      </c>
      <c r="B304" s="1" t="s">
        <v>626</v>
      </c>
      <c r="D304" s="1" t="s">
        <v>654</v>
      </c>
      <c r="L304" s="1">
        <v>-94.89709999999999</v>
      </c>
      <c r="M304" s="1">
        <v>29.30258</v>
      </c>
      <c r="N304" s="1">
        <v>8771486</v>
      </c>
      <c r="O304" s="1" t="s">
        <v>860</v>
      </c>
      <c r="P304" s="1" t="s">
        <v>866</v>
      </c>
      <c r="Q304" s="2">
        <f>HYPERLINK("https://tidesandcurrents.noaa.gov/stationhome.html?id=8771486", "Station Info")</f>
        <v>0</v>
      </c>
      <c r="R304" s="2">
        <f>HYPERLINK("https://tidesandcurrents.noaa.gov/datums.html?datum=MLLW&amp;units=0&amp;epoch=0&amp;id=8771486", "Datum Info")</f>
        <v>0</v>
      </c>
      <c r="S304" s="2">
        <f>HYPERLINK("https://api.tidesandcurrents.noaa.gov/mdapi/prod/webapi/stations/8771486.json", "More Info")</f>
        <v>0</v>
      </c>
      <c r="T304" s="1">
        <v>7025298</v>
      </c>
      <c r="U304" s="1">
        <v>0</v>
      </c>
      <c r="V304" s="1" t="s">
        <v>869</v>
      </c>
      <c r="W304" s="1" t="s">
        <v>874</v>
      </c>
      <c r="X304" s="1" t="s">
        <v>886</v>
      </c>
      <c r="Y304" s="1">
        <v>1.27</v>
      </c>
      <c r="Z304" s="1">
        <v>1.19</v>
      </c>
      <c r="AA304" s="1">
        <v>0.7</v>
      </c>
      <c r="AB304" s="1">
        <v>0.75</v>
      </c>
      <c r="AC304" s="1">
        <v>0.63</v>
      </c>
      <c r="AD304" s="1">
        <v>0.21</v>
      </c>
      <c r="AE304" s="1">
        <v>0</v>
      </c>
      <c r="AF304" s="1">
        <v>0.35</v>
      </c>
      <c r="AG304" s="1">
        <v>-19.45</v>
      </c>
      <c r="AH304" s="1" t="s">
        <v>1229</v>
      </c>
      <c r="AI304" s="1" t="s">
        <v>1493</v>
      </c>
      <c r="AJ304" s="1">
        <v>0.08799999999999999</v>
      </c>
      <c r="AK304" s="1">
        <v>-1.109</v>
      </c>
      <c r="AY304" s="2">
        <f>HYPERLINK("https://vdatum.noaa.gov/vdatumweb/api/convert?s_x=-94.8971&amp;s_y=29.30258&amp;s_z=0.0&amp;region=contiguous&amp;s_h_frame=NAD83_2011&amp;s_coor=geo&amp;s_v_frame=NAVD88&amp;s_v_unit=us_ft&amp;t_h_frame=NAD83_2011&amp;t_coor=geo&amp;t_v_frame=MLLW&amp;t_v_unit=us_ft", "NAVD88 to MLLW")</f>
        <v>0</v>
      </c>
      <c r="AZ304" s="2">
        <f>HYPERLINK("https://vdatum.noaa.gov/vdatumweb/api/convert?s_x=-94.8971&amp;s_y=29.30258&amp;s_z=0.0&amp;region=contiguous&amp;s_h_frame=NAD83_2011&amp;s_coor=geo&amp;s_v_frame=NAVD88&amp;s_v_unit=us_ft&amp;t_h_frame=NAD83_2011&amp;t_coor=geo&amp;t_v_frame=MHHW&amp;t_v_unit=us_ft", "NAVD88 to MHHW")</f>
        <v>0</v>
      </c>
    </row>
    <row r="305" spans="1:52">
      <c r="A305" s="1" t="s">
        <v>329</v>
      </c>
      <c r="B305" s="1" t="s">
        <v>626</v>
      </c>
      <c r="D305" s="1" t="s">
        <v>654</v>
      </c>
      <c r="E305" s="1" t="s">
        <v>745</v>
      </c>
      <c r="F305" s="1" t="s">
        <v>846</v>
      </c>
      <c r="G305" s="1" t="s">
        <v>856</v>
      </c>
      <c r="L305" s="1">
        <v>-94.7894</v>
      </c>
      <c r="M305" s="1">
        <v>29.2853</v>
      </c>
      <c r="N305" s="1">
        <v>8771510</v>
      </c>
      <c r="O305" s="1" t="s">
        <v>861</v>
      </c>
      <c r="P305" s="1" t="s">
        <v>866</v>
      </c>
      <c r="Q305" s="2">
        <f>HYPERLINK("https://tidesandcurrents.noaa.gov/stationhome.html?id=8771510", "Station Info")</f>
        <v>0</v>
      </c>
      <c r="R305" s="2">
        <f>HYPERLINK("https://tidesandcurrents.noaa.gov/datums.html?datum=MLLW&amp;units=0&amp;epoch=0&amp;id=8771510", "Datum Info")</f>
        <v>0</v>
      </c>
      <c r="S305" s="2">
        <f>HYPERLINK("https://api.tidesandcurrents.noaa.gov/mdapi/prod/webapi/stations/8771510.json", "More Info")</f>
        <v>0</v>
      </c>
      <c r="T305" s="1">
        <v>1648120</v>
      </c>
      <c r="U305" s="1">
        <v>0</v>
      </c>
      <c r="V305" s="1" t="s">
        <v>869</v>
      </c>
      <c r="W305" s="1" t="s">
        <v>874</v>
      </c>
      <c r="X305" s="1" t="s">
        <v>886</v>
      </c>
      <c r="Y305" s="1">
        <v>2.04</v>
      </c>
      <c r="Z305" s="1">
        <v>1.84</v>
      </c>
      <c r="AA305" s="1">
        <v>1.12</v>
      </c>
      <c r="AB305" s="1">
        <v>1.11</v>
      </c>
      <c r="AC305" s="1">
        <v>1.02</v>
      </c>
      <c r="AD305" s="1">
        <v>0.39</v>
      </c>
      <c r="AE305" s="1">
        <v>0</v>
      </c>
      <c r="AF305" s="1">
        <v>0.61</v>
      </c>
      <c r="AG305" s="1">
        <v>-3.5</v>
      </c>
      <c r="AH305" s="1" t="s">
        <v>1153</v>
      </c>
      <c r="AI305" s="1" t="s">
        <v>1494</v>
      </c>
      <c r="AJ305" s="1">
        <v>0.61</v>
      </c>
      <c r="AK305" s="1">
        <v>-1.43</v>
      </c>
      <c r="AY305" s="2">
        <f>HYPERLINK("https://vdatum.noaa.gov/vdatumweb/api/convert?s_x=-94.7894&amp;s_y=29.2853&amp;s_z=0.0&amp;region=contiguous&amp;s_h_frame=NAD83_2011&amp;s_coor=geo&amp;s_v_frame=NAVD88&amp;s_v_unit=us_ft&amp;t_h_frame=NAD83_2011&amp;t_coor=geo&amp;t_v_frame=MLLW&amp;t_v_unit=us_ft", "NAVD88 to MLLW")</f>
        <v>0</v>
      </c>
      <c r="AZ305" s="2">
        <f>HYPERLINK("https://vdatum.noaa.gov/vdatumweb/api/convert?s_x=-94.7894&amp;s_y=29.2853&amp;s_z=0.0&amp;region=contiguous&amp;s_h_frame=NAD83_2011&amp;s_coor=geo&amp;s_v_frame=NAVD88&amp;s_v_unit=us_ft&amp;t_h_frame=NAD83_2011&amp;t_coor=geo&amp;t_v_frame=MHHW&amp;t_v_unit=us_ft", "NAVD88 to MHHW")</f>
        <v>0</v>
      </c>
    </row>
    <row r="306" spans="1:52">
      <c r="A306" s="1" t="s">
        <v>330</v>
      </c>
      <c r="B306" s="1" t="s">
        <v>626</v>
      </c>
      <c r="C306" s="1" t="s">
        <v>648</v>
      </c>
      <c r="D306" s="1" t="s">
        <v>654</v>
      </c>
      <c r="L306" s="1">
        <v>-95.13079999999999</v>
      </c>
      <c r="M306" s="1">
        <v>29.08056</v>
      </c>
      <c r="N306" s="1">
        <v>8771972</v>
      </c>
      <c r="O306" s="1" t="s">
        <v>860</v>
      </c>
      <c r="P306" s="1" t="s">
        <v>866</v>
      </c>
      <c r="Q306" s="2">
        <f>HYPERLINK("https://tidesandcurrents.noaa.gov/stationhome.html?id=8771972", "Station Info")</f>
        <v>0</v>
      </c>
      <c r="R306" s="2">
        <f>HYPERLINK("https://tidesandcurrents.noaa.gov/datums.html?datum=MLLW&amp;units=0&amp;epoch=0&amp;id=8771972", "Datum Info")</f>
        <v>0</v>
      </c>
      <c r="S306" s="2">
        <f>HYPERLINK("https://api.tidesandcurrents.noaa.gov/mdapi/prod/webapi/stations/8771972.json", "More Info")</f>
        <v>0</v>
      </c>
      <c r="T306" s="1">
        <v>2657994</v>
      </c>
      <c r="U306" s="1">
        <v>0</v>
      </c>
      <c r="V306" s="1" t="s">
        <v>869</v>
      </c>
      <c r="W306" s="1" t="s">
        <v>874</v>
      </c>
      <c r="X306" s="1" t="s">
        <v>886</v>
      </c>
      <c r="Y306" s="1">
        <v>1.17</v>
      </c>
      <c r="Z306" s="1">
        <v>1.11</v>
      </c>
      <c r="AA306" s="1">
        <v>0.66</v>
      </c>
      <c r="AB306" s="1">
        <v>0.6899999999999999</v>
      </c>
      <c r="AC306" s="1">
        <v>0.59</v>
      </c>
      <c r="AD306" s="1">
        <v>0.21</v>
      </c>
      <c r="AE306" s="1">
        <v>0</v>
      </c>
      <c r="AF306" s="1">
        <v>0.25</v>
      </c>
      <c r="AG306" s="1">
        <v>-4.05</v>
      </c>
      <c r="AH306" s="1" t="s">
        <v>1230</v>
      </c>
      <c r="AI306" s="1" t="s">
        <v>1446</v>
      </c>
      <c r="AJ306" s="1">
        <v>0.031</v>
      </c>
      <c r="AK306" s="1">
        <v>-1.152</v>
      </c>
      <c r="AY306" s="2">
        <f>HYPERLINK("https://vdatum.noaa.gov/vdatumweb/api/convert?s_x=-95.1308&amp;s_y=29.08056&amp;s_z=0.0&amp;region=contiguous&amp;s_h_frame=NAD83_2011&amp;s_coor=geo&amp;s_v_frame=NAVD88&amp;s_v_unit=us_ft&amp;t_h_frame=NAD83_2011&amp;t_coor=geo&amp;t_v_frame=MLLW&amp;t_v_unit=us_ft", "NAVD88 to MLLW")</f>
        <v>0</v>
      </c>
      <c r="AZ306" s="2">
        <f>HYPERLINK("https://vdatum.noaa.gov/vdatumweb/api/convert?s_x=-95.1308&amp;s_y=29.08056&amp;s_z=0.0&amp;region=contiguous&amp;s_h_frame=NAD83_2011&amp;s_coor=geo&amp;s_v_frame=NAVD88&amp;s_v_unit=us_ft&amp;t_h_frame=NAD83_2011&amp;t_coor=geo&amp;t_v_frame=MHHW&amp;t_v_unit=us_ft", "NAVD88 to MHHW")</f>
        <v>0</v>
      </c>
    </row>
    <row r="307" spans="1:52">
      <c r="A307" s="1" t="s">
        <v>331</v>
      </c>
      <c r="B307" s="1" t="s">
        <v>626</v>
      </c>
      <c r="C307" s="1" t="s">
        <v>648</v>
      </c>
      <c r="D307" s="1" t="s">
        <v>654</v>
      </c>
      <c r="E307" s="1" t="s">
        <v>746</v>
      </c>
      <c r="F307" s="1" t="s">
        <v>846</v>
      </c>
      <c r="G307" s="1" t="s">
        <v>856</v>
      </c>
      <c r="L307" s="1">
        <v>-95.30249999999999</v>
      </c>
      <c r="M307" s="1">
        <v>28.94331</v>
      </c>
      <c r="N307" s="1">
        <v>8772447</v>
      </c>
      <c r="O307" s="1" t="s">
        <v>861</v>
      </c>
      <c r="P307" s="1" t="s">
        <v>866</v>
      </c>
      <c r="Q307" s="2">
        <f>HYPERLINK("https://tidesandcurrents.noaa.gov/stationhome.html?id=8772447", "Station Info")</f>
        <v>0</v>
      </c>
      <c r="R307" s="2">
        <f>HYPERLINK("https://tidesandcurrents.noaa.gov/datums.html?datum=MLLW&amp;units=0&amp;epoch=0&amp;id=8772447", "Datum Info")</f>
        <v>0</v>
      </c>
      <c r="S307" s="2">
        <f>HYPERLINK("https://api.tidesandcurrents.noaa.gov/mdapi/prod/webapi/stations/8772447.json", "More Info")</f>
        <v>0</v>
      </c>
      <c r="T307" s="1">
        <v>3873645</v>
      </c>
      <c r="U307" s="1">
        <v>0</v>
      </c>
      <c r="V307" s="1" t="s">
        <v>869</v>
      </c>
      <c r="W307" s="1" t="s">
        <v>874</v>
      </c>
      <c r="X307" s="1" t="s">
        <v>886</v>
      </c>
      <c r="Y307" s="1">
        <v>1.64</v>
      </c>
      <c r="Z307" s="1">
        <v>1.5</v>
      </c>
      <c r="AA307" s="1">
        <v>0.88</v>
      </c>
      <c r="AB307" s="1">
        <v>0.9</v>
      </c>
      <c r="AC307" s="1">
        <v>0.82</v>
      </c>
      <c r="AD307" s="1">
        <v>0.25</v>
      </c>
      <c r="AE307" s="1">
        <v>0</v>
      </c>
      <c r="AF307" s="1">
        <v>0.6</v>
      </c>
      <c r="AG307" s="1">
        <v>-27.63</v>
      </c>
      <c r="AH307" s="1" t="s">
        <v>1231</v>
      </c>
      <c r="AI307" s="1" t="s">
        <v>1495</v>
      </c>
      <c r="AJ307" s="1">
        <v>0.441</v>
      </c>
      <c r="AK307" s="1">
        <v>-1.338</v>
      </c>
      <c r="AY307" s="2">
        <f>HYPERLINK("https://vdatum.noaa.gov/vdatumweb/api/convert?s_x=-95.3025&amp;s_y=28.94331&amp;s_z=0.0&amp;region=contiguous&amp;s_h_frame=NAD83_2011&amp;s_coor=geo&amp;s_v_frame=NAVD88&amp;s_v_unit=us_ft&amp;t_h_frame=NAD83_2011&amp;t_coor=geo&amp;t_v_frame=MLLW&amp;t_v_unit=us_ft", "NAVD88 to MLLW")</f>
        <v>0</v>
      </c>
      <c r="AZ307" s="2">
        <f>HYPERLINK("https://vdatum.noaa.gov/vdatumweb/api/convert?s_x=-95.3025&amp;s_y=28.94331&amp;s_z=0.0&amp;region=contiguous&amp;s_h_frame=NAD83_2011&amp;s_coor=geo&amp;s_v_frame=NAVD88&amp;s_v_unit=us_ft&amp;t_h_frame=NAD83_2011&amp;t_coor=geo&amp;t_v_frame=MHHW&amp;t_v_unit=us_ft", "NAVD88 to MHHW")</f>
        <v>0</v>
      </c>
    </row>
    <row r="308" spans="1:52">
      <c r="A308" s="1" t="s">
        <v>332</v>
      </c>
      <c r="B308" s="1" t="s">
        <v>626</v>
      </c>
      <c r="C308" s="1" t="s">
        <v>648</v>
      </c>
      <c r="D308" s="1" t="s">
        <v>654</v>
      </c>
      <c r="L308" s="1">
        <v>-95.6172</v>
      </c>
      <c r="M308" s="1">
        <v>28.77142</v>
      </c>
      <c r="N308" s="1">
        <v>8772985</v>
      </c>
      <c r="O308" s="1" t="s">
        <v>860</v>
      </c>
      <c r="P308" s="1" t="s">
        <v>866</v>
      </c>
      <c r="Q308" s="2">
        <f>HYPERLINK("https://tidesandcurrents.noaa.gov/stationhome.html?id=8772985", "Station Info")</f>
        <v>0</v>
      </c>
      <c r="R308" s="2">
        <f>HYPERLINK("https://tidesandcurrents.noaa.gov/datums.html?datum=MLLW&amp;units=0&amp;epoch=0&amp;id=8772985", "Datum Info")</f>
        <v>0</v>
      </c>
      <c r="S308" s="2">
        <f>HYPERLINK("https://api.tidesandcurrents.noaa.gov/mdapi/prod/webapi/stations/8772985.json", "More Info")</f>
        <v>0</v>
      </c>
      <c r="T308" s="1">
        <v>1995613</v>
      </c>
      <c r="U308" s="1">
        <v>0</v>
      </c>
      <c r="V308" s="1" t="s">
        <v>869</v>
      </c>
      <c r="W308" s="1" t="s">
        <v>874</v>
      </c>
      <c r="X308" s="1" t="s">
        <v>886</v>
      </c>
      <c r="Y308" s="1">
        <v>0.6899999999999999</v>
      </c>
      <c r="Z308" s="1">
        <v>0.65</v>
      </c>
      <c r="AA308" s="1">
        <v>0.35</v>
      </c>
      <c r="AB308" s="1">
        <v>0.39</v>
      </c>
      <c r="AC308" s="1">
        <v>0.34</v>
      </c>
      <c r="AD308" s="1">
        <v>0.04</v>
      </c>
      <c r="AE308" s="1">
        <v>0</v>
      </c>
      <c r="AF308" s="1">
        <v>-0.36</v>
      </c>
      <c r="AG308" s="1">
        <v>-31.11</v>
      </c>
      <c r="AH308" s="1" t="s">
        <v>1232</v>
      </c>
      <c r="AI308" s="1" t="s">
        <v>1496</v>
      </c>
      <c r="AJ308" s="1">
        <v>-0.312</v>
      </c>
      <c r="AK308" s="1">
        <v>-0.794</v>
      </c>
      <c r="AY308" s="2">
        <f>HYPERLINK("https://vdatum.noaa.gov/vdatumweb/api/convert?s_x=-95.6172&amp;s_y=28.77142&amp;s_z=0.0&amp;region=contiguous&amp;s_h_frame=NAD83_2011&amp;s_coor=geo&amp;s_v_frame=NAVD88&amp;s_v_unit=us_ft&amp;t_h_frame=NAD83_2011&amp;t_coor=geo&amp;t_v_frame=MLLW&amp;t_v_unit=us_ft", "NAVD88 to MLLW")</f>
        <v>0</v>
      </c>
      <c r="AZ308" s="2">
        <f>HYPERLINK("https://vdatum.noaa.gov/vdatumweb/api/convert?s_x=-95.6172&amp;s_y=28.77142&amp;s_z=0.0&amp;region=contiguous&amp;s_h_frame=NAD83_2011&amp;s_coor=geo&amp;s_v_frame=NAVD88&amp;s_v_unit=us_ft&amp;t_h_frame=NAD83_2011&amp;t_coor=geo&amp;t_v_frame=MHHW&amp;t_v_unit=us_ft", "NAVD88 to MHHW")</f>
        <v>0</v>
      </c>
    </row>
    <row r="309" spans="1:52">
      <c r="A309" s="1" t="s">
        <v>333</v>
      </c>
      <c r="B309" s="1" t="s">
        <v>626</v>
      </c>
      <c r="C309" s="1" t="s">
        <v>648</v>
      </c>
      <c r="D309" s="1" t="s">
        <v>654</v>
      </c>
      <c r="L309" s="1">
        <v>-95.914</v>
      </c>
      <c r="M309" s="1">
        <v>28.71006</v>
      </c>
      <c r="N309" s="1">
        <v>8773146</v>
      </c>
      <c r="O309" s="1" t="s">
        <v>860</v>
      </c>
      <c r="P309" s="1" t="s">
        <v>866</v>
      </c>
      <c r="Q309" s="2">
        <f>HYPERLINK("https://tidesandcurrents.noaa.gov/stationhome.html?id=8773146", "Station Info")</f>
        <v>0</v>
      </c>
      <c r="R309" s="2">
        <f>HYPERLINK("https://tidesandcurrents.noaa.gov/datums.html?datum=MLLW&amp;units=0&amp;epoch=0&amp;id=8773146", "Datum Info")</f>
        <v>0</v>
      </c>
      <c r="S309" s="2">
        <f>HYPERLINK("https://api.tidesandcurrents.noaa.gov/mdapi/prod/webapi/stations/8773146.json", "More Info")</f>
        <v>0</v>
      </c>
      <c r="T309" s="1">
        <v>3384998</v>
      </c>
      <c r="U309" s="1">
        <v>0</v>
      </c>
      <c r="V309" s="1" t="s">
        <v>869</v>
      </c>
      <c r="W309" s="1" t="s">
        <v>874</v>
      </c>
      <c r="X309" s="1" t="s">
        <v>886</v>
      </c>
      <c r="Y309" s="1">
        <v>0.47</v>
      </c>
      <c r="Z309" s="1">
        <v>0.47</v>
      </c>
      <c r="AA309" s="1">
        <v>0.24</v>
      </c>
      <c r="AB309" s="1">
        <v>0.27</v>
      </c>
      <c r="AC309" s="1">
        <v>0.23</v>
      </c>
      <c r="AD309" s="1">
        <v>0.01</v>
      </c>
      <c r="AE309" s="1">
        <v>0</v>
      </c>
      <c r="AF309" s="1">
        <v>-0.55</v>
      </c>
      <c r="AG309" s="1">
        <v>-30.85</v>
      </c>
      <c r="AH309" s="1" t="s">
        <v>1233</v>
      </c>
      <c r="AI309" s="1" t="s">
        <v>1427</v>
      </c>
      <c r="AJ309" s="1">
        <v>-0.592</v>
      </c>
      <c r="AK309" s="1">
        <v>-0.592</v>
      </c>
      <c r="AY309" s="2">
        <f>HYPERLINK("https://vdatum.noaa.gov/vdatumweb/api/convert?s_x=-95.914&amp;s_y=28.71006&amp;s_z=0.0&amp;region=contiguous&amp;s_h_frame=NAD83_2011&amp;s_coor=geo&amp;s_v_frame=NAVD88&amp;s_v_unit=us_ft&amp;t_h_frame=NAD83_2011&amp;t_coor=geo&amp;t_v_frame=MLLW&amp;t_v_unit=us_ft", "NAVD88 to MLLW")</f>
        <v>0</v>
      </c>
      <c r="AZ309" s="2">
        <f>HYPERLINK("https://vdatum.noaa.gov/vdatumweb/api/convert?s_x=-95.914&amp;s_y=28.71006&amp;s_z=0.0&amp;region=contiguous&amp;s_h_frame=NAD83_2011&amp;s_coor=geo&amp;s_v_frame=NAVD88&amp;s_v_unit=us_ft&amp;t_h_frame=NAD83_2011&amp;t_coor=geo&amp;t_v_frame=MHHW&amp;t_v_unit=us_ft", "NAVD88 to MHHW")</f>
        <v>0</v>
      </c>
    </row>
    <row r="310" spans="1:52">
      <c r="A310" s="1" t="s">
        <v>334</v>
      </c>
      <c r="B310" s="1" t="s">
        <v>626</v>
      </c>
      <c r="D310" s="1" t="s">
        <v>654</v>
      </c>
      <c r="L310" s="1">
        <v>-96.60980000000001</v>
      </c>
      <c r="M310" s="1">
        <v>28.6406</v>
      </c>
      <c r="N310" s="1">
        <v>8773259</v>
      </c>
      <c r="O310" s="1" t="s">
        <v>860</v>
      </c>
      <c r="P310" s="1" t="s">
        <v>866</v>
      </c>
      <c r="Q310" s="2">
        <f>HYPERLINK("https://tidesandcurrents.noaa.gov/stationhome.html?id=8773259", "Station Info")</f>
        <v>0</v>
      </c>
      <c r="R310" s="2">
        <f>HYPERLINK("https://tidesandcurrents.noaa.gov/datums.html?datum=MLLW&amp;units=0&amp;epoch=0&amp;id=8773259", "Datum Info")</f>
        <v>0</v>
      </c>
      <c r="S310" s="2">
        <f>HYPERLINK("https://api.tidesandcurrents.noaa.gov/mdapi/prod/webapi/stations/8773259.json", "More Info")</f>
        <v>0</v>
      </c>
      <c r="T310" s="1">
        <v>7104985</v>
      </c>
      <c r="U310" s="1">
        <v>0.105</v>
      </c>
      <c r="V310" s="1" t="s">
        <v>869</v>
      </c>
      <c r="W310" s="1" t="s">
        <v>874</v>
      </c>
      <c r="X310" s="1" t="s">
        <v>886</v>
      </c>
      <c r="Y310" s="1">
        <v>0.9</v>
      </c>
      <c r="Z310" s="1">
        <v>0.87</v>
      </c>
      <c r="AA310" s="1">
        <v>0.46</v>
      </c>
      <c r="AB310" s="1">
        <v>0.49</v>
      </c>
      <c r="AC310" s="1">
        <v>0.45</v>
      </c>
      <c r="AD310" s="1">
        <v>0.06</v>
      </c>
      <c r="AE310" s="1">
        <v>0</v>
      </c>
      <c r="AF310" s="1" t="s">
        <v>1022</v>
      </c>
      <c r="AG310" s="1">
        <v>-3</v>
      </c>
      <c r="AH310" s="1" t="s">
        <v>1234</v>
      </c>
      <c r="AI310" s="1" t="s">
        <v>1497</v>
      </c>
      <c r="AJ310" s="1">
        <v>0.152</v>
      </c>
      <c r="AK310" s="1">
        <v>-0.783</v>
      </c>
      <c r="AY310" s="2">
        <f>HYPERLINK("https://vdatum.noaa.gov/vdatumweb/api/convert?s_x=-96.6098&amp;s_y=28.6406&amp;s_z=0.0&amp;region=contiguous&amp;s_h_frame=NAD83_2011&amp;s_coor=geo&amp;s_v_frame=NAVD88&amp;s_v_unit=us_ft&amp;t_h_frame=NAD83_2011&amp;t_coor=geo&amp;t_v_frame=MLLW&amp;t_v_unit=us_ft", "NAVD88 to MLLW")</f>
        <v>0</v>
      </c>
      <c r="AZ310" s="2">
        <f>HYPERLINK("https://vdatum.noaa.gov/vdatumweb/api/convert?s_x=-96.6098&amp;s_y=28.6406&amp;s_z=0.0&amp;region=contiguous&amp;s_h_frame=NAD83_2011&amp;s_coor=geo&amp;s_v_frame=NAVD88&amp;s_v_unit=us_ft&amp;t_h_frame=NAD83_2011&amp;t_coor=geo&amp;t_v_frame=MHHW&amp;t_v_unit=us_ft", "NAVD88 to MHHW")</f>
        <v>0</v>
      </c>
    </row>
    <row r="311" spans="1:52">
      <c r="A311" s="1" t="s">
        <v>335</v>
      </c>
      <c r="B311" s="1" t="s">
        <v>626</v>
      </c>
      <c r="D311" s="1" t="s">
        <v>654</v>
      </c>
      <c r="L311" s="1">
        <v>-96.3956</v>
      </c>
      <c r="M311" s="1">
        <v>28.44586</v>
      </c>
      <c r="N311" s="1">
        <v>8773701</v>
      </c>
      <c r="O311" s="1" t="s">
        <v>860</v>
      </c>
      <c r="P311" s="1" t="s">
        <v>866</v>
      </c>
      <c r="Q311" s="2">
        <f>HYPERLINK("https://tidesandcurrents.noaa.gov/stationhome.html?id=8773701", "Station Info")</f>
        <v>0</v>
      </c>
      <c r="R311" s="2">
        <f>HYPERLINK("https://tidesandcurrents.noaa.gov/datums.html?datum=MLLW&amp;units=0&amp;epoch=0&amp;id=8773701", "Datum Info")</f>
        <v>0</v>
      </c>
      <c r="S311" s="2">
        <f>HYPERLINK("https://api.tidesandcurrents.noaa.gov/mdapi/prod/webapi/stations/8773701.json", "More Info")</f>
        <v>0</v>
      </c>
      <c r="T311" s="1">
        <v>4464633</v>
      </c>
      <c r="U311" s="1">
        <v>0</v>
      </c>
      <c r="V311" s="1" t="s">
        <v>869</v>
      </c>
      <c r="W311" s="1" t="s">
        <v>874</v>
      </c>
      <c r="X311" s="1" t="s">
        <v>886</v>
      </c>
      <c r="Y311" s="1">
        <v>0.72</v>
      </c>
      <c r="Z311" s="1">
        <v>0.71</v>
      </c>
      <c r="AA311" s="1">
        <v>0.36</v>
      </c>
      <c r="AB311" s="1">
        <v>0.4</v>
      </c>
      <c r="AC311" s="1">
        <v>0.36</v>
      </c>
      <c r="AD311" s="1">
        <v>0.02</v>
      </c>
      <c r="AE311" s="1">
        <v>0</v>
      </c>
      <c r="AF311" s="1">
        <v>-0.38</v>
      </c>
      <c r="AG311" s="1">
        <v>-11.41</v>
      </c>
      <c r="AH311" s="1" t="s">
        <v>1235</v>
      </c>
      <c r="AI311" s="1" t="s">
        <v>1498</v>
      </c>
      <c r="AJ311" s="1">
        <v>0.379</v>
      </c>
      <c r="AK311" s="1">
        <v>-0.417</v>
      </c>
      <c r="AY311" s="2">
        <f>HYPERLINK("https://vdatum.noaa.gov/vdatumweb/api/convert?s_x=-96.3956&amp;s_y=28.44586&amp;s_z=0.0&amp;region=contiguous&amp;s_h_frame=NAD83_2011&amp;s_coor=geo&amp;s_v_frame=NAVD88&amp;s_v_unit=us_ft&amp;t_h_frame=NAD83_2011&amp;t_coor=geo&amp;t_v_frame=MLLW&amp;t_v_unit=us_ft", "NAVD88 to MLLW")</f>
        <v>0</v>
      </c>
      <c r="AZ311" s="2">
        <f>HYPERLINK("https://vdatum.noaa.gov/vdatumweb/api/convert?s_x=-96.3956&amp;s_y=28.44586&amp;s_z=0.0&amp;region=contiguous&amp;s_h_frame=NAD83_2011&amp;s_coor=geo&amp;s_v_frame=NAVD88&amp;s_v_unit=us_ft&amp;t_h_frame=NAD83_2011&amp;t_coor=geo&amp;t_v_frame=MHHW&amp;t_v_unit=us_ft", "NAVD88 to MHHW")</f>
        <v>0</v>
      </c>
    </row>
    <row r="312" spans="1:52">
      <c r="A312" s="1" t="s">
        <v>336</v>
      </c>
      <c r="B312" s="1" t="s">
        <v>626</v>
      </c>
      <c r="C312" s="1" t="s">
        <v>648</v>
      </c>
      <c r="D312" s="1" t="s">
        <v>654</v>
      </c>
      <c r="E312" s="1" t="s">
        <v>747</v>
      </c>
      <c r="F312" s="1" t="s">
        <v>846</v>
      </c>
      <c r="G312" s="1" t="s">
        <v>856</v>
      </c>
      <c r="L312" s="1">
        <v>-96.3301</v>
      </c>
      <c r="M312" s="1">
        <v>28.4269</v>
      </c>
      <c r="N312" s="1">
        <v>8773767</v>
      </c>
      <c r="O312" s="1" t="s">
        <v>860</v>
      </c>
      <c r="P312" s="1" t="s">
        <v>866</v>
      </c>
      <c r="Q312" s="2">
        <f>HYPERLINK("https://tidesandcurrents.noaa.gov/stationhome.html?id=8773767", "Station Info")</f>
        <v>0</v>
      </c>
      <c r="R312" s="2">
        <f>HYPERLINK("https://tidesandcurrents.noaa.gov/datums.html?datum=MLLW&amp;units=0&amp;epoch=0&amp;id=8773767", "Datum Info")</f>
        <v>0</v>
      </c>
      <c r="S312" s="2">
        <f>HYPERLINK("https://api.tidesandcurrents.noaa.gov/mdapi/prod/webapi/stations/8773767.json", "More Info")</f>
        <v>0</v>
      </c>
      <c r="T312" s="1">
        <v>3375612</v>
      </c>
      <c r="U312" s="1">
        <v>0</v>
      </c>
      <c r="V312" s="1" t="s">
        <v>869</v>
      </c>
      <c r="W312" s="1" t="s">
        <v>874</v>
      </c>
      <c r="X312" s="1" t="s">
        <v>886</v>
      </c>
      <c r="Y312" s="1">
        <v>1.24</v>
      </c>
      <c r="Z312" s="1">
        <v>1.21</v>
      </c>
      <c r="AA312" s="1">
        <v>0.66</v>
      </c>
      <c r="AB312" s="1">
        <v>0.74</v>
      </c>
      <c r="AC312" s="1">
        <v>0.62</v>
      </c>
      <c r="AD312" s="1">
        <v>0.11</v>
      </c>
      <c r="AE312" s="1">
        <v>0</v>
      </c>
      <c r="AF312" s="1">
        <v>0.37</v>
      </c>
      <c r="AG312" s="1">
        <v>-25.38</v>
      </c>
      <c r="AH312" s="1" t="s">
        <v>1236</v>
      </c>
      <c r="AI312" s="1" t="s">
        <v>1499</v>
      </c>
      <c r="AJ312" s="1">
        <v>0.789</v>
      </c>
      <c r="AK312" s="1">
        <v>-0.96</v>
      </c>
      <c r="AY312" s="2">
        <f>HYPERLINK("https://vdatum.noaa.gov/vdatumweb/api/convert?s_x=-96.3301&amp;s_y=28.4269&amp;s_z=0.0&amp;region=contiguous&amp;s_h_frame=NAD83_2011&amp;s_coor=geo&amp;s_v_frame=NAVD88&amp;s_v_unit=us_ft&amp;t_h_frame=NAD83_2011&amp;t_coor=geo&amp;t_v_frame=MLLW&amp;t_v_unit=us_ft", "NAVD88 to MLLW")</f>
        <v>0</v>
      </c>
      <c r="AZ312" s="2">
        <f>HYPERLINK("https://vdatum.noaa.gov/vdatumweb/api/convert?s_x=-96.3301&amp;s_y=28.4269&amp;s_z=0.0&amp;region=contiguous&amp;s_h_frame=NAD83_2011&amp;s_coor=geo&amp;s_v_frame=NAVD88&amp;s_v_unit=us_ft&amp;t_h_frame=NAD83_2011&amp;t_coor=geo&amp;t_v_frame=MHHW&amp;t_v_unit=us_ft", "NAVD88 to MHHW")</f>
        <v>0</v>
      </c>
    </row>
    <row r="313" spans="1:52">
      <c r="A313" s="1" t="s">
        <v>337</v>
      </c>
      <c r="B313" s="1" t="s">
        <v>626</v>
      </c>
      <c r="C313" s="1" t="s">
        <v>648</v>
      </c>
      <c r="D313" s="1" t="s">
        <v>654</v>
      </c>
      <c r="E313" s="1" t="s">
        <v>746</v>
      </c>
      <c r="F313" s="1" t="s">
        <v>846</v>
      </c>
      <c r="G313" s="1" t="s">
        <v>856</v>
      </c>
      <c r="L313" s="1">
        <v>-95.20816979999999</v>
      </c>
      <c r="M313" s="1">
        <v>29.212186</v>
      </c>
      <c r="N313" s="1" t="s">
        <v>859</v>
      </c>
      <c r="O313" s="1" t="s">
        <v>861</v>
      </c>
      <c r="P313" s="1" t="s">
        <v>859</v>
      </c>
      <c r="T313" s="1">
        <v>8228159</v>
      </c>
      <c r="U313" s="1">
        <v>0</v>
      </c>
      <c r="V313" s="1" t="s">
        <v>869</v>
      </c>
      <c r="W313" s="1" t="s">
        <v>874</v>
      </c>
      <c r="AJ313" s="1">
        <v>-0.129</v>
      </c>
      <c r="AK313" s="1">
        <v>-1.031</v>
      </c>
      <c r="AY313" s="2">
        <f>HYPERLINK("https://vdatum.noaa.gov/vdatumweb/api/convert?s_x=-95.2081698&amp;s_y=29.212186&amp;s_z=0.0&amp;region=contiguous&amp;s_h_frame=NAD83_2011&amp;s_coor=geo&amp;s_v_frame=NAVD88&amp;s_v_unit=us_ft&amp;t_h_frame=NAD83_2011&amp;t_coor=geo&amp;t_v_frame=MLLW&amp;t_v_unit=us_ft", "NAVD88 to MLLW")</f>
        <v>0</v>
      </c>
      <c r="AZ313" s="2">
        <f>HYPERLINK("https://vdatum.noaa.gov/vdatumweb/api/convert?s_x=-95.2081698&amp;s_y=29.212186&amp;s_z=0.0&amp;region=contiguous&amp;s_h_frame=NAD83_2011&amp;s_coor=geo&amp;s_v_frame=NAVD88&amp;s_v_unit=us_ft&amp;t_h_frame=NAD83_2011&amp;t_coor=geo&amp;t_v_frame=MHHW&amp;t_v_unit=us_ft", "NAVD88 to MHHW")</f>
        <v>0</v>
      </c>
    </row>
    <row r="314" spans="1:52">
      <c r="A314" s="1" t="s">
        <v>338</v>
      </c>
      <c r="B314" s="1" t="s">
        <v>626</v>
      </c>
      <c r="C314" s="1" t="s">
        <v>648</v>
      </c>
      <c r="D314" s="1" t="s">
        <v>654</v>
      </c>
      <c r="E314" s="1" t="s">
        <v>745</v>
      </c>
      <c r="F314" s="1" t="s">
        <v>846</v>
      </c>
      <c r="G314" s="1" t="s">
        <v>856</v>
      </c>
      <c r="L314" s="1">
        <v>-94.973327</v>
      </c>
      <c r="M314" s="1">
        <v>29.46177</v>
      </c>
      <c r="N314" s="1" t="s">
        <v>859</v>
      </c>
      <c r="O314" s="1" t="s">
        <v>861</v>
      </c>
      <c r="P314" s="1" t="s">
        <v>859</v>
      </c>
      <c r="T314" s="1">
        <v>8753178</v>
      </c>
      <c r="U314" s="1">
        <v>0</v>
      </c>
      <c r="V314" s="1" t="s">
        <v>869</v>
      </c>
      <c r="W314" s="1" t="s">
        <v>874</v>
      </c>
      <c r="AJ314" s="1">
        <v>-0.063</v>
      </c>
      <c r="AK314" s="1">
        <v>-1.163</v>
      </c>
      <c r="AY314" s="2">
        <f>HYPERLINK("https://vdatum.noaa.gov/vdatumweb/api/convert?s_x=-94.973327&amp;s_y=29.46177&amp;s_z=0.0&amp;region=contiguous&amp;s_h_frame=NAD83_2011&amp;s_coor=geo&amp;s_v_frame=NAVD88&amp;s_v_unit=us_ft&amp;t_h_frame=NAD83_2011&amp;t_coor=geo&amp;t_v_frame=MLLW&amp;t_v_unit=us_ft", "NAVD88 to MLLW")</f>
        <v>0</v>
      </c>
      <c r="AZ314" s="2">
        <f>HYPERLINK("https://vdatum.noaa.gov/vdatumweb/api/convert?s_x=-94.973327&amp;s_y=29.46177&amp;s_z=0.0&amp;region=contiguous&amp;s_h_frame=NAD83_2011&amp;s_coor=geo&amp;s_v_frame=NAVD88&amp;s_v_unit=us_ft&amp;t_h_frame=NAD83_2011&amp;t_coor=geo&amp;t_v_frame=MHHW&amp;t_v_unit=us_ft", "NAVD88 to MHHW")</f>
        <v>0</v>
      </c>
    </row>
    <row r="315" spans="1:52">
      <c r="A315" s="1" t="s">
        <v>339</v>
      </c>
      <c r="B315" s="1" t="s">
        <v>626</v>
      </c>
      <c r="D315" s="1" t="s">
        <v>654</v>
      </c>
      <c r="L315" s="1">
        <v>-95.01678</v>
      </c>
      <c r="M315" s="1">
        <v>29.7037</v>
      </c>
      <c r="N315" s="1" t="s">
        <v>859</v>
      </c>
      <c r="O315" s="1" t="s">
        <v>861</v>
      </c>
      <c r="P315" s="1" t="s">
        <v>859</v>
      </c>
      <c r="T315" s="1">
        <v>5718080</v>
      </c>
      <c r="U315" s="1">
        <v>0</v>
      </c>
      <c r="V315" s="1" t="s">
        <v>869</v>
      </c>
      <c r="W315" s="1" t="s">
        <v>874</v>
      </c>
      <c r="AJ315" s="1">
        <v>0.035</v>
      </c>
      <c r="AK315" s="1">
        <v>-1.332</v>
      </c>
      <c r="AY315" s="2">
        <f>HYPERLINK("https://vdatum.noaa.gov/vdatumweb/api/convert?s_x=-95.01678&amp;s_y=29.7037&amp;s_z=0.0&amp;region=contiguous&amp;s_h_frame=NAD83_2011&amp;s_coor=geo&amp;s_v_frame=NAVD88&amp;s_v_unit=us_ft&amp;t_h_frame=NAD83_2011&amp;t_coor=geo&amp;t_v_frame=MLLW&amp;t_v_unit=us_ft", "NAVD88 to MLLW")</f>
        <v>0</v>
      </c>
      <c r="AZ315" s="2">
        <f>HYPERLINK("https://vdatum.noaa.gov/vdatumweb/api/convert?s_x=-95.01678&amp;s_y=29.7037&amp;s_z=0.0&amp;region=contiguous&amp;s_h_frame=NAD83_2011&amp;s_coor=geo&amp;s_v_frame=NAVD88&amp;s_v_unit=us_ft&amp;t_h_frame=NAD83_2011&amp;t_coor=geo&amp;t_v_frame=MHHW&amp;t_v_unit=us_ft", "NAVD88 to MHHW")</f>
        <v>0</v>
      </c>
    </row>
    <row r="316" spans="1:52">
      <c r="A316" s="1" t="s">
        <v>340</v>
      </c>
      <c r="B316" s="1" t="s">
        <v>626</v>
      </c>
      <c r="C316" s="1" t="s">
        <v>648</v>
      </c>
      <c r="D316" s="1" t="s">
        <v>654</v>
      </c>
      <c r="L316" s="1">
        <v>-95.44450000000001</v>
      </c>
      <c r="M316" s="1">
        <v>28.8707</v>
      </c>
      <c r="N316" s="1" t="s">
        <v>859</v>
      </c>
      <c r="O316" s="1" t="s">
        <v>861</v>
      </c>
      <c r="P316" s="1" t="s">
        <v>859</v>
      </c>
      <c r="T316" s="1">
        <v>4322771</v>
      </c>
      <c r="U316" s="1">
        <v>0</v>
      </c>
      <c r="V316" s="1" t="s">
        <v>869</v>
      </c>
      <c r="W316" s="1" t="s">
        <v>874</v>
      </c>
      <c r="AJ316" s="1">
        <v>-0.093</v>
      </c>
      <c r="AK316" s="1">
        <v>-1.09</v>
      </c>
      <c r="AY316" s="2">
        <f>HYPERLINK("https://vdatum.noaa.gov/vdatumweb/api/convert?s_x=-95.4445&amp;s_y=28.8707&amp;s_z=0.0&amp;region=contiguous&amp;s_h_frame=NAD83_2011&amp;s_coor=geo&amp;s_v_frame=NAVD88&amp;s_v_unit=us_ft&amp;t_h_frame=NAD83_2011&amp;t_coor=geo&amp;t_v_frame=MLLW&amp;t_v_unit=us_ft", "NAVD88 to MLLW")</f>
        <v>0</v>
      </c>
      <c r="AZ316" s="2">
        <f>HYPERLINK("https://vdatum.noaa.gov/vdatumweb/api/convert?s_x=-95.4445&amp;s_y=28.8707&amp;s_z=0.0&amp;region=contiguous&amp;s_h_frame=NAD83_2011&amp;s_coor=geo&amp;s_v_frame=NAVD88&amp;s_v_unit=us_ft&amp;t_h_frame=NAD83_2011&amp;t_coor=geo&amp;t_v_frame=MHHW&amp;t_v_unit=us_ft", "NAVD88 to MHHW")</f>
        <v>0</v>
      </c>
    </row>
    <row r="317" spans="1:52">
      <c r="A317" s="1" t="s">
        <v>341</v>
      </c>
      <c r="B317" s="1" t="s">
        <v>626</v>
      </c>
      <c r="C317" s="1" t="s">
        <v>648</v>
      </c>
      <c r="D317" s="1" t="s">
        <v>654</v>
      </c>
      <c r="L317" s="1">
        <v>-95.06140000000001</v>
      </c>
      <c r="M317" s="1">
        <v>29.7925</v>
      </c>
      <c r="N317" s="1" t="s">
        <v>859</v>
      </c>
      <c r="O317" s="1" t="s">
        <v>861</v>
      </c>
      <c r="P317" s="1" t="s">
        <v>859</v>
      </c>
      <c r="T317" s="1">
        <v>4331777</v>
      </c>
      <c r="U317" s="1">
        <v>0</v>
      </c>
      <c r="V317" s="1" t="s">
        <v>869</v>
      </c>
      <c r="W317" s="1" t="s">
        <v>874</v>
      </c>
      <c r="AJ317" s="1">
        <v>0.014</v>
      </c>
      <c r="AK317" s="1">
        <v>-1.478</v>
      </c>
      <c r="AY317" s="2">
        <f>HYPERLINK("https://vdatum.noaa.gov/vdatumweb/api/convert?s_x=-95.0614&amp;s_y=29.7925&amp;s_z=0.0&amp;region=contiguous&amp;s_h_frame=NAD83_2011&amp;s_coor=geo&amp;s_v_frame=NAVD88&amp;s_v_unit=us_ft&amp;t_h_frame=NAD83_2011&amp;t_coor=geo&amp;t_v_frame=MLLW&amp;t_v_unit=us_ft", "NAVD88 to MLLW")</f>
        <v>0</v>
      </c>
      <c r="AZ317" s="2">
        <f>HYPERLINK("https://vdatum.noaa.gov/vdatumweb/api/convert?s_x=-95.0614&amp;s_y=29.7925&amp;s_z=0.0&amp;region=contiguous&amp;s_h_frame=NAD83_2011&amp;s_coor=geo&amp;s_v_frame=NAVD88&amp;s_v_unit=us_ft&amp;t_h_frame=NAD83_2011&amp;t_coor=geo&amp;t_v_frame=MHHW&amp;t_v_unit=us_ft", "NAVD88 to MHHW")</f>
        <v>0</v>
      </c>
    </row>
    <row r="318" spans="1:52">
      <c r="A318" s="1" t="s">
        <v>342</v>
      </c>
      <c r="B318" s="1" t="s">
        <v>626</v>
      </c>
      <c r="C318" s="1" t="s">
        <v>648</v>
      </c>
      <c r="D318" s="1" t="s">
        <v>654</v>
      </c>
      <c r="E318" s="1" t="s">
        <v>744</v>
      </c>
      <c r="F318" s="1" t="s">
        <v>846</v>
      </c>
      <c r="G318" s="1" t="s">
        <v>856</v>
      </c>
      <c r="L318" s="1">
        <v>-95.14615000000001</v>
      </c>
      <c r="M318" s="1">
        <v>29.7359</v>
      </c>
      <c r="N318" s="1" t="s">
        <v>859</v>
      </c>
      <c r="O318" s="1" t="s">
        <v>861</v>
      </c>
      <c r="P318" s="1" t="s">
        <v>859</v>
      </c>
      <c r="T318" s="1">
        <v>3564180</v>
      </c>
      <c r="U318" s="1">
        <v>0</v>
      </c>
      <c r="V318" s="1" t="s">
        <v>869</v>
      </c>
      <c r="W318" s="1" t="s">
        <v>874</v>
      </c>
      <c r="AJ318" s="1">
        <v>-0.101</v>
      </c>
      <c r="AK318" s="1">
        <v>-1.61</v>
      </c>
      <c r="AY318" s="2">
        <f>HYPERLINK("https://vdatum.noaa.gov/vdatumweb/api/convert?s_x=-95.14615&amp;s_y=29.7359&amp;s_z=0.0&amp;region=contiguous&amp;s_h_frame=NAD83_2011&amp;s_coor=geo&amp;s_v_frame=NAVD88&amp;s_v_unit=us_ft&amp;t_h_frame=NAD83_2011&amp;t_coor=geo&amp;t_v_frame=MLLW&amp;t_v_unit=us_ft", "NAVD88 to MLLW")</f>
        <v>0</v>
      </c>
      <c r="AZ318" s="2">
        <f>HYPERLINK("https://vdatum.noaa.gov/vdatumweb/api/convert?s_x=-95.14615&amp;s_y=29.7359&amp;s_z=0.0&amp;region=contiguous&amp;s_h_frame=NAD83_2011&amp;s_coor=geo&amp;s_v_frame=NAVD88&amp;s_v_unit=us_ft&amp;t_h_frame=NAD83_2011&amp;t_coor=geo&amp;t_v_frame=MHHW&amp;t_v_unit=us_ft", "NAVD88 to MHHW")</f>
        <v>0</v>
      </c>
    </row>
    <row r="319" spans="1:52">
      <c r="A319" s="1" t="s">
        <v>343</v>
      </c>
      <c r="B319" s="1" t="s">
        <v>626</v>
      </c>
      <c r="C319" s="1" t="s">
        <v>648</v>
      </c>
      <c r="D319" s="1" t="s">
        <v>654</v>
      </c>
      <c r="E319" s="1" t="s">
        <v>748</v>
      </c>
      <c r="F319" s="1" t="s">
        <v>846</v>
      </c>
      <c r="G319" s="1" t="s">
        <v>856</v>
      </c>
      <c r="J319" s="1" t="s">
        <v>1950</v>
      </c>
      <c r="L319" s="1">
        <v>-94.66610708</v>
      </c>
      <c r="M319" s="1">
        <v>29.67555036</v>
      </c>
      <c r="N319" s="1" t="s">
        <v>2209</v>
      </c>
      <c r="O319" s="1" t="s">
        <v>861</v>
      </c>
      <c r="P319" s="1" t="s">
        <v>867</v>
      </c>
      <c r="Q319" s="2">
        <f>HYPERLINK("https://waterdata.usgs.gov/nwis/nwismap/?site_no=08042558&amp;agency_cd=USGS", "Station Info")</f>
        <v>0</v>
      </c>
      <c r="R319" s="2">
        <f>HYPERLINK("https://waterservices.usgs.gov/nwis/site/?site=08042558&amp;format=rdb", "Datum Info")</f>
        <v>0</v>
      </c>
      <c r="T319" s="1">
        <v>7425413</v>
      </c>
      <c r="U319" s="1">
        <v>0</v>
      </c>
      <c r="V319" s="1" t="s">
        <v>869</v>
      </c>
      <c r="W319" s="1" t="s">
        <v>874</v>
      </c>
      <c r="X319" s="1" t="s">
        <v>887</v>
      </c>
      <c r="AF319" s="1" t="s">
        <v>958</v>
      </c>
      <c r="AJ319" s="1">
        <v>0.075</v>
      </c>
      <c r="AK319" s="1">
        <v>-1.26</v>
      </c>
      <c r="AY319" s="2">
        <f>HYPERLINK("https://vdatum.noaa.gov/vdatumweb/api/convert?s_x=-94.66610708&amp;s_y=29.67555036&amp;s_z=0.0&amp;region=contiguous&amp;s_h_frame=NAD83_2011&amp;s_coor=geo&amp;s_v_frame=NAVD88&amp;s_v_unit=us_ft&amp;t_h_frame=NAD83_2011&amp;t_coor=geo&amp;t_v_frame=MLLW&amp;t_v_unit=us_ft", "NAVD88 to MLLW")</f>
        <v>0</v>
      </c>
      <c r="AZ319" s="2">
        <f>HYPERLINK("https://vdatum.noaa.gov/vdatumweb/api/convert?s_x=-94.66610708&amp;s_y=29.67555036&amp;s_z=0.0&amp;region=contiguous&amp;s_h_frame=NAD83_2011&amp;s_coor=geo&amp;s_v_frame=NAVD88&amp;s_v_unit=us_ft&amp;t_h_frame=NAD83_2011&amp;t_coor=geo&amp;t_v_frame=MHHW&amp;t_v_unit=us_ft", "NAVD88 to MHHW")</f>
        <v>0</v>
      </c>
    </row>
    <row r="320" spans="1:52">
      <c r="A320" s="1" t="s">
        <v>344</v>
      </c>
      <c r="B320" s="1" t="s">
        <v>626</v>
      </c>
      <c r="C320" s="1" t="s">
        <v>648</v>
      </c>
      <c r="D320" s="1" t="s">
        <v>654</v>
      </c>
      <c r="E320" s="1" t="s">
        <v>744</v>
      </c>
      <c r="F320" s="1" t="s">
        <v>846</v>
      </c>
      <c r="G320" s="1" t="s">
        <v>856</v>
      </c>
      <c r="L320" s="1">
        <v>-95.09381196</v>
      </c>
      <c r="M320" s="1">
        <v>29.87632903</v>
      </c>
      <c r="N320" s="1" t="s">
        <v>2210</v>
      </c>
      <c r="O320" s="1" t="s">
        <v>861</v>
      </c>
      <c r="P320" s="1" t="s">
        <v>867</v>
      </c>
      <c r="Q320" s="2">
        <f>HYPERLINK("https://waterdata.usgs.gov/nwis/nwismap/?site_no=08072050&amp;agency_cd=USGS", "Station Info")</f>
        <v>0</v>
      </c>
      <c r="R320" s="2">
        <f>HYPERLINK("https://waterservices.usgs.gov/nwis/site/?site=08072050&amp;format=rdb", "Datum Info")</f>
        <v>0</v>
      </c>
      <c r="T320" s="1">
        <v>4167808</v>
      </c>
      <c r="U320" s="1">
        <v>0</v>
      </c>
      <c r="V320" s="1" t="s">
        <v>869</v>
      </c>
      <c r="W320" s="1" t="s">
        <v>874</v>
      </c>
      <c r="X320" s="1" t="s">
        <v>887</v>
      </c>
      <c r="AF320" s="1" t="s">
        <v>1023</v>
      </c>
      <c r="AJ320" s="1">
        <v>-999999</v>
      </c>
      <c r="AK320" s="1">
        <v>-999999</v>
      </c>
      <c r="AY320" s="2">
        <f>HYPERLINK("https://vdatum.noaa.gov/vdatumweb/api/convert?s_x=-95.09381196&amp;s_y=29.87632903&amp;s_z=0.0&amp;region=contiguous&amp;s_h_frame=NAD83_2011&amp;s_coor=geo&amp;s_v_frame=NAVD88&amp;s_v_unit=us_ft&amp;t_h_frame=NAD83_2011&amp;t_coor=geo&amp;t_v_frame=MLLW&amp;t_v_unit=us_ft", "Missing")</f>
        <v>0</v>
      </c>
      <c r="AZ320" s="2">
        <f>HYPERLINK("https://vdatum.noaa.gov/vdatumweb/api/convert?s_x=-95.09381196&amp;s_y=29.87632903&amp;s_z=0.0&amp;region=contiguous&amp;s_h_frame=NAD83_2011&amp;s_coor=geo&amp;s_v_frame=NAVD88&amp;s_v_unit=us_ft&amp;t_h_frame=NAD83_2011&amp;t_coor=geo&amp;t_v_frame=MHHW&amp;t_v_unit=us_ft", "Missing")</f>
        <v>0</v>
      </c>
    </row>
    <row r="321" spans="1:52">
      <c r="A321" s="1" t="s">
        <v>345</v>
      </c>
      <c r="B321" s="1" t="s">
        <v>626</v>
      </c>
      <c r="C321" s="1" t="s">
        <v>648</v>
      </c>
      <c r="D321" s="1" t="s">
        <v>654</v>
      </c>
      <c r="E321" s="1" t="s">
        <v>744</v>
      </c>
      <c r="F321" s="1" t="s">
        <v>846</v>
      </c>
      <c r="G321" s="1" t="s">
        <v>856</v>
      </c>
      <c r="H321" s="1" t="s">
        <v>1815</v>
      </c>
      <c r="I321" s="1" t="s">
        <v>1859</v>
      </c>
      <c r="J321" s="1" t="s">
        <v>1951</v>
      </c>
      <c r="K321" s="1" t="s">
        <v>2108</v>
      </c>
      <c r="L321" s="1">
        <v>-95.28937372</v>
      </c>
      <c r="M321" s="1">
        <v>29.67439169</v>
      </c>
      <c r="N321" s="1" t="s">
        <v>2211</v>
      </c>
      <c r="O321" s="1" t="s">
        <v>861</v>
      </c>
      <c r="P321" s="1" t="s">
        <v>867</v>
      </c>
      <c r="Q321" s="2">
        <f>HYPERLINK("https://waterdata.usgs.gov/nwis/nwismap/?site_no=08075500&amp;agency_cd=USGS", "Station Info")</f>
        <v>0</v>
      </c>
      <c r="R321" s="2">
        <f>HYPERLINK("https://waterservices.usgs.gov/nwis/site/?site=08075500&amp;format=rdb", "Datum Info")</f>
        <v>0</v>
      </c>
      <c r="T321" s="1">
        <v>4331578</v>
      </c>
      <c r="U321" s="1">
        <v>0</v>
      </c>
      <c r="V321" s="1" t="s">
        <v>869</v>
      </c>
      <c r="W321" s="1" t="s">
        <v>874</v>
      </c>
      <c r="X321" s="1" t="s">
        <v>887</v>
      </c>
      <c r="AF321" s="1" t="s">
        <v>1023</v>
      </c>
      <c r="AJ321" s="1">
        <v>-999999</v>
      </c>
      <c r="AK321" s="1">
        <v>-999999</v>
      </c>
      <c r="AL321" s="1" t="s">
        <v>887</v>
      </c>
      <c r="AM321" s="1">
        <v>0</v>
      </c>
      <c r="AS321" s="1">
        <v>23.2</v>
      </c>
      <c r="AT321" s="1">
        <v>26.2</v>
      </c>
      <c r="AU321" s="1">
        <v>27.2</v>
      </c>
      <c r="AV321" s="1">
        <v>28.2</v>
      </c>
      <c r="AW321" s="1" t="s">
        <v>1744</v>
      </c>
      <c r="AX321" s="2">
        <f>HYPERLINK("https://water.weather.gov/ahps2/hydrograph.php?wfo=hgx&amp;gage=hsit2", "AHPS Data")</f>
        <v>0</v>
      </c>
      <c r="AY321" s="2">
        <f>HYPERLINK("https://vdatum.noaa.gov/vdatumweb/api/convert?s_x=-95.28937372&amp;s_y=29.67439169&amp;s_z=0.0&amp;region=contiguous&amp;s_h_frame=NAD83_2011&amp;s_coor=geo&amp;s_v_frame=NAVD88&amp;s_v_unit=us_ft&amp;t_h_frame=NAD83_2011&amp;t_coor=geo&amp;t_v_frame=MLLW&amp;t_v_unit=us_ft", "Missing")</f>
        <v>0</v>
      </c>
      <c r="AZ321" s="2">
        <f>HYPERLINK("https://vdatum.noaa.gov/vdatumweb/api/convert?s_x=-95.28937372&amp;s_y=29.67439169&amp;s_z=0.0&amp;region=contiguous&amp;s_h_frame=NAD83_2011&amp;s_coor=geo&amp;s_v_frame=NAVD88&amp;s_v_unit=us_ft&amp;t_h_frame=NAD83_2011&amp;t_coor=geo&amp;t_v_frame=MHHW&amp;t_v_unit=us_ft", "Missing")</f>
        <v>0</v>
      </c>
    </row>
    <row r="322" spans="1:52">
      <c r="A322" s="1" t="s">
        <v>346</v>
      </c>
      <c r="B322" s="1" t="s">
        <v>626</v>
      </c>
      <c r="C322" s="1" t="s">
        <v>648</v>
      </c>
      <c r="D322" s="1" t="s">
        <v>654</v>
      </c>
      <c r="E322" s="1" t="s">
        <v>744</v>
      </c>
      <c r="F322" s="1" t="s">
        <v>846</v>
      </c>
      <c r="G322" s="1" t="s">
        <v>856</v>
      </c>
      <c r="J322" s="1" t="s">
        <v>1952</v>
      </c>
      <c r="L322" s="1">
        <v>-95.0239</v>
      </c>
      <c r="M322" s="1">
        <v>29.5503</v>
      </c>
      <c r="N322" s="1" t="s">
        <v>2212</v>
      </c>
      <c r="O322" s="1" t="s">
        <v>861</v>
      </c>
      <c r="P322" s="1" t="s">
        <v>867</v>
      </c>
      <c r="Q322" s="2">
        <f>HYPERLINK("https://waterdata.usgs.gov/nwis/nwismap/?site_no=08077637&amp;agency_cd=USGS", "Station Info")</f>
        <v>0</v>
      </c>
      <c r="R322" s="2">
        <f>HYPERLINK("https://waterservices.usgs.gov/nwis/site/?site=08077637&amp;format=rdb", "Datum Info")</f>
        <v>0</v>
      </c>
      <c r="T322" s="1">
        <v>7853979</v>
      </c>
      <c r="U322" s="1">
        <v>0</v>
      </c>
      <c r="V322" s="1" t="s">
        <v>869</v>
      </c>
      <c r="W322" s="1" t="s">
        <v>874</v>
      </c>
      <c r="X322" s="1" t="s">
        <v>887</v>
      </c>
      <c r="AF322" s="1" t="s">
        <v>958</v>
      </c>
      <c r="AJ322" s="1">
        <v>-0.037</v>
      </c>
      <c r="AK322" s="1">
        <v>-1.209</v>
      </c>
      <c r="AY322" s="2">
        <f>HYPERLINK("https://vdatum.noaa.gov/vdatumweb/api/convert?s_x=-95.0239&amp;s_y=29.5503&amp;s_z=0.0&amp;region=contiguous&amp;s_h_frame=NAD83_2011&amp;s_coor=geo&amp;s_v_frame=NAVD88&amp;s_v_unit=us_ft&amp;t_h_frame=NAD83_2011&amp;t_coor=geo&amp;t_v_frame=MLLW&amp;t_v_unit=us_ft", "NAVD88 to MLLW")</f>
        <v>0</v>
      </c>
      <c r="AZ322" s="2">
        <f>HYPERLINK("https://vdatum.noaa.gov/vdatumweb/api/convert?s_x=-95.0239&amp;s_y=29.5503&amp;s_z=0.0&amp;region=contiguous&amp;s_h_frame=NAD83_2011&amp;s_coor=geo&amp;s_v_frame=NAVD88&amp;s_v_unit=us_ft&amp;t_h_frame=NAD83_2011&amp;t_coor=geo&amp;t_v_frame=MHHW&amp;t_v_unit=us_ft", "NAVD88 to MHHW")</f>
        <v>0</v>
      </c>
    </row>
    <row r="323" spans="1:52">
      <c r="A323" s="1" t="s">
        <v>347</v>
      </c>
      <c r="B323" s="1" t="s">
        <v>626</v>
      </c>
      <c r="C323" s="1" t="s">
        <v>648</v>
      </c>
      <c r="D323" s="1" t="s">
        <v>654</v>
      </c>
      <c r="E323" s="1" t="s">
        <v>746</v>
      </c>
      <c r="F323" s="1" t="s">
        <v>846</v>
      </c>
      <c r="G323" s="1" t="s">
        <v>856</v>
      </c>
      <c r="J323" s="1" t="s">
        <v>1953</v>
      </c>
      <c r="L323" s="1">
        <v>-95.3388276</v>
      </c>
      <c r="M323" s="1">
        <v>28.95108115</v>
      </c>
      <c r="N323" s="1" t="s">
        <v>2213</v>
      </c>
      <c r="O323" s="1" t="s">
        <v>861</v>
      </c>
      <c r="P323" s="1" t="s">
        <v>867</v>
      </c>
      <c r="Q323" s="2">
        <f>HYPERLINK("https://waterdata.usgs.gov/nwis/nwismap/?site_no=08079120&amp;agency_cd=USGS", "Station Info")</f>
        <v>0</v>
      </c>
      <c r="R323" s="2">
        <f>HYPERLINK("https://waterservices.usgs.gov/nwis/site/?site=08079120&amp;format=rdb", "Datum Info")</f>
        <v>0</v>
      </c>
      <c r="T323" s="1">
        <v>7107361</v>
      </c>
      <c r="U323" s="1">
        <v>-0.06900000000000001</v>
      </c>
      <c r="V323" s="1" t="s">
        <v>869</v>
      </c>
      <c r="W323" s="1" t="s">
        <v>874</v>
      </c>
      <c r="X323" s="1" t="s">
        <v>889</v>
      </c>
      <c r="AH323" s="1" t="s">
        <v>958</v>
      </c>
      <c r="AJ323" s="1">
        <v>0.433</v>
      </c>
      <c r="AK323" s="1">
        <v>-1.335</v>
      </c>
      <c r="AY323" s="2">
        <f>HYPERLINK("https://vdatum.noaa.gov/vdatumweb/api/convert?s_x=-95.3388276&amp;s_y=28.95108115&amp;s_z=0.0&amp;region=contiguous&amp;s_h_frame=NAD83_2011&amp;s_coor=geo&amp;s_v_frame=NAVD88&amp;s_v_unit=us_ft&amp;t_h_frame=NAD83_2011&amp;t_coor=geo&amp;t_v_frame=MLLW&amp;t_v_unit=us_ft", "NAVD88 to MLLW")</f>
        <v>0</v>
      </c>
      <c r="AZ323" s="2">
        <f>HYPERLINK("https://vdatum.noaa.gov/vdatumweb/api/convert?s_x=-95.3388276&amp;s_y=28.95108115&amp;s_z=0.0&amp;region=contiguous&amp;s_h_frame=NAD83_2011&amp;s_coor=geo&amp;s_v_frame=NAVD88&amp;s_v_unit=us_ft&amp;t_h_frame=NAD83_2011&amp;t_coor=geo&amp;t_v_frame=MHHW&amp;t_v_unit=us_ft", "NAVD88 to MHHW")</f>
        <v>0</v>
      </c>
    </row>
    <row r="324" spans="1:52">
      <c r="A324" s="1" t="s">
        <v>348</v>
      </c>
      <c r="B324" s="1" t="s">
        <v>627</v>
      </c>
      <c r="C324" s="1" t="s">
        <v>645</v>
      </c>
      <c r="D324" s="1" t="s">
        <v>654</v>
      </c>
      <c r="E324" s="1" t="s">
        <v>749</v>
      </c>
      <c r="F324" s="1" t="s">
        <v>847</v>
      </c>
      <c r="G324" s="1" t="s">
        <v>854</v>
      </c>
      <c r="H324" s="1" t="s">
        <v>1816</v>
      </c>
      <c r="I324" s="1" t="s">
        <v>1857</v>
      </c>
      <c r="J324" s="1" t="s">
        <v>1954</v>
      </c>
      <c r="K324" s="1" t="s">
        <v>2109</v>
      </c>
      <c r="L324" s="1">
        <v>-81.6617</v>
      </c>
      <c r="M324" s="1">
        <v>30.3917</v>
      </c>
      <c r="N324" s="1">
        <v>8720217</v>
      </c>
      <c r="O324" s="1" t="s">
        <v>861</v>
      </c>
      <c r="P324" s="1" t="s">
        <v>866</v>
      </c>
      <c r="Q324" s="2">
        <f>HYPERLINK("https://tidesandcurrents.noaa.gov/stationhome.html?id=8720217", "Station Info")</f>
        <v>0</v>
      </c>
      <c r="R324" s="2">
        <f>HYPERLINK("https://tidesandcurrents.noaa.gov/datums.html?datum=MLLW&amp;units=0&amp;epoch=0&amp;id=8720217", "Datum Info")</f>
        <v>0</v>
      </c>
      <c r="S324" s="2">
        <f>HYPERLINK("https://api.tidesandcurrents.noaa.gov/mdapi/prod/webapi/stations/8720217.json", "More Info")</f>
        <v>0</v>
      </c>
      <c r="T324" s="1">
        <v>7886689</v>
      </c>
      <c r="U324" s="1">
        <v>0</v>
      </c>
      <c r="V324" s="1" t="s">
        <v>869</v>
      </c>
      <c r="W324" s="1" t="s">
        <v>874</v>
      </c>
      <c r="X324" s="1" t="s">
        <v>886</v>
      </c>
      <c r="Y324" s="1">
        <v>2.72</v>
      </c>
      <c r="Z324" s="1">
        <v>2.59</v>
      </c>
      <c r="AA324" s="1">
        <v>1.34</v>
      </c>
      <c r="AB324" s="1">
        <v>1.32</v>
      </c>
      <c r="AC324" s="1">
        <v>1.36</v>
      </c>
      <c r="AD324" s="1">
        <v>0.08</v>
      </c>
      <c r="AE324" s="1">
        <v>0</v>
      </c>
      <c r="AF324" s="1">
        <v>1.68</v>
      </c>
      <c r="AG324" s="1">
        <v>-4.93</v>
      </c>
      <c r="AH324" s="1" t="s">
        <v>1237</v>
      </c>
      <c r="AI324" s="1" t="s">
        <v>1500</v>
      </c>
      <c r="AJ324" s="1">
        <v>1.679</v>
      </c>
      <c r="AK324" s="1">
        <v>-1.041</v>
      </c>
      <c r="AL324" s="1" t="s">
        <v>887</v>
      </c>
      <c r="AM324" s="1">
        <v>0</v>
      </c>
      <c r="AN324" s="1" t="s">
        <v>1657</v>
      </c>
      <c r="AS324" s="1">
        <v>1.2</v>
      </c>
      <c r="AT324" s="1">
        <v>1.7</v>
      </c>
      <c r="AU324" s="1">
        <v>2.2</v>
      </c>
      <c r="AV324" s="1">
        <v>3.2</v>
      </c>
      <c r="AW324" s="1" t="s">
        <v>1744</v>
      </c>
      <c r="AX324" s="2">
        <f>HYPERLINK("https://water.weather.gov/ahps2/hydrograph.php?wfo=jax&amp;gage=brjf1", "AHPS Data")</f>
        <v>0</v>
      </c>
      <c r="AY324" s="2">
        <f>HYPERLINK("https://vdatum.noaa.gov/vdatumweb/api/convert?s_x=-81.6617&amp;s_y=30.3917&amp;s_z=0.0&amp;region=contiguous&amp;s_h_frame=NAD83_2011&amp;s_coor=geo&amp;s_v_frame=NAVD88&amp;s_v_unit=us_ft&amp;t_h_frame=NAD83_2011&amp;t_coor=geo&amp;t_v_frame=MLLW&amp;t_v_unit=us_ft", "NAVD88 to MLLW")</f>
        <v>0</v>
      </c>
      <c r="AZ324" s="2">
        <f>HYPERLINK("https://vdatum.noaa.gov/vdatumweb/api/convert?s_x=-81.6617&amp;s_y=30.3917&amp;s_z=0.0&amp;region=contiguous&amp;s_h_frame=NAD83_2011&amp;s_coor=geo&amp;s_v_frame=NAVD88&amp;s_v_unit=us_ft&amp;t_h_frame=NAD83_2011&amp;t_coor=geo&amp;t_v_frame=MHHW&amp;t_v_unit=us_ft", "NAVD88 to MHHW")</f>
        <v>0</v>
      </c>
    </row>
    <row r="325" spans="1:52">
      <c r="A325" s="1" t="s">
        <v>349</v>
      </c>
      <c r="B325" s="1" t="s">
        <v>627</v>
      </c>
      <c r="C325" s="1" t="s">
        <v>645</v>
      </c>
      <c r="D325" s="1" t="s">
        <v>654</v>
      </c>
      <c r="L325" s="1">
        <v>-81.42789999999999</v>
      </c>
      <c r="M325" s="1">
        <v>30.39817</v>
      </c>
      <c r="N325" s="1">
        <v>8720218</v>
      </c>
      <c r="O325" s="1" t="s">
        <v>860</v>
      </c>
      <c r="P325" s="1" t="s">
        <v>866</v>
      </c>
      <c r="Q325" s="2">
        <f>HYPERLINK("https://tidesandcurrents.noaa.gov/stationhome.html?id=8720218", "Station Info")</f>
        <v>0</v>
      </c>
      <c r="R325" s="2">
        <f>HYPERLINK("https://tidesandcurrents.noaa.gov/datums.html?datum=MLLW&amp;units=0&amp;epoch=0&amp;id=8720218", "Datum Info")</f>
        <v>0</v>
      </c>
      <c r="S325" s="2">
        <f>HYPERLINK("https://api.tidesandcurrents.noaa.gov/mdapi/prod/webapi/stations/8720218.json", "More Info")</f>
        <v>0</v>
      </c>
      <c r="T325" s="1">
        <v>5751777</v>
      </c>
      <c r="U325" s="1">
        <v>0</v>
      </c>
      <c r="V325" s="1" t="s">
        <v>869</v>
      </c>
      <c r="W325" s="1" t="s">
        <v>874</v>
      </c>
      <c r="X325" s="1" t="s">
        <v>886</v>
      </c>
      <c r="Y325" s="1">
        <v>4.95</v>
      </c>
      <c r="Z325" s="1">
        <v>4.69</v>
      </c>
      <c r="AA325" s="1">
        <v>2.42</v>
      </c>
      <c r="AB325" s="1">
        <v>2.47</v>
      </c>
      <c r="AC325" s="1">
        <v>2.48</v>
      </c>
      <c r="AD325" s="1">
        <v>0.15</v>
      </c>
      <c r="AE325" s="1">
        <v>0</v>
      </c>
      <c r="AF325" s="1">
        <v>2.99</v>
      </c>
      <c r="AG325" s="1">
        <v>-9.08</v>
      </c>
      <c r="AH325" s="1" t="s">
        <v>1238</v>
      </c>
      <c r="AI325" s="1" t="s">
        <v>1501</v>
      </c>
      <c r="AJ325" s="1">
        <v>3.02</v>
      </c>
      <c r="AK325" s="1">
        <v>-1.947</v>
      </c>
      <c r="AY325" s="2">
        <f>HYPERLINK("https://vdatum.noaa.gov/vdatumweb/api/convert?s_x=-81.4279&amp;s_y=30.39817&amp;s_z=0.0&amp;region=contiguous&amp;s_h_frame=NAD83_2011&amp;s_coor=geo&amp;s_v_frame=NAVD88&amp;s_v_unit=us_ft&amp;t_h_frame=NAD83_2011&amp;t_coor=geo&amp;t_v_frame=MLLW&amp;t_v_unit=us_ft", "NAVD88 to MLLW")</f>
        <v>0</v>
      </c>
      <c r="AZ325" s="2">
        <f>HYPERLINK("https://vdatum.noaa.gov/vdatumweb/api/convert?s_x=-81.4279&amp;s_y=30.39817&amp;s_z=0.0&amp;region=contiguous&amp;s_h_frame=NAD83_2011&amp;s_coor=geo&amp;s_v_frame=NAVD88&amp;s_v_unit=us_ft&amp;t_h_frame=NAD83_2011&amp;t_coor=geo&amp;t_v_frame=MHHW&amp;t_v_unit=us_ft", "NAVD88 to MHHW")</f>
        <v>0</v>
      </c>
    </row>
    <row r="326" spans="1:52">
      <c r="A326" s="1" t="s">
        <v>350</v>
      </c>
      <c r="B326" s="1" t="s">
        <v>627</v>
      </c>
      <c r="C326" s="1" t="s">
        <v>645</v>
      </c>
      <c r="D326" s="1" t="s">
        <v>654</v>
      </c>
      <c r="E326" s="1" t="s">
        <v>749</v>
      </c>
      <c r="F326" s="1" t="s">
        <v>847</v>
      </c>
      <c r="G326" s="1" t="s">
        <v>854</v>
      </c>
      <c r="L326" s="1">
        <v>-81.5592</v>
      </c>
      <c r="M326" s="1">
        <v>30.38722</v>
      </c>
      <c r="N326" s="1">
        <v>8720219</v>
      </c>
      <c r="O326" s="1" t="s">
        <v>860</v>
      </c>
      <c r="P326" s="1" t="s">
        <v>866</v>
      </c>
      <c r="Q326" s="2">
        <f>HYPERLINK("https://tidesandcurrents.noaa.gov/stationhome.html?id=8720219", "Station Info")</f>
        <v>0</v>
      </c>
      <c r="R326" s="2">
        <f>HYPERLINK("https://tidesandcurrents.noaa.gov/datums.html?datum=MLLW&amp;units=0&amp;epoch=0&amp;id=8720219", "Datum Info")</f>
        <v>0</v>
      </c>
      <c r="S326" s="2">
        <f>HYPERLINK("https://api.tidesandcurrents.noaa.gov/mdapi/prod/webapi/stations/8720219.json", "More Info")</f>
        <v>0</v>
      </c>
      <c r="T326" s="1">
        <v>9587417</v>
      </c>
      <c r="U326" s="1">
        <v>0</v>
      </c>
      <c r="V326" s="1" t="s">
        <v>869</v>
      </c>
      <c r="W326" s="1" t="s">
        <v>874</v>
      </c>
      <c r="X326" s="1" t="s">
        <v>886</v>
      </c>
      <c r="Y326" s="1">
        <v>3.66</v>
      </c>
      <c r="Z326" s="1">
        <v>3.5</v>
      </c>
      <c r="AA326" s="1">
        <v>1.8</v>
      </c>
      <c r="AB326" s="1">
        <v>1.86</v>
      </c>
      <c r="AC326" s="1">
        <v>1.83</v>
      </c>
      <c r="AD326" s="1">
        <v>0.11</v>
      </c>
      <c r="AE326" s="1">
        <v>0</v>
      </c>
      <c r="AF326" s="1">
        <v>2.24</v>
      </c>
      <c r="AG326" s="1">
        <v>-3.82</v>
      </c>
      <c r="AH326" s="1" t="s">
        <v>1239</v>
      </c>
      <c r="AI326" s="1" t="s">
        <v>1502</v>
      </c>
      <c r="AJ326" s="1">
        <v>2.276</v>
      </c>
      <c r="AK326" s="1">
        <v>-1.368</v>
      </c>
      <c r="AY326" s="2">
        <f>HYPERLINK("https://vdatum.noaa.gov/vdatumweb/api/convert?s_x=-81.5592&amp;s_y=30.38722&amp;s_z=0.0&amp;region=contiguous&amp;s_h_frame=NAD83_2011&amp;s_coor=geo&amp;s_v_frame=NAVD88&amp;s_v_unit=us_ft&amp;t_h_frame=NAD83_2011&amp;t_coor=geo&amp;t_v_frame=MLLW&amp;t_v_unit=us_ft", "NAVD88 to MLLW")</f>
        <v>0</v>
      </c>
      <c r="AZ326" s="2">
        <f>HYPERLINK("https://vdatum.noaa.gov/vdatumweb/api/convert?s_x=-81.5592&amp;s_y=30.38722&amp;s_z=0.0&amp;region=contiguous&amp;s_h_frame=NAD83_2011&amp;s_coor=geo&amp;s_v_frame=NAVD88&amp;s_v_unit=us_ft&amp;t_h_frame=NAD83_2011&amp;t_coor=geo&amp;t_v_frame=MHHW&amp;t_v_unit=us_ft", "NAVD88 to MHHW")</f>
        <v>0</v>
      </c>
    </row>
    <row r="327" spans="1:52">
      <c r="A327" s="1" t="s">
        <v>351</v>
      </c>
      <c r="B327" s="1" t="s">
        <v>627</v>
      </c>
      <c r="C327" s="1" t="s">
        <v>645</v>
      </c>
      <c r="D327" s="1" t="s">
        <v>654</v>
      </c>
      <c r="E327" s="1" t="s">
        <v>749</v>
      </c>
      <c r="F327" s="1" t="s">
        <v>847</v>
      </c>
      <c r="G327" s="1" t="s">
        <v>854</v>
      </c>
      <c r="L327" s="1">
        <v>-81.6591</v>
      </c>
      <c r="M327" s="1">
        <v>30.3205</v>
      </c>
      <c r="N327" s="1">
        <v>8720226</v>
      </c>
      <c r="O327" s="1" t="s">
        <v>860</v>
      </c>
      <c r="P327" s="1" t="s">
        <v>866</v>
      </c>
      <c r="Q327" s="2">
        <f>HYPERLINK("https://tidesandcurrents.noaa.gov/stationhome.html?id=8720226", "Station Info")</f>
        <v>0</v>
      </c>
      <c r="R327" s="2">
        <f>HYPERLINK("https://tidesandcurrents.noaa.gov/datums.html?datum=MLLW&amp;units=0&amp;epoch=0&amp;id=8720226", "Datum Info")</f>
        <v>0</v>
      </c>
      <c r="S327" s="2">
        <f>HYPERLINK("https://api.tidesandcurrents.noaa.gov/mdapi/prod/webapi/stations/8720226.json", "More Info")</f>
        <v>0</v>
      </c>
      <c r="T327" s="1">
        <v>6729648</v>
      </c>
      <c r="U327" s="1">
        <v>0</v>
      </c>
      <c r="V327" s="1" t="s">
        <v>869</v>
      </c>
      <c r="W327" s="1" t="s">
        <v>874</v>
      </c>
      <c r="X327" s="1" t="s">
        <v>886</v>
      </c>
      <c r="Y327" s="1">
        <v>1.95</v>
      </c>
      <c r="Z327" s="1">
        <v>1.89</v>
      </c>
      <c r="AA327" s="1">
        <v>1</v>
      </c>
      <c r="AB327" s="1">
        <v>1.06</v>
      </c>
      <c r="AC327" s="1">
        <v>0.98</v>
      </c>
      <c r="AD327" s="1">
        <v>0.1</v>
      </c>
      <c r="AE327" s="1">
        <v>0</v>
      </c>
      <c r="AF327" s="1">
        <v>1.3</v>
      </c>
      <c r="AG327" s="1">
        <v>1.31</v>
      </c>
      <c r="AH327" s="1" t="s">
        <v>1240</v>
      </c>
      <c r="AI327" s="1" t="s">
        <v>1503</v>
      </c>
      <c r="AJ327" s="1">
        <v>1.338</v>
      </c>
      <c r="AK327" s="1">
        <v>-0.616</v>
      </c>
      <c r="AY327" s="2">
        <f>HYPERLINK("https://vdatum.noaa.gov/vdatumweb/api/convert?s_x=-81.6591&amp;s_y=30.3205&amp;s_z=0.0&amp;region=contiguous&amp;s_h_frame=NAD83_2011&amp;s_coor=geo&amp;s_v_frame=NAVD88&amp;s_v_unit=us_ft&amp;t_h_frame=NAD83_2011&amp;t_coor=geo&amp;t_v_frame=MLLW&amp;t_v_unit=us_ft", "NAVD88 to MLLW")</f>
        <v>0</v>
      </c>
      <c r="AZ327" s="2">
        <f>HYPERLINK("https://vdatum.noaa.gov/vdatumweb/api/convert?s_x=-81.6591&amp;s_y=30.3205&amp;s_z=0.0&amp;region=contiguous&amp;s_h_frame=NAD83_2011&amp;s_coor=geo&amp;s_v_frame=NAVD88&amp;s_v_unit=us_ft&amp;t_h_frame=NAD83_2011&amp;t_coor=geo&amp;t_v_frame=MHHW&amp;t_v_unit=us_ft", "NAVD88 to MHHW")</f>
        <v>0</v>
      </c>
    </row>
    <row r="328" spans="1:52">
      <c r="A328" s="1" t="s">
        <v>352</v>
      </c>
      <c r="B328" s="1" t="s">
        <v>627</v>
      </c>
      <c r="C328" s="1" t="s">
        <v>645</v>
      </c>
      <c r="D328" s="1" t="s">
        <v>654</v>
      </c>
      <c r="E328" s="1" t="s">
        <v>749</v>
      </c>
      <c r="F328" s="1" t="s">
        <v>847</v>
      </c>
      <c r="G328" s="1" t="s">
        <v>854</v>
      </c>
      <c r="L328" s="1">
        <v>-81.69</v>
      </c>
      <c r="M328" s="1">
        <v>30.19242</v>
      </c>
      <c r="N328" s="1">
        <v>8720357</v>
      </c>
      <c r="O328" s="1" t="s">
        <v>865</v>
      </c>
      <c r="P328" s="1" t="s">
        <v>866</v>
      </c>
      <c r="Q328" s="2">
        <f>HYPERLINK("https://tidesandcurrents.noaa.gov/stationhome.html?id=8720357", "Station Info")</f>
        <v>0</v>
      </c>
      <c r="R328" s="2">
        <f>HYPERLINK("https://tidesandcurrents.noaa.gov/datums.html?datum=MLLW&amp;units=0&amp;epoch=0&amp;id=8720357", "Datum Info")</f>
        <v>0</v>
      </c>
      <c r="S328" s="2">
        <f>HYPERLINK("https://api.tidesandcurrents.noaa.gov/mdapi/prod/webapi/stations/8720357.json", "More Info")</f>
        <v>0</v>
      </c>
      <c r="T328" s="1">
        <v>6729527</v>
      </c>
      <c r="U328" s="1">
        <v>0</v>
      </c>
      <c r="V328" s="1" t="s">
        <v>869</v>
      </c>
      <c r="W328" s="1" t="s">
        <v>874</v>
      </c>
      <c r="X328" s="1" t="s">
        <v>886</v>
      </c>
      <c r="Y328" s="1">
        <v>1.01</v>
      </c>
      <c r="Z328" s="1">
        <v>0.97</v>
      </c>
      <c r="AA328" s="1">
        <v>0.53</v>
      </c>
      <c r="AB328" s="1">
        <v>0.51</v>
      </c>
      <c r="AC328" s="1">
        <v>0.51</v>
      </c>
      <c r="AD328" s="1">
        <v>0.08</v>
      </c>
      <c r="AE328" s="1">
        <v>0</v>
      </c>
      <c r="AF328" s="1">
        <v>0.62</v>
      </c>
      <c r="AG328" s="1">
        <v>0.63</v>
      </c>
      <c r="AH328" s="1" t="s">
        <v>1241</v>
      </c>
      <c r="AI328" s="1" t="s">
        <v>1504</v>
      </c>
      <c r="AJ328" s="1">
        <v>0.516</v>
      </c>
      <c r="AK328" s="1">
        <v>-0.501</v>
      </c>
      <c r="AY328" s="2">
        <f>HYPERLINK("https://vdatum.noaa.gov/vdatumweb/api/convert?s_x=-81.69&amp;s_y=30.19242&amp;s_z=0.0&amp;region=contiguous&amp;s_h_frame=NAD83_2011&amp;s_coor=geo&amp;s_v_frame=NAVD88&amp;s_v_unit=us_ft&amp;t_h_frame=NAD83_2011&amp;t_coor=geo&amp;t_v_frame=MLLW&amp;t_v_unit=us_ft", "NAVD88 to MLLW")</f>
        <v>0</v>
      </c>
      <c r="AZ328" s="2">
        <f>HYPERLINK("https://vdatum.noaa.gov/vdatumweb/api/convert?s_x=-81.69&amp;s_y=30.19242&amp;s_z=0.0&amp;region=contiguous&amp;s_h_frame=NAD83_2011&amp;s_coor=geo&amp;s_v_frame=NAVD88&amp;s_v_unit=us_ft&amp;t_h_frame=NAD83_2011&amp;t_coor=geo&amp;t_v_frame=MHHW&amp;t_v_unit=us_ft", "NAVD88 to MHHW")</f>
        <v>0</v>
      </c>
    </row>
    <row r="329" spans="1:52">
      <c r="A329" s="1" t="s">
        <v>353</v>
      </c>
      <c r="B329" s="1" t="s">
        <v>627</v>
      </c>
      <c r="C329" s="1" t="s">
        <v>645</v>
      </c>
      <c r="D329" s="1" t="s">
        <v>654</v>
      </c>
      <c r="E329" s="1" t="s">
        <v>750</v>
      </c>
      <c r="F329" s="1" t="s">
        <v>847</v>
      </c>
      <c r="G329" s="1" t="s">
        <v>854</v>
      </c>
      <c r="H329" s="1" t="s">
        <v>1758</v>
      </c>
      <c r="I329" s="1" t="s">
        <v>1857</v>
      </c>
      <c r="J329" s="1" t="s">
        <v>1955</v>
      </c>
      <c r="K329" s="1" t="s">
        <v>2110</v>
      </c>
      <c r="L329" s="1">
        <v>-81.3867</v>
      </c>
      <c r="M329" s="1">
        <v>30.1333</v>
      </c>
      <c r="N329" s="1">
        <v>8720398</v>
      </c>
      <c r="O329" s="1" t="s">
        <v>861</v>
      </c>
      <c r="P329" s="1" t="s">
        <v>866</v>
      </c>
      <c r="Q329" s="2">
        <f>HYPERLINK("https://tidesandcurrents.noaa.gov/stationhome.html?id=8720398", "Station Info")</f>
        <v>0</v>
      </c>
      <c r="R329" s="2">
        <f>HYPERLINK("https://tidesandcurrents.noaa.gov/datums.html?datum=MLLW&amp;units=0&amp;epoch=0&amp;id=8720398", "Datum Info")</f>
        <v>0</v>
      </c>
      <c r="S329" s="2">
        <f>HYPERLINK("https://api.tidesandcurrents.noaa.gov/mdapi/prod/webapi/stations/8720398.json", "More Info")</f>
        <v>0</v>
      </c>
      <c r="T329" s="1">
        <v>4364031</v>
      </c>
      <c r="U329" s="1">
        <v>0</v>
      </c>
      <c r="V329" s="1" t="s">
        <v>869</v>
      </c>
      <c r="W329" s="1" t="s">
        <v>874</v>
      </c>
      <c r="X329" s="1" t="s">
        <v>886</v>
      </c>
      <c r="Y329" s="1">
        <v>5.09</v>
      </c>
      <c r="Z329" s="1">
        <v>4.84</v>
      </c>
      <c r="AA329" s="1">
        <v>2.51</v>
      </c>
      <c r="AB329" s="1">
        <v>2.98</v>
      </c>
      <c r="AC329" s="1">
        <v>2.55</v>
      </c>
      <c r="AD329" s="1">
        <v>0.18</v>
      </c>
      <c r="AE329" s="1">
        <v>0</v>
      </c>
      <c r="AF329" s="1">
        <v>3.15</v>
      </c>
      <c r="AG329" s="1">
        <v>-1.94</v>
      </c>
      <c r="AH329" s="1" t="s">
        <v>1242</v>
      </c>
      <c r="AI329" s="1" t="s">
        <v>1505</v>
      </c>
      <c r="AJ329" s="1">
        <v>3.15</v>
      </c>
      <c r="AK329" s="1">
        <v>-1.942</v>
      </c>
      <c r="AN329" s="1" t="s">
        <v>1658</v>
      </c>
      <c r="AS329" s="1">
        <v>1.5</v>
      </c>
      <c r="AT329" s="1">
        <v>2</v>
      </c>
      <c r="AU329" s="1">
        <v>2.5</v>
      </c>
      <c r="AV329" s="1">
        <v>3.5</v>
      </c>
      <c r="AW329" s="1" t="s">
        <v>1744</v>
      </c>
      <c r="AX329" s="2">
        <f>HYPERLINK("https://water.weather.gov/ahps2/hydrograph.php?wfo=jax&amp;gage=brng1", "AHPS Data")</f>
        <v>0</v>
      </c>
      <c r="AY329" s="2">
        <f>HYPERLINK("https://vdatum.noaa.gov/vdatumweb/api/convert?s_x=-81.3867&amp;s_y=30.1333&amp;s_z=0.0&amp;region=contiguous&amp;s_h_frame=NAD83_2011&amp;s_coor=geo&amp;s_v_frame=NAVD88&amp;s_v_unit=us_ft&amp;t_h_frame=NAD83_2011&amp;t_coor=geo&amp;t_v_frame=MLLW&amp;t_v_unit=us_ft", "NAVD88 to MLLW")</f>
        <v>0</v>
      </c>
      <c r="AZ329" s="2">
        <f>HYPERLINK("https://vdatum.noaa.gov/vdatumweb/api/convert?s_x=-81.3867&amp;s_y=30.1333&amp;s_z=0.0&amp;region=contiguous&amp;s_h_frame=NAD83_2011&amp;s_coor=geo&amp;s_v_frame=NAVD88&amp;s_v_unit=us_ft&amp;t_h_frame=NAD83_2011&amp;t_coor=geo&amp;t_v_frame=MHHW&amp;t_v_unit=us_ft", "NAVD88 to MHHW")</f>
        <v>0</v>
      </c>
    </row>
    <row r="330" spans="1:52">
      <c r="A330" s="1" t="s">
        <v>354</v>
      </c>
      <c r="B330" s="1" t="s">
        <v>627</v>
      </c>
      <c r="C330" s="1" t="s">
        <v>645</v>
      </c>
      <c r="D330" s="1" t="s">
        <v>654</v>
      </c>
      <c r="E330" s="1" t="s">
        <v>750</v>
      </c>
      <c r="F330" s="1" t="s">
        <v>847</v>
      </c>
      <c r="G330" s="1" t="s">
        <v>854</v>
      </c>
      <c r="L330" s="1">
        <v>-81.5483</v>
      </c>
      <c r="M330" s="1">
        <v>29.8017</v>
      </c>
      <c r="N330" s="1">
        <v>8720625</v>
      </c>
      <c r="O330" s="1" t="s">
        <v>860</v>
      </c>
      <c r="P330" s="1" t="s">
        <v>866</v>
      </c>
      <c r="Q330" s="2">
        <f>HYPERLINK("https://tidesandcurrents.noaa.gov/stationhome.html?id=8720625", "Station Info")</f>
        <v>0</v>
      </c>
      <c r="R330" s="2">
        <f>HYPERLINK("https://tidesandcurrents.noaa.gov/datums.html?datum=MLLW&amp;units=0&amp;epoch=0&amp;id=8720625", "Datum Info")</f>
        <v>0</v>
      </c>
      <c r="S330" s="2">
        <f>HYPERLINK("https://api.tidesandcurrents.noaa.gov/mdapi/prod/webapi/stations/8720625.json", "More Info")</f>
        <v>0</v>
      </c>
      <c r="T330" s="1">
        <v>5047962</v>
      </c>
      <c r="U330" s="1">
        <v>0</v>
      </c>
      <c r="V330" s="1" t="s">
        <v>869</v>
      </c>
      <c r="W330" s="1" t="s">
        <v>874</v>
      </c>
      <c r="X330" s="1" t="s">
        <v>886</v>
      </c>
      <c r="Y330" s="1">
        <v>1.27</v>
      </c>
      <c r="Z330" s="1">
        <v>1.21</v>
      </c>
      <c r="AA330" s="1">
        <v>0.64</v>
      </c>
      <c r="AB330" s="1">
        <v>0.64</v>
      </c>
      <c r="AC330" s="1">
        <v>0.63</v>
      </c>
      <c r="AD330" s="1">
        <v>0.08</v>
      </c>
      <c r="AE330" s="1">
        <v>0</v>
      </c>
      <c r="AF330" s="1">
        <v>0.62</v>
      </c>
      <c r="AG330" s="1">
        <v>0.63</v>
      </c>
      <c r="AH330" s="1" t="s">
        <v>1243</v>
      </c>
      <c r="AI330" s="1" t="s">
        <v>1506</v>
      </c>
      <c r="AJ330" s="1">
        <v>0.619</v>
      </c>
      <c r="AK330" s="1">
        <v>-0.638</v>
      </c>
      <c r="AY330" s="2">
        <f>HYPERLINK("https://vdatum.noaa.gov/vdatumweb/api/convert?s_x=-81.5483&amp;s_y=29.8017&amp;s_z=0.0&amp;region=contiguous&amp;s_h_frame=NAD83_2011&amp;s_coor=geo&amp;s_v_frame=NAVD88&amp;s_v_unit=us_ft&amp;t_h_frame=NAD83_2011&amp;t_coor=geo&amp;t_v_frame=MLLW&amp;t_v_unit=us_ft", "NAVD88 to MLLW")</f>
        <v>0</v>
      </c>
      <c r="AZ330" s="2">
        <f>HYPERLINK("https://vdatum.noaa.gov/vdatumweb/api/convert?s_x=-81.5483&amp;s_y=29.8017&amp;s_z=0.0&amp;region=contiguous&amp;s_h_frame=NAD83_2011&amp;s_coor=geo&amp;s_v_frame=NAVD88&amp;s_v_unit=us_ft&amp;t_h_frame=NAD83_2011&amp;t_coor=geo&amp;t_v_frame=MHHW&amp;t_v_unit=us_ft", "NAVD88 to MHHW")</f>
        <v>0</v>
      </c>
    </row>
    <row r="331" spans="1:52">
      <c r="A331" s="1" t="s">
        <v>355</v>
      </c>
      <c r="B331" s="1" t="s">
        <v>627</v>
      </c>
      <c r="C331" s="1" t="s">
        <v>645</v>
      </c>
      <c r="D331" s="1" t="s">
        <v>654</v>
      </c>
      <c r="E331" s="1" t="s">
        <v>751</v>
      </c>
      <c r="F331" s="1" t="s">
        <v>838</v>
      </c>
      <c r="G331" s="1" t="s">
        <v>854</v>
      </c>
      <c r="H331" s="1" t="s">
        <v>1817</v>
      </c>
      <c r="I331" s="1" t="s">
        <v>1857</v>
      </c>
      <c r="J331" s="1" t="s">
        <v>1956</v>
      </c>
      <c r="K331" s="1" t="s">
        <v>2111</v>
      </c>
      <c r="L331" s="1">
        <v>-81.7268578</v>
      </c>
      <c r="M331" s="1">
        <v>30.97488298</v>
      </c>
      <c r="N331" s="1" t="s">
        <v>2214</v>
      </c>
      <c r="O331" s="1" t="s">
        <v>861</v>
      </c>
      <c r="P331" s="1" t="s">
        <v>867</v>
      </c>
      <c r="Q331" s="2">
        <f>HYPERLINK("https://waterdata.usgs.gov/nwis/nwismap/?site_no=02228070&amp;agency_cd=USGS", "Station Info")</f>
        <v>0</v>
      </c>
      <c r="R331" s="2">
        <f>HYPERLINK("https://waterservices.usgs.gov/nwis/site/?site=02228070&amp;format=rdb", "Datum Info")</f>
        <v>0</v>
      </c>
      <c r="T331" s="1">
        <v>7752137</v>
      </c>
      <c r="U331" s="1">
        <v>-0.06</v>
      </c>
      <c r="V331" s="1" t="s">
        <v>869</v>
      </c>
      <c r="W331" s="1" t="s">
        <v>874</v>
      </c>
      <c r="X331" s="1" t="s">
        <v>887</v>
      </c>
      <c r="AF331" s="1" t="s">
        <v>1024</v>
      </c>
      <c r="AJ331" s="1">
        <v>-999999</v>
      </c>
      <c r="AK331" s="1">
        <v>-999999</v>
      </c>
      <c r="AM331" s="1">
        <v>0</v>
      </c>
      <c r="AN331" s="1" t="s">
        <v>1659</v>
      </c>
      <c r="AS331" s="1">
        <v>0.1</v>
      </c>
      <c r="AT331" s="1">
        <v>0.6</v>
      </c>
      <c r="AU331" s="1">
        <v>1.6</v>
      </c>
      <c r="AV331" s="1">
        <v>2.6</v>
      </c>
      <c r="AW331" s="1" t="s">
        <v>1744</v>
      </c>
      <c r="AX331" s="2">
        <f>HYPERLINK("https://water.weather.gov/ahps2/hydrograph.php?wfo=jax&amp;gage=srwg1", "AHPS Data")</f>
        <v>0</v>
      </c>
      <c r="AY331" s="2">
        <f>HYPERLINK("https://vdatum.noaa.gov/vdatumweb/api/convert?s_x=-81.7268578&amp;s_y=30.97488298&amp;s_z=0.0&amp;region=contiguous&amp;s_h_frame=NAD83_2011&amp;s_coor=geo&amp;s_v_frame=NAVD88&amp;s_v_unit=us_ft&amp;t_h_frame=NAD83_2011&amp;t_coor=geo&amp;t_v_frame=MLLW&amp;t_v_unit=us_ft", "Missing")</f>
        <v>0</v>
      </c>
      <c r="AZ331" s="2">
        <f>HYPERLINK("https://vdatum.noaa.gov/vdatumweb/api/convert?s_x=-81.7268578&amp;s_y=30.97488298&amp;s_z=0.0&amp;region=contiguous&amp;s_h_frame=NAD83_2011&amp;s_coor=geo&amp;s_v_frame=NAVD88&amp;s_v_unit=us_ft&amp;t_h_frame=NAD83_2011&amp;t_coor=geo&amp;t_v_frame=MHHW&amp;t_v_unit=us_ft", "Missing")</f>
        <v>0</v>
      </c>
    </row>
    <row r="332" spans="1:52">
      <c r="A332" s="1" t="s">
        <v>356</v>
      </c>
      <c r="B332" s="1" t="s">
        <v>627</v>
      </c>
      <c r="D332" s="1" t="s">
        <v>654</v>
      </c>
      <c r="H332" s="1" t="s">
        <v>1758</v>
      </c>
      <c r="I332" s="1" t="s">
        <v>1857</v>
      </c>
      <c r="J332" s="1" t="s">
        <v>1957</v>
      </c>
      <c r="K332" s="1" t="s">
        <v>2112</v>
      </c>
      <c r="L332" s="1">
        <v>-81.47135788</v>
      </c>
      <c r="M332" s="1">
        <v>30.76432746</v>
      </c>
      <c r="N332" s="1" t="s">
        <v>2215</v>
      </c>
      <c r="O332" s="1" t="s">
        <v>861</v>
      </c>
      <c r="P332" s="1" t="s">
        <v>867</v>
      </c>
      <c r="Q332" s="2">
        <f>HYPERLINK("https://waterdata.usgs.gov/nwis/nwismap/?site_no=02228295&amp;agency_cd=USGS", "Station Info")</f>
        <v>0</v>
      </c>
      <c r="R332" s="2">
        <f>HYPERLINK("https://waterservices.usgs.gov/nwis/site/?site=02228295&amp;format=rdb", "Datum Info")</f>
        <v>0</v>
      </c>
      <c r="T332" s="1">
        <v>3431367</v>
      </c>
      <c r="U332" s="1">
        <v>0</v>
      </c>
      <c r="V332" s="1" t="s">
        <v>869</v>
      </c>
      <c r="W332" s="1" t="s">
        <v>874</v>
      </c>
      <c r="X332" s="1" t="s">
        <v>887</v>
      </c>
      <c r="Y332" s="1" t="s">
        <v>909</v>
      </c>
      <c r="Z332" s="1" t="s">
        <v>916</v>
      </c>
      <c r="AA332" s="1" t="s">
        <v>923</v>
      </c>
      <c r="AC332" s="1" t="s">
        <v>931</v>
      </c>
      <c r="AD332" s="1" t="s">
        <v>938</v>
      </c>
      <c r="AE332" s="1" t="s">
        <v>945</v>
      </c>
      <c r="AF332" s="1" t="s">
        <v>1025</v>
      </c>
      <c r="AH332" s="1" t="s">
        <v>1244</v>
      </c>
      <c r="AI332" s="1" t="s">
        <v>1507</v>
      </c>
      <c r="AJ332" s="1">
        <v>3.936</v>
      </c>
      <c r="AK332" s="1">
        <v>-2.846</v>
      </c>
      <c r="AN332" s="1" t="s">
        <v>1660</v>
      </c>
      <c r="AS332" s="1">
        <v>1.2</v>
      </c>
      <c r="AT332" s="1">
        <v>1.7</v>
      </c>
      <c r="AU332" s="1">
        <v>2.2</v>
      </c>
      <c r="AV332" s="1">
        <v>3.5</v>
      </c>
      <c r="AW332" s="1" t="s">
        <v>1744</v>
      </c>
      <c r="AX332" s="2">
        <f>HYPERLINK("https://water.weather.gov/ahps2/hydrograph.php?wfo=jax&amp;gage=csag1", "AHPS Data")</f>
        <v>0</v>
      </c>
      <c r="AY332" s="2">
        <f>HYPERLINK("https://vdatum.noaa.gov/vdatumweb/api/convert?s_x=-81.47135788&amp;s_y=30.76432746&amp;s_z=0.0&amp;region=contiguous&amp;s_h_frame=NAD83_2011&amp;s_coor=geo&amp;s_v_frame=NAVD88&amp;s_v_unit=us_ft&amp;t_h_frame=NAD83_2011&amp;t_coor=geo&amp;t_v_frame=MLLW&amp;t_v_unit=us_ft", "NAVD88 to MLLW")</f>
        <v>0</v>
      </c>
      <c r="AZ332" s="2">
        <f>HYPERLINK("https://vdatum.noaa.gov/vdatumweb/api/convert?s_x=-81.47135788&amp;s_y=30.76432746&amp;s_z=0.0&amp;region=contiguous&amp;s_h_frame=NAD83_2011&amp;s_coor=geo&amp;s_v_frame=NAVD88&amp;s_v_unit=us_ft&amp;t_h_frame=NAD83_2011&amp;t_coor=geo&amp;t_v_frame=MHHW&amp;t_v_unit=us_ft", "NAVD88 to MHHW")</f>
        <v>0</v>
      </c>
    </row>
    <row r="333" spans="1:52">
      <c r="A333" s="1" t="s">
        <v>357</v>
      </c>
      <c r="B333" s="1" t="s">
        <v>627</v>
      </c>
      <c r="C333" s="1" t="s">
        <v>645</v>
      </c>
      <c r="D333" s="1" t="s">
        <v>654</v>
      </c>
      <c r="H333" s="1" t="s">
        <v>1818</v>
      </c>
      <c r="I333" s="1" t="s">
        <v>1857</v>
      </c>
      <c r="J333" s="1" t="s">
        <v>1958</v>
      </c>
      <c r="K333" s="1" t="s">
        <v>2113</v>
      </c>
      <c r="L333" s="1">
        <v>-81.65426503</v>
      </c>
      <c r="M333" s="1">
        <v>30.74411814</v>
      </c>
      <c r="N333" s="1" t="s">
        <v>2216</v>
      </c>
      <c r="O333" s="1" t="s">
        <v>861</v>
      </c>
      <c r="P333" s="1" t="s">
        <v>867</v>
      </c>
      <c r="Q333" s="2">
        <f>HYPERLINK("https://waterdata.usgs.gov/nwis/nwismap/?site_no=02231254&amp;agency_cd=USGS", "Station Info")</f>
        <v>0</v>
      </c>
      <c r="R333" s="2">
        <f>HYPERLINK("https://waterservices.usgs.gov/nwis/site/?site=02231254&amp;format=rdb", "Datum Info")</f>
        <v>0</v>
      </c>
      <c r="T333" s="1">
        <v>9373617</v>
      </c>
      <c r="U333" s="1">
        <v>0</v>
      </c>
      <c r="V333" s="1" t="s">
        <v>869</v>
      </c>
      <c r="W333" s="1" t="s">
        <v>874</v>
      </c>
      <c r="X333" s="1" t="s">
        <v>887</v>
      </c>
      <c r="AF333" s="1" t="s">
        <v>955</v>
      </c>
      <c r="AJ333" s="1">
        <v>2.665</v>
      </c>
      <c r="AK333" s="1">
        <v>-2.383</v>
      </c>
      <c r="AN333" s="1" t="s">
        <v>1661</v>
      </c>
      <c r="AS333" s="1">
        <v>0.5</v>
      </c>
      <c r="AT333" s="1">
        <v>1</v>
      </c>
      <c r="AU333" s="1">
        <v>1.5</v>
      </c>
      <c r="AV333" s="1">
        <v>3</v>
      </c>
      <c r="AW333" s="1" t="s">
        <v>1744</v>
      </c>
      <c r="AX333" s="2">
        <f>HYPERLINK("https://water.weather.gov/ahps2/hydrograph.php?wfo=jax&amp;gage=klng1", "AHPS Data")</f>
        <v>0</v>
      </c>
      <c r="AY333" s="2">
        <f>HYPERLINK("https://vdatum.noaa.gov/vdatumweb/api/convert?s_x=-81.65426503&amp;s_y=30.74411814&amp;s_z=0.0&amp;region=contiguous&amp;s_h_frame=NAD83_2011&amp;s_coor=geo&amp;s_v_frame=NAVD88&amp;s_v_unit=us_ft&amp;t_h_frame=NAD83_2011&amp;t_coor=geo&amp;t_v_frame=MLLW&amp;t_v_unit=us_ft", "NAVD88 to MLLW")</f>
        <v>0</v>
      </c>
      <c r="AZ333" s="2">
        <f>HYPERLINK("https://vdatum.noaa.gov/vdatumweb/api/convert?s_x=-81.65426503&amp;s_y=30.74411814&amp;s_z=0.0&amp;region=contiguous&amp;s_h_frame=NAD83_2011&amp;s_coor=geo&amp;s_v_frame=NAVD88&amp;s_v_unit=us_ft&amp;t_h_frame=NAD83_2011&amp;t_coor=geo&amp;t_v_frame=MHHW&amp;t_v_unit=us_ft", "NAVD88 to MHHW")</f>
        <v>0</v>
      </c>
    </row>
    <row r="334" spans="1:52">
      <c r="A334" s="1" t="s">
        <v>358</v>
      </c>
      <c r="B334" s="1" t="s">
        <v>627</v>
      </c>
      <c r="C334" s="1" t="s">
        <v>645</v>
      </c>
      <c r="D334" s="1" t="s">
        <v>654</v>
      </c>
      <c r="E334" s="1" t="s">
        <v>749</v>
      </c>
      <c r="F334" s="1" t="s">
        <v>847</v>
      </c>
      <c r="G334" s="1" t="s">
        <v>854</v>
      </c>
      <c r="H334" s="1" t="s">
        <v>1819</v>
      </c>
      <c r="I334" s="1" t="s">
        <v>1857</v>
      </c>
      <c r="J334" s="1" t="s">
        <v>1959</v>
      </c>
      <c r="K334" s="1" t="s">
        <v>2114</v>
      </c>
      <c r="L334" s="1">
        <v>-81.58981466</v>
      </c>
      <c r="M334" s="1">
        <v>30.55078729</v>
      </c>
      <c r="N334" s="1" t="s">
        <v>2217</v>
      </c>
      <c r="O334" s="1" t="s">
        <v>861</v>
      </c>
      <c r="P334" s="1" t="s">
        <v>867</v>
      </c>
      <c r="Q334" s="2">
        <f>HYPERLINK("https://waterdata.usgs.gov/nwis/nwismap/?site_no=02231291&amp;agency_cd=USGS", "Station Info")</f>
        <v>0</v>
      </c>
      <c r="R334" s="2">
        <f>HYPERLINK("https://waterservices.usgs.gov/nwis/site/?site=02231291&amp;format=rdb", "Datum Info")</f>
        <v>0</v>
      </c>
      <c r="T334" s="1">
        <v>8952437</v>
      </c>
      <c r="U334" s="1">
        <v>-3.51</v>
      </c>
      <c r="V334" s="1" t="s">
        <v>869</v>
      </c>
      <c r="W334" s="1" t="s">
        <v>874</v>
      </c>
      <c r="AJ334" s="1">
        <v>2.66</v>
      </c>
      <c r="AK334" s="1">
        <v>-2.025</v>
      </c>
      <c r="AN334" s="1" t="s">
        <v>1662</v>
      </c>
      <c r="AS334" s="1">
        <v>0.8</v>
      </c>
      <c r="AT334" s="1">
        <v>1.3</v>
      </c>
      <c r="AU334" s="1">
        <v>2.3</v>
      </c>
      <c r="AV334" s="1">
        <v>3.3</v>
      </c>
      <c r="AW334" s="1" t="s">
        <v>1744</v>
      </c>
      <c r="AX334" s="2">
        <f>HYPERLINK("https://water.weather.gov/ahps2/hydrograph.php?wfo=jax&amp;gage=natf1", "AHPS Data")</f>
        <v>0</v>
      </c>
      <c r="AY334" s="2">
        <f>HYPERLINK("https://vdatum.noaa.gov/vdatumweb/api/convert?s_x=-81.58981466&amp;s_y=30.55078729&amp;s_z=0.0&amp;region=contiguous&amp;s_h_frame=NAD83_2011&amp;s_coor=geo&amp;s_v_frame=NAVD88&amp;s_v_unit=us_ft&amp;t_h_frame=NAD83_2011&amp;t_coor=geo&amp;t_v_frame=MLLW&amp;t_v_unit=us_ft", "NAVD88 to MLLW")</f>
        <v>0</v>
      </c>
      <c r="AZ334" s="2">
        <f>HYPERLINK("https://vdatum.noaa.gov/vdatumweb/api/convert?s_x=-81.58981466&amp;s_y=30.55078729&amp;s_z=0.0&amp;region=contiguous&amp;s_h_frame=NAD83_2011&amp;s_coor=geo&amp;s_v_frame=NAVD88&amp;s_v_unit=us_ft&amp;t_h_frame=NAD83_2011&amp;t_coor=geo&amp;t_v_frame=MHHW&amp;t_v_unit=us_ft", "NAVD88 to MHHW")</f>
        <v>0</v>
      </c>
    </row>
    <row r="335" spans="1:52">
      <c r="A335" s="1" t="s">
        <v>359</v>
      </c>
      <c r="B335" s="1" t="s">
        <v>627</v>
      </c>
      <c r="C335" s="1" t="s">
        <v>645</v>
      </c>
      <c r="D335" s="1" t="s">
        <v>654</v>
      </c>
      <c r="E335" s="1" t="s">
        <v>752</v>
      </c>
      <c r="F335" s="1" t="s">
        <v>847</v>
      </c>
      <c r="G335" s="1" t="s">
        <v>854</v>
      </c>
      <c r="H335" s="1" t="s">
        <v>1820</v>
      </c>
      <c r="I335" s="1" t="s">
        <v>1857</v>
      </c>
      <c r="J335" s="1" t="s">
        <v>1960</v>
      </c>
      <c r="K335" s="1" t="s">
        <v>2115</v>
      </c>
      <c r="L335" s="1">
        <v>-81.68313477</v>
      </c>
      <c r="M335" s="1">
        <v>29.59635261</v>
      </c>
      <c r="N335" s="1" t="s">
        <v>2218</v>
      </c>
      <c r="O335" s="1" t="s">
        <v>861</v>
      </c>
      <c r="P335" s="1" t="s">
        <v>867</v>
      </c>
      <c r="Q335" s="2">
        <f>HYPERLINK("https://waterdata.usgs.gov/nwis/nwismap/?site_no=02244040&amp;agency_cd=USGS", "Station Info")</f>
        <v>0</v>
      </c>
      <c r="R335" s="2">
        <f>HYPERLINK("https://waterservices.usgs.gov/nwis/site/?site=02244040&amp;format=rdb", "Datum Info")</f>
        <v>0</v>
      </c>
      <c r="T335" s="1">
        <v>5865553</v>
      </c>
      <c r="U335" s="1">
        <v>-3.33</v>
      </c>
      <c r="V335" s="1" t="s">
        <v>869</v>
      </c>
      <c r="W335" s="1" t="s">
        <v>874</v>
      </c>
      <c r="AJ335" s="1">
        <v>0.5610000000000001</v>
      </c>
      <c r="AK335" s="1">
        <v>-0.578</v>
      </c>
      <c r="AM335" s="1">
        <v>0</v>
      </c>
      <c r="AN335" s="1" t="s">
        <v>1663</v>
      </c>
      <c r="AS335" s="1">
        <v>1</v>
      </c>
      <c r="AT335" s="1">
        <v>1.5</v>
      </c>
      <c r="AU335" s="1">
        <v>2</v>
      </c>
      <c r="AV335" s="1">
        <v>3</v>
      </c>
      <c r="AW335" s="1" t="s">
        <v>1744</v>
      </c>
      <c r="AX335" s="2">
        <f>HYPERLINK("https://water.weather.gov/ahps2/hydrograph.php?wfo=jax&amp;gage=palf1", "AHPS Data")</f>
        <v>0</v>
      </c>
      <c r="AY335" s="2">
        <f>HYPERLINK("https://vdatum.noaa.gov/vdatumweb/api/convert?s_x=-81.68313477&amp;s_y=29.59635261&amp;s_z=0.0&amp;region=contiguous&amp;s_h_frame=NAD83_2011&amp;s_coor=geo&amp;s_v_frame=NAVD88&amp;s_v_unit=us_ft&amp;t_h_frame=NAD83_2011&amp;t_coor=geo&amp;t_v_frame=MLLW&amp;t_v_unit=us_ft", "NAVD88 to MLLW")</f>
        <v>0</v>
      </c>
      <c r="AZ335" s="2">
        <f>HYPERLINK("https://vdatum.noaa.gov/vdatumweb/api/convert?s_x=-81.68313477&amp;s_y=29.59635261&amp;s_z=0.0&amp;region=contiguous&amp;s_h_frame=NAD83_2011&amp;s_coor=geo&amp;s_v_frame=NAVD88&amp;s_v_unit=us_ft&amp;t_h_frame=NAD83_2011&amp;t_coor=geo&amp;t_v_frame=MHHW&amp;t_v_unit=us_ft", "NAVD88 to MHHW")</f>
        <v>0</v>
      </c>
    </row>
    <row r="336" spans="1:52">
      <c r="A336" s="1" t="s">
        <v>360</v>
      </c>
      <c r="B336" s="1" t="s">
        <v>627</v>
      </c>
      <c r="C336" s="1" t="s">
        <v>645</v>
      </c>
      <c r="D336" s="1" t="s">
        <v>654</v>
      </c>
      <c r="E336" s="1" t="s">
        <v>752</v>
      </c>
      <c r="F336" s="1" t="s">
        <v>847</v>
      </c>
      <c r="G336" s="1" t="s">
        <v>854</v>
      </c>
      <c r="H336" s="1" t="s">
        <v>1821</v>
      </c>
      <c r="I336" s="1" t="s">
        <v>1857</v>
      </c>
      <c r="J336" s="1" t="s">
        <v>1961</v>
      </c>
      <c r="K336" s="1" t="s">
        <v>2116</v>
      </c>
      <c r="L336" s="1">
        <v>-81.62618778</v>
      </c>
      <c r="M336" s="1">
        <v>29.57774225</v>
      </c>
      <c r="N336" s="1" t="s">
        <v>2219</v>
      </c>
      <c r="O336" s="1" t="s">
        <v>861</v>
      </c>
      <c r="P336" s="1" t="s">
        <v>867</v>
      </c>
      <c r="Q336" s="2">
        <f>HYPERLINK("https://waterdata.usgs.gov/nwis/nwismap/?site_no=02244440&amp;agency_cd=USGS", "Station Info")</f>
        <v>0</v>
      </c>
      <c r="R336" s="2">
        <f>HYPERLINK("https://waterservices.usgs.gov/nwis/site/?site=02244440&amp;format=rdb", "Datum Info")</f>
        <v>0</v>
      </c>
      <c r="T336" s="1">
        <v>7815258</v>
      </c>
      <c r="U336" s="1">
        <v>-3.33</v>
      </c>
      <c r="V336" s="1" t="s">
        <v>869</v>
      </c>
      <c r="W336" s="1" t="s">
        <v>874</v>
      </c>
      <c r="AJ336" s="1">
        <v>0.62</v>
      </c>
      <c r="AK336" s="1">
        <v>-0.524</v>
      </c>
      <c r="AM336" s="1">
        <v>0</v>
      </c>
      <c r="AN336" s="1" t="s">
        <v>1664</v>
      </c>
      <c r="AS336" s="1">
        <v>1</v>
      </c>
      <c r="AT336" s="1">
        <v>1.5</v>
      </c>
      <c r="AU336" s="1">
        <v>2</v>
      </c>
      <c r="AV336" s="1">
        <v>3</v>
      </c>
      <c r="AW336" s="1" t="s">
        <v>1744</v>
      </c>
      <c r="AX336" s="2">
        <f>HYPERLINK("https://water.weather.gov/ahps2/hydrograph.php?wfo=jax&amp;gage=dnsf1", "AHPS Data")</f>
        <v>0</v>
      </c>
      <c r="AY336" s="2">
        <f>HYPERLINK("https://vdatum.noaa.gov/vdatumweb/api/convert?s_x=-81.62618778&amp;s_y=29.57774225&amp;s_z=0.0&amp;region=contiguous&amp;s_h_frame=NAD83_2011&amp;s_coor=geo&amp;s_v_frame=NAVD88&amp;s_v_unit=us_ft&amp;t_h_frame=NAD83_2011&amp;t_coor=geo&amp;t_v_frame=MLLW&amp;t_v_unit=us_ft", "NAVD88 to MLLW")</f>
        <v>0</v>
      </c>
      <c r="AZ336" s="2">
        <f>HYPERLINK("https://vdatum.noaa.gov/vdatumweb/api/convert?s_x=-81.62618778&amp;s_y=29.57774225&amp;s_z=0.0&amp;region=contiguous&amp;s_h_frame=NAD83_2011&amp;s_coor=geo&amp;s_v_frame=NAVD88&amp;s_v_unit=us_ft&amp;t_h_frame=NAD83_2011&amp;t_coor=geo&amp;t_v_frame=MHHW&amp;t_v_unit=us_ft", "NAVD88 to MHHW")</f>
        <v>0</v>
      </c>
    </row>
    <row r="337" spans="1:52">
      <c r="A337" s="1" t="s">
        <v>361</v>
      </c>
      <c r="B337" s="1" t="s">
        <v>627</v>
      </c>
      <c r="C337" s="1" t="s">
        <v>645</v>
      </c>
      <c r="D337" s="1" t="s">
        <v>654</v>
      </c>
      <c r="E337" s="1" t="s">
        <v>750</v>
      </c>
      <c r="F337" s="1" t="s">
        <v>847</v>
      </c>
      <c r="G337" s="1" t="s">
        <v>854</v>
      </c>
      <c r="H337" s="1" t="s">
        <v>1822</v>
      </c>
      <c r="I337" s="1" t="s">
        <v>1857</v>
      </c>
      <c r="J337" s="1" t="s">
        <v>1962</v>
      </c>
      <c r="K337" s="1" t="s">
        <v>2117</v>
      </c>
      <c r="L337" s="1">
        <v>-81.48436352</v>
      </c>
      <c r="M337" s="1">
        <v>29.72337494</v>
      </c>
      <c r="N337" s="1" t="s">
        <v>2220</v>
      </c>
      <c r="O337" s="1" t="s">
        <v>861</v>
      </c>
      <c r="P337" s="1" t="s">
        <v>867</v>
      </c>
      <c r="Q337" s="2">
        <f>HYPERLINK("https://waterdata.usgs.gov/nwis/nwismap/?site_no=02245260&amp;agency_cd=USGS", "Station Info")</f>
        <v>0</v>
      </c>
      <c r="R337" s="2">
        <f>HYPERLINK("https://waterservices.usgs.gov/nwis/site/?site=02245260&amp;format=rdb", "Datum Info")</f>
        <v>0</v>
      </c>
      <c r="T337" s="1">
        <v>5865730</v>
      </c>
      <c r="U337" s="1">
        <v>0</v>
      </c>
      <c r="V337" s="1" t="s">
        <v>869</v>
      </c>
      <c r="W337" s="1" t="s">
        <v>874</v>
      </c>
      <c r="AJ337" s="1">
        <v>-999999</v>
      </c>
      <c r="AK337" s="1">
        <v>-999999</v>
      </c>
      <c r="AM337" s="1">
        <v>0</v>
      </c>
      <c r="AN337" s="1" t="s">
        <v>1665</v>
      </c>
      <c r="AS337" s="1">
        <v>1.2</v>
      </c>
      <c r="AT337" s="1">
        <v>1.7</v>
      </c>
      <c r="AU337" s="1">
        <v>2.7</v>
      </c>
      <c r="AV337" s="1">
        <v>4.2</v>
      </c>
      <c r="AW337" s="1" t="s">
        <v>1744</v>
      </c>
      <c r="AX337" s="2">
        <f>HYPERLINK("https://water.weather.gov/ahps2/hydrograph.php?wfo=jax&amp;gage=spuf1", "AHPS Data")</f>
        <v>0</v>
      </c>
      <c r="AY337" s="2">
        <f>HYPERLINK("https://vdatum.noaa.gov/vdatumweb/api/convert?s_x=-81.48436352&amp;s_y=29.72337494&amp;s_z=0.0&amp;region=contiguous&amp;s_h_frame=NAD83_2011&amp;s_coor=geo&amp;s_v_frame=NAVD88&amp;s_v_unit=us_ft&amp;t_h_frame=NAD83_2011&amp;t_coor=geo&amp;t_v_frame=MLLW&amp;t_v_unit=us_ft", "Missing")</f>
        <v>0</v>
      </c>
      <c r="AZ337" s="2">
        <f>HYPERLINK("https://vdatum.noaa.gov/vdatumweb/api/convert?s_x=-81.48436352&amp;s_y=29.72337494&amp;s_z=0.0&amp;region=contiguous&amp;s_h_frame=NAD83_2011&amp;s_coor=geo&amp;s_v_frame=NAVD88&amp;s_v_unit=us_ft&amp;t_h_frame=NAD83_2011&amp;t_coor=geo&amp;t_v_frame=MHHW&amp;t_v_unit=us_ft", "Missing")</f>
        <v>0</v>
      </c>
    </row>
    <row r="338" spans="1:52">
      <c r="A338" s="1" t="s">
        <v>362</v>
      </c>
      <c r="B338" s="1" t="s">
        <v>627</v>
      </c>
      <c r="C338" s="1" t="s">
        <v>645</v>
      </c>
      <c r="D338" s="1" t="s">
        <v>654</v>
      </c>
      <c r="E338" s="1" t="s">
        <v>750</v>
      </c>
      <c r="F338" s="1" t="s">
        <v>847</v>
      </c>
      <c r="G338" s="1" t="s">
        <v>854</v>
      </c>
      <c r="H338" s="1" t="s">
        <v>1820</v>
      </c>
      <c r="I338" s="1" t="s">
        <v>1857</v>
      </c>
      <c r="J338" s="1" t="s">
        <v>1963</v>
      </c>
      <c r="K338" s="1" t="s">
        <v>2118</v>
      </c>
      <c r="L338" s="1">
        <v>-81.5499968</v>
      </c>
      <c r="M338" s="1">
        <v>29.79999436</v>
      </c>
      <c r="N338" s="1" t="s">
        <v>2221</v>
      </c>
      <c r="O338" s="1" t="s">
        <v>861</v>
      </c>
      <c r="P338" s="1" t="s">
        <v>867</v>
      </c>
      <c r="Q338" s="2">
        <f>HYPERLINK("https://waterdata.usgs.gov/nwis/nwismap/?site_no=02245290&amp;agency_cd=USGS", "Station Info")</f>
        <v>0</v>
      </c>
      <c r="R338" s="2">
        <f>HYPERLINK("https://waterservices.usgs.gov/nwis/site/?site=02245290&amp;format=rdb", "Datum Info")</f>
        <v>0</v>
      </c>
      <c r="T338" s="1">
        <v>4920238</v>
      </c>
      <c r="U338" s="1">
        <v>0</v>
      </c>
      <c r="V338" s="1" t="s">
        <v>869</v>
      </c>
      <c r="W338" s="1" t="s">
        <v>874</v>
      </c>
      <c r="AJ338" s="1">
        <v>0.626</v>
      </c>
      <c r="AK338" s="1">
        <v>-0.631</v>
      </c>
      <c r="AM338" s="1">
        <v>0</v>
      </c>
      <c r="AS338" s="1">
        <v>1</v>
      </c>
      <c r="AT338" s="1">
        <v>1.5</v>
      </c>
      <c r="AU338" s="1">
        <v>2</v>
      </c>
      <c r="AV338" s="1">
        <v>3</v>
      </c>
      <c r="AW338" s="1" t="s">
        <v>1744</v>
      </c>
      <c r="AX338" s="2">
        <f>HYPERLINK("https://water.weather.gov/ahps2/hydrograph.php?wfo=jax&amp;gage=srpf1", "AHPS Data")</f>
        <v>0</v>
      </c>
      <c r="AY338" s="2">
        <f>HYPERLINK("https://vdatum.noaa.gov/vdatumweb/api/convert?s_x=-81.5499968&amp;s_y=29.79999436&amp;s_z=0.0&amp;region=contiguous&amp;s_h_frame=NAD83_2011&amp;s_coor=geo&amp;s_v_frame=NAVD88&amp;s_v_unit=us_ft&amp;t_h_frame=NAD83_2011&amp;t_coor=geo&amp;t_v_frame=MLLW&amp;t_v_unit=us_ft", "NAVD88 to MLLW")</f>
        <v>0</v>
      </c>
      <c r="AZ338" s="2">
        <f>HYPERLINK("https://vdatum.noaa.gov/vdatumweb/api/convert?s_x=-81.5499968&amp;s_y=29.79999436&amp;s_z=0.0&amp;region=contiguous&amp;s_h_frame=NAD83_2011&amp;s_coor=geo&amp;s_v_frame=NAVD88&amp;s_v_unit=us_ft&amp;t_h_frame=NAD83_2011&amp;t_coor=geo&amp;t_v_frame=MHHW&amp;t_v_unit=us_ft", "NAVD88 to MHHW")</f>
        <v>0</v>
      </c>
    </row>
    <row r="339" spans="1:52">
      <c r="A339" s="1" t="s">
        <v>363</v>
      </c>
      <c r="B339" s="1" t="s">
        <v>627</v>
      </c>
      <c r="C339" s="1" t="s">
        <v>645</v>
      </c>
      <c r="D339" s="1" t="s">
        <v>654</v>
      </c>
      <c r="E339" s="1" t="s">
        <v>750</v>
      </c>
      <c r="F339" s="1" t="s">
        <v>847</v>
      </c>
      <c r="G339" s="1" t="s">
        <v>854</v>
      </c>
      <c r="H339" s="1" t="s">
        <v>1820</v>
      </c>
      <c r="I339" s="1" t="s">
        <v>1857</v>
      </c>
      <c r="J339" s="1" t="s">
        <v>1964</v>
      </c>
      <c r="K339" s="1" t="s">
        <v>2119</v>
      </c>
      <c r="L339" s="1">
        <v>-81.61513287</v>
      </c>
      <c r="M339" s="1">
        <v>30.00591651</v>
      </c>
      <c r="N339" s="1" t="s">
        <v>2222</v>
      </c>
      <c r="O339" s="1" t="s">
        <v>861</v>
      </c>
      <c r="P339" s="1" t="s">
        <v>867</v>
      </c>
      <c r="Q339" s="2">
        <f>HYPERLINK("https://waterdata.usgs.gov/nwis/nwismap/?site_no=02245340&amp;agency_cd=USGS", "Station Info")</f>
        <v>0</v>
      </c>
      <c r="R339" s="2">
        <f>HYPERLINK("https://waterservices.usgs.gov/nwis/site/?site=02245340&amp;format=rdb", "Datum Info")</f>
        <v>0</v>
      </c>
      <c r="T339" s="1">
        <v>3613677</v>
      </c>
      <c r="U339" s="1">
        <v>0</v>
      </c>
      <c r="V339" s="1" t="s">
        <v>869</v>
      </c>
      <c r="W339" s="1" t="s">
        <v>874</v>
      </c>
      <c r="AJ339" s="1">
        <v>0.512</v>
      </c>
      <c r="AK339" s="1">
        <v>-0.437</v>
      </c>
      <c r="AM339" s="1">
        <v>0</v>
      </c>
      <c r="AS339" s="1">
        <v>1</v>
      </c>
      <c r="AT339" s="1">
        <v>1.5</v>
      </c>
      <c r="AU339" s="1">
        <v>2</v>
      </c>
      <c r="AV339" s="1">
        <v>3</v>
      </c>
      <c r="AW339" s="1" t="s">
        <v>1744</v>
      </c>
      <c r="AX339" s="2">
        <f>HYPERLINK("https://water.weather.gov/ahps2/hydrograph.php?wfo=jax&amp;gage=gcef1", "AHPS Data")</f>
        <v>0</v>
      </c>
      <c r="AY339" s="2">
        <f>HYPERLINK("https://vdatum.noaa.gov/vdatumweb/api/convert?s_x=-81.61513287&amp;s_y=30.00591651&amp;s_z=0.0&amp;region=contiguous&amp;s_h_frame=NAD83_2011&amp;s_coor=geo&amp;s_v_frame=NAVD88&amp;s_v_unit=us_ft&amp;t_h_frame=NAD83_2011&amp;t_coor=geo&amp;t_v_frame=MLLW&amp;t_v_unit=us_ft", "NAVD88 to MLLW")</f>
        <v>0</v>
      </c>
      <c r="AZ339" s="2">
        <f>HYPERLINK("https://vdatum.noaa.gov/vdatumweb/api/convert?s_x=-81.61513287&amp;s_y=30.00591651&amp;s_z=0.0&amp;region=contiguous&amp;s_h_frame=NAD83_2011&amp;s_coor=geo&amp;s_v_frame=NAVD88&amp;s_v_unit=us_ft&amp;t_h_frame=NAD83_2011&amp;t_coor=geo&amp;t_v_frame=MHHW&amp;t_v_unit=us_ft", "NAVD88 to MHHW")</f>
        <v>0</v>
      </c>
    </row>
    <row r="340" spans="1:52">
      <c r="A340" s="1" t="s">
        <v>364</v>
      </c>
      <c r="B340" s="1" t="s">
        <v>627</v>
      </c>
      <c r="C340" s="1" t="s">
        <v>645</v>
      </c>
      <c r="D340" s="1" t="s">
        <v>654</v>
      </c>
      <c r="E340" s="1" t="s">
        <v>749</v>
      </c>
      <c r="F340" s="1" t="s">
        <v>847</v>
      </c>
      <c r="G340" s="1" t="s">
        <v>854</v>
      </c>
      <c r="H340" s="1" t="s">
        <v>1823</v>
      </c>
      <c r="I340" s="1" t="s">
        <v>1857</v>
      </c>
      <c r="J340" s="1" t="s">
        <v>1965</v>
      </c>
      <c r="K340" s="1" t="s">
        <v>2120</v>
      </c>
      <c r="L340" s="1">
        <v>-81.55589678</v>
      </c>
      <c r="M340" s="1">
        <v>30.14332484</v>
      </c>
      <c r="N340" s="1" t="s">
        <v>2223</v>
      </c>
      <c r="O340" s="1" t="s">
        <v>861</v>
      </c>
      <c r="P340" s="1" t="s">
        <v>867</v>
      </c>
      <c r="Q340" s="2">
        <f>HYPERLINK("https://waterdata.usgs.gov/nwis/nwismap/?site_no=02246160&amp;agency_cd=USGS", "Station Info")</f>
        <v>0</v>
      </c>
      <c r="R340" s="2">
        <f>HYPERLINK("https://waterservices.usgs.gov/nwis/site/?site=02246160&amp;format=rdb", "Datum Info")</f>
        <v>0</v>
      </c>
      <c r="T340" s="1">
        <v>7065437</v>
      </c>
      <c r="U340" s="1">
        <v>0</v>
      </c>
      <c r="V340" s="1" t="s">
        <v>869</v>
      </c>
      <c r="W340" s="1" t="s">
        <v>874</v>
      </c>
      <c r="AJ340" s="1">
        <v>-999999</v>
      </c>
      <c r="AK340" s="1">
        <v>-999999</v>
      </c>
      <c r="AL340" s="1" t="s">
        <v>887</v>
      </c>
      <c r="AM340" s="1">
        <v>0</v>
      </c>
      <c r="AN340" s="1" t="s">
        <v>1666</v>
      </c>
      <c r="AS340" s="1">
        <v>0.7</v>
      </c>
      <c r="AT340" s="1">
        <v>1.2</v>
      </c>
      <c r="AU340" s="1">
        <v>1.7</v>
      </c>
      <c r="AV340" s="1">
        <v>2.7</v>
      </c>
      <c r="AW340" s="1" t="s">
        <v>1744</v>
      </c>
      <c r="AX340" s="2">
        <f>HYPERLINK("https://water.weather.gov/ahps2/hydrograph.php?wfo=jax&amp;gage=julf1", "AHPS Data")</f>
        <v>0</v>
      </c>
      <c r="AY340" s="2">
        <f>HYPERLINK("https://vdatum.noaa.gov/vdatumweb/api/convert?s_x=-81.55589678&amp;s_y=30.14332484&amp;s_z=0.0&amp;region=contiguous&amp;s_h_frame=NAD83_2011&amp;s_coor=geo&amp;s_v_frame=NAVD88&amp;s_v_unit=us_ft&amp;t_h_frame=NAD83_2011&amp;t_coor=geo&amp;t_v_frame=MLLW&amp;t_v_unit=us_ft", "Missing")</f>
        <v>0</v>
      </c>
      <c r="AZ340" s="2">
        <f>HYPERLINK("https://vdatum.noaa.gov/vdatumweb/api/convert?s_x=-81.55589678&amp;s_y=30.14332484&amp;s_z=0.0&amp;region=contiguous&amp;s_h_frame=NAD83_2011&amp;s_coor=geo&amp;s_v_frame=NAVD88&amp;s_v_unit=us_ft&amp;t_h_frame=NAD83_2011&amp;t_coor=geo&amp;t_v_frame=MHHW&amp;t_v_unit=us_ft", "Missing")</f>
        <v>0</v>
      </c>
    </row>
    <row r="341" spans="1:52">
      <c r="A341" s="1" t="s">
        <v>365</v>
      </c>
      <c r="B341" s="1" t="s">
        <v>627</v>
      </c>
      <c r="C341" s="1" t="s">
        <v>645</v>
      </c>
      <c r="D341" s="1" t="s">
        <v>654</v>
      </c>
      <c r="E341" s="1" t="s">
        <v>749</v>
      </c>
      <c r="F341" s="1" t="s">
        <v>847</v>
      </c>
      <c r="G341" s="1" t="s">
        <v>854</v>
      </c>
      <c r="H341" s="1" t="s">
        <v>1824</v>
      </c>
      <c r="I341" s="1" t="s">
        <v>1857</v>
      </c>
      <c r="J341" s="1" t="s">
        <v>1966</v>
      </c>
      <c r="K341" s="1" t="s">
        <v>2121</v>
      </c>
      <c r="L341" s="1">
        <v>-81.54638568</v>
      </c>
      <c r="M341" s="1">
        <v>30.11916096</v>
      </c>
      <c r="N341" s="1" t="s">
        <v>2224</v>
      </c>
      <c r="O341" s="1" t="s">
        <v>861</v>
      </c>
      <c r="P341" s="1" t="s">
        <v>867</v>
      </c>
      <c r="Q341" s="2">
        <f>HYPERLINK("https://waterdata.usgs.gov/nwis/nwismap/?site_no=022462002&amp;agency_cd=USGS", "Station Info")</f>
        <v>0</v>
      </c>
      <c r="R341" s="2">
        <f>HYPERLINK("https://waterservices.usgs.gov/nwis/site/?site=022462002&amp;format=rdb", "Datum Info")</f>
        <v>0</v>
      </c>
      <c r="T341" s="1">
        <v>7065437</v>
      </c>
      <c r="U341" s="1">
        <v>0</v>
      </c>
      <c r="V341" s="1" t="s">
        <v>869</v>
      </c>
      <c r="W341" s="1" t="s">
        <v>874</v>
      </c>
      <c r="X341" s="1" t="s">
        <v>887</v>
      </c>
      <c r="AF341" s="1" t="s">
        <v>1026</v>
      </c>
      <c r="AJ341" s="1">
        <v>-999999</v>
      </c>
      <c r="AK341" s="1">
        <v>-999999</v>
      </c>
      <c r="AN341" s="1" t="s">
        <v>1427</v>
      </c>
      <c r="AQ341" s="1" t="s">
        <v>1734</v>
      </c>
      <c r="AS341" s="1">
        <v>2</v>
      </c>
      <c r="AT341" s="1">
        <v>3</v>
      </c>
      <c r="AU341" s="1">
        <v>4</v>
      </c>
      <c r="AV341" s="1">
        <v>5</v>
      </c>
      <c r="AW341" s="1" t="s">
        <v>1744</v>
      </c>
      <c r="AX341" s="2">
        <f>HYPERLINK("https://water.weather.gov/ahps2/hydrograph.php?wfo=jax&amp;gage=ducf1", "AHPS Data")</f>
        <v>0</v>
      </c>
      <c r="AY341" s="2">
        <f>HYPERLINK("https://vdatum.noaa.gov/vdatumweb/api/convert?s_x=-81.54638568&amp;s_y=30.11916096&amp;s_z=0.0&amp;region=contiguous&amp;s_h_frame=NAD83_2011&amp;s_coor=geo&amp;s_v_frame=NAVD88&amp;s_v_unit=us_ft&amp;t_h_frame=NAD83_2011&amp;t_coor=geo&amp;t_v_frame=MLLW&amp;t_v_unit=us_ft", "Missing")</f>
        <v>0</v>
      </c>
      <c r="AZ341" s="2">
        <f>HYPERLINK("https://vdatum.noaa.gov/vdatumweb/api/convert?s_x=-81.54638568&amp;s_y=30.11916096&amp;s_z=0.0&amp;region=contiguous&amp;s_h_frame=NAD83_2011&amp;s_coor=geo&amp;s_v_frame=NAVD88&amp;s_v_unit=us_ft&amp;t_h_frame=NAD83_2011&amp;t_coor=geo&amp;t_v_frame=MHHW&amp;t_v_unit=us_ft", "Missing")</f>
        <v>0</v>
      </c>
    </row>
    <row r="342" spans="1:52">
      <c r="A342" s="1" t="s">
        <v>366</v>
      </c>
      <c r="B342" s="1" t="s">
        <v>627</v>
      </c>
      <c r="C342" s="1" t="s">
        <v>645</v>
      </c>
      <c r="D342" s="1" t="s">
        <v>654</v>
      </c>
      <c r="E342" s="1" t="s">
        <v>749</v>
      </c>
      <c r="F342" s="1" t="s">
        <v>847</v>
      </c>
      <c r="G342" s="1" t="s">
        <v>854</v>
      </c>
      <c r="H342" s="1" t="s">
        <v>1825</v>
      </c>
      <c r="I342" s="1" t="s">
        <v>1857</v>
      </c>
      <c r="J342" s="1" t="s">
        <v>1967</v>
      </c>
      <c r="K342" s="1" t="s">
        <v>2122</v>
      </c>
      <c r="L342" s="1">
        <v>-81.74037282</v>
      </c>
      <c r="M342" s="1">
        <v>30.282178</v>
      </c>
      <c r="N342" s="1" t="s">
        <v>2225</v>
      </c>
      <c r="O342" s="1" t="s">
        <v>861</v>
      </c>
      <c r="P342" s="1" t="s">
        <v>867</v>
      </c>
      <c r="Q342" s="2">
        <f>HYPERLINK("https://waterdata.usgs.gov/nwis/nwismap/?site_no=02246459&amp;agency_cd=USGS", "Station Info")</f>
        <v>0</v>
      </c>
      <c r="R342" s="2">
        <f>HYPERLINK("https://waterservices.usgs.gov/nwis/site/?site=02246459&amp;format=rdb", "Datum Info")</f>
        <v>0</v>
      </c>
      <c r="T342" s="1">
        <v>6729611</v>
      </c>
      <c r="U342" s="1">
        <v>-3.49</v>
      </c>
      <c r="V342" s="1" t="s">
        <v>869</v>
      </c>
      <c r="W342" s="1" t="s">
        <v>874</v>
      </c>
      <c r="AJ342" s="1">
        <v>-999999</v>
      </c>
      <c r="AK342" s="1">
        <v>-999999</v>
      </c>
      <c r="AM342" s="1">
        <v>0</v>
      </c>
      <c r="AN342" s="1" t="s">
        <v>1667</v>
      </c>
      <c r="AS342" s="1">
        <v>1</v>
      </c>
      <c r="AT342" s="1">
        <v>1.5</v>
      </c>
      <c r="AU342" s="1">
        <v>2</v>
      </c>
      <c r="AV342" s="1">
        <v>3</v>
      </c>
      <c r="AW342" s="1" t="s">
        <v>1744</v>
      </c>
      <c r="AX342" s="2">
        <f>HYPERLINK("https://water.weather.gov/ahps2/hydrograph.php?wfo=jax&amp;gage=jakf1", "AHPS Data")</f>
        <v>0</v>
      </c>
      <c r="AY342" s="2">
        <f>HYPERLINK("https://vdatum.noaa.gov/vdatumweb/api/convert?s_x=-81.74037282&amp;s_y=30.282178&amp;s_z=0.0&amp;region=contiguous&amp;s_h_frame=NAD83_2011&amp;s_coor=geo&amp;s_v_frame=NAVD88&amp;s_v_unit=us_ft&amp;t_h_frame=NAD83_2011&amp;t_coor=geo&amp;t_v_frame=MLLW&amp;t_v_unit=us_ft", "Missing")</f>
        <v>0</v>
      </c>
      <c r="AZ342" s="2">
        <f>HYPERLINK("https://vdatum.noaa.gov/vdatumweb/api/convert?s_x=-81.74037282&amp;s_y=30.282178&amp;s_z=0.0&amp;region=contiguous&amp;s_h_frame=NAD83_2011&amp;s_coor=geo&amp;s_v_frame=NAVD88&amp;s_v_unit=us_ft&amp;t_h_frame=NAD83_2011&amp;t_coor=geo&amp;t_v_frame=MHHW&amp;t_v_unit=us_ft", "Missing")</f>
        <v>0</v>
      </c>
    </row>
    <row r="343" spans="1:52">
      <c r="A343" s="1" t="s">
        <v>367</v>
      </c>
      <c r="B343" s="1" t="s">
        <v>627</v>
      </c>
      <c r="C343" s="1" t="s">
        <v>645</v>
      </c>
      <c r="D343" s="1" t="s">
        <v>654</v>
      </c>
      <c r="E343" s="1" t="s">
        <v>749</v>
      </c>
      <c r="F343" s="1" t="s">
        <v>847</v>
      </c>
      <c r="G343" s="1" t="s">
        <v>854</v>
      </c>
      <c r="H343" s="1" t="s">
        <v>1820</v>
      </c>
      <c r="I343" s="1" t="s">
        <v>1857</v>
      </c>
      <c r="J343" s="1" t="s">
        <v>1968</v>
      </c>
      <c r="K343" s="1" t="s">
        <v>2123</v>
      </c>
      <c r="L343" s="1">
        <v>-81.66537024</v>
      </c>
      <c r="M343" s="1">
        <v>30.32245584</v>
      </c>
      <c r="N343" s="1" t="s">
        <v>2226</v>
      </c>
      <c r="O343" s="1" t="s">
        <v>861</v>
      </c>
      <c r="P343" s="1" t="s">
        <v>867</v>
      </c>
      <c r="Q343" s="2">
        <f>HYPERLINK("https://waterdata.usgs.gov/nwis/nwismap/?site_no=02246500&amp;agency_cd=USGS", "Station Info")</f>
        <v>0</v>
      </c>
      <c r="R343" s="2">
        <f>HYPERLINK("https://waterservices.usgs.gov/nwis/site/?site=02246500&amp;format=rdb", "Datum Info")</f>
        <v>0</v>
      </c>
      <c r="T343" s="1">
        <v>6462007</v>
      </c>
      <c r="U343" s="1">
        <v>-3.38</v>
      </c>
      <c r="V343" s="1" t="s">
        <v>869</v>
      </c>
      <c r="W343" s="1" t="s">
        <v>874</v>
      </c>
      <c r="AJ343" s="1">
        <v>1.171</v>
      </c>
      <c r="AK343" s="1">
        <v>-0.647</v>
      </c>
      <c r="AM343" s="1">
        <v>0</v>
      </c>
      <c r="AN343" s="1" t="s">
        <v>1668</v>
      </c>
      <c r="AS343" s="1">
        <v>1</v>
      </c>
      <c r="AT343" s="1">
        <v>1.5</v>
      </c>
      <c r="AU343" s="1">
        <v>2</v>
      </c>
      <c r="AV343" s="1">
        <v>3</v>
      </c>
      <c r="AW343" s="1" t="s">
        <v>1744</v>
      </c>
      <c r="AX343" s="2">
        <f>HYPERLINK("https://water.weather.gov/ahps2/hydrograph.php?wfo=jax&amp;gage=sjlf1", "AHPS Data")</f>
        <v>0</v>
      </c>
      <c r="AY343" s="2">
        <f>HYPERLINK("https://vdatum.noaa.gov/vdatumweb/api/convert?s_x=-81.66537024&amp;s_y=30.32245584&amp;s_z=0.0&amp;region=contiguous&amp;s_h_frame=NAD83_2011&amp;s_coor=geo&amp;s_v_frame=NAVD88&amp;s_v_unit=us_ft&amp;t_h_frame=NAD83_2011&amp;t_coor=geo&amp;t_v_frame=MLLW&amp;t_v_unit=us_ft", "NAVD88 to MLLW")</f>
        <v>0</v>
      </c>
      <c r="AZ343" s="2">
        <f>HYPERLINK("https://vdatum.noaa.gov/vdatumweb/api/convert?s_x=-81.66537024&amp;s_y=30.32245584&amp;s_z=0.0&amp;region=contiguous&amp;s_h_frame=NAD83_2011&amp;s_coor=geo&amp;s_v_frame=NAVD88&amp;s_v_unit=us_ft&amp;t_h_frame=NAD83_2011&amp;t_coor=geo&amp;t_v_frame=MHHW&amp;t_v_unit=us_ft", "NAVD88 to MHHW")</f>
        <v>0</v>
      </c>
    </row>
    <row r="344" spans="1:52">
      <c r="A344" s="1" t="s">
        <v>368</v>
      </c>
      <c r="B344" s="1" t="s">
        <v>627</v>
      </c>
      <c r="C344" s="1" t="s">
        <v>645</v>
      </c>
      <c r="D344" s="1" t="s">
        <v>654</v>
      </c>
      <c r="E344" s="1" t="s">
        <v>749</v>
      </c>
      <c r="F344" s="1" t="s">
        <v>847</v>
      </c>
      <c r="G344" s="1" t="s">
        <v>854</v>
      </c>
      <c r="H344" s="1" t="s">
        <v>1826</v>
      </c>
      <c r="I344" s="1" t="s">
        <v>1857</v>
      </c>
      <c r="J344" s="1" t="s">
        <v>1969</v>
      </c>
      <c r="K344" s="1" t="s">
        <v>2124</v>
      </c>
      <c r="L344" s="1">
        <v>-81.56999677</v>
      </c>
      <c r="M344" s="1">
        <v>30.28696369</v>
      </c>
      <c r="N344" s="1" t="s">
        <v>2227</v>
      </c>
      <c r="O344" s="1" t="s">
        <v>861</v>
      </c>
      <c r="P344" s="1" t="s">
        <v>867</v>
      </c>
      <c r="Q344" s="2">
        <f>HYPERLINK("https://waterdata.usgs.gov/nwis/nwismap/?site_no=02246518&amp;agency_cd=USGS", "Station Info")</f>
        <v>0</v>
      </c>
      <c r="R344" s="2">
        <f>HYPERLINK("https://waterservices.usgs.gov/nwis/site/?site=02246518&amp;format=rdb", "Datum Info")</f>
        <v>0</v>
      </c>
      <c r="T344" s="1">
        <v>8138262</v>
      </c>
      <c r="U344" s="1">
        <v>0</v>
      </c>
      <c r="V344" s="1" t="s">
        <v>869</v>
      </c>
      <c r="W344" s="1" t="s">
        <v>874</v>
      </c>
      <c r="AJ344" s="1">
        <v>-999999</v>
      </c>
      <c r="AK344" s="1">
        <v>-999999</v>
      </c>
      <c r="AL344" s="1" t="s">
        <v>887</v>
      </c>
      <c r="AM344" s="1">
        <v>0</v>
      </c>
      <c r="AN344" s="1" t="s">
        <v>1669</v>
      </c>
      <c r="AS344" s="1">
        <v>1</v>
      </c>
      <c r="AT344" s="1">
        <v>1.5</v>
      </c>
      <c r="AU344" s="1">
        <v>2.2</v>
      </c>
      <c r="AV344" s="1">
        <v>3.5</v>
      </c>
      <c r="AW344" s="1" t="s">
        <v>1744</v>
      </c>
      <c r="AX344" s="2">
        <f>HYPERLINK("https://water.weather.gov/ahps2/hydrograph.php?wfo=jax&amp;gage=pcuf1", "AHPS Data")</f>
        <v>0</v>
      </c>
      <c r="AY344" s="2">
        <f>HYPERLINK("https://vdatum.noaa.gov/vdatumweb/api/convert?s_x=-81.56999677&amp;s_y=30.28696369&amp;s_z=0.0&amp;region=contiguous&amp;s_h_frame=NAD83_2011&amp;s_coor=geo&amp;s_v_frame=NAVD88&amp;s_v_unit=us_ft&amp;t_h_frame=NAD83_2011&amp;t_coor=geo&amp;t_v_frame=MLLW&amp;t_v_unit=us_ft", "Missing")</f>
        <v>0</v>
      </c>
      <c r="AZ344" s="2">
        <f>HYPERLINK("https://vdatum.noaa.gov/vdatumweb/api/convert?s_x=-81.56999677&amp;s_y=30.28696369&amp;s_z=0.0&amp;region=contiguous&amp;s_h_frame=NAD83_2011&amp;s_coor=geo&amp;s_v_frame=NAVD88&amp;s_v_unit=us_ft&amp;t_h_frame=NAD83_2011&amp;t_coor=geo&amp;t_v_frame=MHHW&amp;t_v_unit=us_ft", "Missing")</f>
        <v>0</v>
      </c>
    </row>
    <row r="345" spans="1:52">
      <c r="A345" s="1" t="s">
        <v>369</v>
      </c>
      <c r="B345" s="1" t="s">
        <v>627</v>
      </c>
      <c r="C345" s="1" t="s">
        <v>645</v>
      </c>
      <c r="D345" s="1" t="s">
        <v>654</v>
      </c>
      <c r="E345" s="1" t="s">
        <v>749</v>
      </c>
      <c r="F345" s="1" t="s">
        <v>847</v>
      </c>
      <c r="G345" s="1" t="s">
        <v>854</v>
      </c>
      <c r="H345" s="1" t="s">
        <v>1827</v>
      </c>
      <c r="I345" s="1" t="s">
        <v>1857</v>
      </c>
      <c r="J345" s="1" t="s">
        <v>1970</v>
      </c>
      <c r="K345" s="1" t="s">
        <v>2125</v>
      </c>
      <c r="L345" s="1">
        <v>-81.69648431</v>
      </c>
      <c r="M345" s="1">
        <v>30.4174548</v>
      </c>
      <c r="N345" s="1" t="s">
        <v>2228</v>
      </c>
      <c r="O345" s="1" t="s">
        <v>861</v>
      </c>
      <c r="P345" s="1" t="s">
        <v>867</v>
      </c>
      <c r="Q345" s="2">
        <f>HYPERLINK("https://waterdata.usgs.gov/nwis/nwismap/?site_no=02246621&amp;agency_cd=USGS", "Station Info")</f>
        <v>0</v>
      </c>
      <c r="R345" s="2">
        <f>HYPERLINK("https://waterservices.usgs.gov/nwis/site/?site=02246621&amp;format=rdb", "Datum Info")</f>
        <v>0</v>
      </c>
      <c r="T345" s="1">
        <v>7146971</v>
      </c>
      <c r="U345" s="1">
        <v>0</v>
      </c>
      <c r="V345" s="1" t="s">
        <v>869</v>
      </c>
      <c r="W345" s="1" t="s">
        <v>874</v>
      </c>
      <c r="AJ345" s="1">
        <v>1.601</v>
      </c>
      <c r="AK345" s="1">
        <v>-1.185</v>
      </c>
      <c r="AN345" s="1" t="s">
        <v>1670</v>
      </c>
      <c r="AS345" s="1">
        <v>1.3</v>
      </c>
      <c r="AT345" s="1">
        <v>1.8</v>
      </c>
      <c r="AU345" s="1">
        <v>2.3</v>
      </c>
      <c r="AV345" s="1">
        <v>3.3</v>
      </c>
      <c r="AW345" s="1" t="s">
        <v>1744</v>
      </c>
      <c r="AX345" s="2">
        <f>HYPERLINK("https://water.weather.gov/ahps2/hydrograph.php?wfo=jax&amp;gage=trjf1", "AHPS Data")</f>
        <v>0</v>
      </c>
      <c r="AY345" s="2">
        <f>HYPERLINK("https://vdatum.noaa.gov/vdatumweb/api/convert?s_x=-81.69648431&amp;s_y=30.4174548&amp;s_z=0.0&amp;region=contiguous&amp;s_h_frame=NAD83_2011&amp;s_coor=geo&amp;s_v_frame=NAVD88&amp;s_v_unit=us_ft&amp;t_h_frame=NAD83_2011&amp;t_coor=geo&amp;t_v_frame=MLLW&amp;t_v_unit=us_ft", "NAVD88 to MLLW")</f>
        <v>0</v>
      </c>
      <c r="AZ345" s="2">
        <f>HYPERLINK("https://vdatum.noaa.gov/vdatumweb/api/convert?s_x=-81.69648431&amp;s_y=30.4174548&amp;s_z=0.0&amp;region=contiguous&amp;s_h_frame=NAD83_2011&amp;s_coor=geo&amp;s_v_frame=NAVD88&amp;s_v_unit=us_ft&amp;t_h_frame=NAD83_2011&amp;t_coor=geo&amp;t_v_frame=MHHW&amp;t_v_unit=us_ft", "NAVD88 to MHHW")</f>
        <v>0</v>
      </c>
    </row>
    <row r="346" spans="1:52">
      <c r="A346" s="1" t="s">
        <v>370</v>
      </c>
      <c r="B346" s="1" t="s">
        <v>627</v>
      </c>
      <c r="C346" s="1" t="s">
        <v>645</v>
      </c>
      <c r="D346" s="1" t="s">
        <v>654</v>
      </c>
      <c r="E346" s="1" t="s">
        <v>749</v>
      </c>
      <c r="F346" s="1" t="s">
        <v>847</v>
      </c>
      <c r="G346" s="1" t="s">
        <v>854</v>
      </c>
      <c r="H346" s="1" t="s">
        <v>1828</v>
      </c>
      <c r="I346" s="1" t="s">
        <v>1857</v>
      </c>
      <c r="J346" s="1" t="s">
        <v>1971</v>
      </c>
      <c r="K346" s="1" t="s">
        <v>2126</v>
      </c>
      <c r="L346" s="1">
        <v>-81.59688565</v>
      </c>
      <c r="M346" s="1">
        <v>30.45493588</v>
      </c>
      <c r="N346" s="1" t="s">
        <v>2229</v>
      </c>
      <c r="O346" s="1" t="s">
        <v>861</v>
      </c>
      <c r="P346" s="1" t="s">
        <v>867</v>
      </c>
      <c r="Q346" s="2">
        <f>HYPERLINK("https://waterdata.usgs.gov/nwis/nwismap/?site_no=02246804&amp;agency_cd=USGS", "Station Info")</f>
        <v>0</v>
      </c>
      <c r="R346" s="2">
        <f>HYPERLINK("https://waterservices.usgs.gov/nwis/site/?site=02246804&amp;format=rdb", "Datum Info")</f>
        <v>0</v>
      </c>
      <c r="T346" s="1">
        <v>9344547</v>
      </c>
      <c r="U346" s="1">
        <v>0</v>
      </c>
      <c r="V346" s="1" t="s">
        <v>869</v>
      </c>
      <c r="W346" s="1" t="s">
        <v>874</v>
      </c>
      <c r="AJ346" s="1">
        <v>-999999</v>
      </c>
      <c r="AK346" s="1">
        <v>-999999</v>
      </c>
      <c r="AN346" s="1" t="s">
        <v>1671</v>
      </c>
      <c r="AS346" s="1">
        <v>1</v>
      </c>
      <c r="AT346" s="1">
        <v>1.5</v>
      </c>
      <c r="AU346" s="1">
        <v>2</v>
      </c>
      <c r="AV346" s="1">
        <v>3</v>
      </c>
      <c r="AW346" s="1" t="s">
        <v>1744</v>
      </c>
      <c r="AX346" s="2">
        <f>HYPERLINK("https://water.weather.gov/ahps2/hydrograph.php?wfo=jax&amp;gage=dcdf1", "AHPS Data")</f>
        <v>0</v>
      </c>
      <c r="AY346" s="2">
        <f>HYPERLINK("https://vdatum.noaa.gov/vdatumweb/api/convert?s_x=-81.59688565&amp;s_y=30.45493588&amp;s_z=0.0&amp;region=contiguous&amp;s_h_frame=NAD83_2011&amp;s_coor=geo&amp;s_v_frame=NAVD88&amp;s_v_unit=us_ft&amp;t_h_frame=NAD83_2011&amp;t_coor=geo&amp;t_v_frame=MLLW&amp;t_v_unit=us_ft", "Missing")</f>
        <v>0</v>
      </c>
      <c r="AZ346" s="2">
        <f>HYPERLINK("https://vdatum.noaa.gov/vdatumweb/api/convert?s_x=-81.59688565&amp;s_y=30.45493588&amp;s_z=0.0&amp;region=contiguous&amp;s_h_frame=NAD83_2011&amp;s_coor=geo&amp;s_v_frame=NAVD88&amp;s_v_unit=us_ft&amp;t_h_frame=NAD83_2011&amp;t_coor=geo&amp;t_v_frame=MHHW&amp;t_v_unit=us_ft", "Missing")</f>
        <v>0</v>
      </c>
    </row>
    <row r="347" spans="1:52">
      <c r="A347" s="1" t="s">
        <v>371</v>
      </c>
      <c r="B347" s="1" t="s">
        <v>627</v>
      </c>
      <c r="C347" s="1" t="s">
        <v>645</v>
      </c>
      <c r="D347" s="1" t="s">
        <v>654</v>
      </c>
      <c r="E347" s="1" t="s">
        <v>749</v>
      </c>
      <c r="F347" s="1" t="s">
        <v>847</v>
      </c>
      <c r="G347" s="1" t="s">
        <v>854</v>
      </c>
      <c r="H347" s="1" t="s">
        <v>1829</v>
      </c>
      <c r="I347" s="1" t="s">
        <v>1857</v>
      </c>
      <c r="J347" s="1" t="s">
        <v>1972</v>
      </c>
      <c r="K347" s="1" t="s">
        <v>2127</v>
      </c>
      <c r="L347" s="1">
        <v>-81.51825787999999</v>
      </c>
      <c r="M347" s="1">
        <v>30.44837477</v>
      </c>
      <c r="N347" s="1" t="s">
        <v>2230</v>
      </c>
      <c r="O347" s="1" t="s">
        <v>861</v>
      </c>
      <c r="P347" s="1" t="s">
        <v>867</v>
      </c>
      <c r="Q347" s="2">
        <f>HYPERLINK("https://waterdata.usgs.gov/nwis/nwismap/?site_no=02246825&amp;agency_cd=USGS", "Station Info")</f>
        <v>0</v>
      </c>
      <c r="R347" s="2">
        <f>HYPERLINK("https://waterservices.usgs.gov/nwis/site/?site=02246825&amp;format=rdb", "Datum Info")</f>
        <v>0</v>
      </c>
      <c r="T347" s="1">
        <v>9148913</v>
      </c>
      <c r="U347" s="1">
        <v>0</v>
      </c>
      <c r="V347" s="1" t="s">
        <v>869</v>
      </c>
      <c r="W347" s="1" t="s">
        <v>874</v>
      </c>
      <c r="AJ347" s="1">
        <v>-999999</v>
      </c>
      <c r="AK347" s="1">
        <v>-999999</v>
      </c>
      <c r="AL347" s="1" t="s">
        <v>887</v>
      </c>
      <c r="AM347" s="1">
        <v>0</v>
      </c>
      <c r="AN347" s="1" t="s">
        <v>1672</v>
      </c>
      <c r="AS347" s="1">
        <v>1</v>
      </c>
      <c r="AT347" s="1">
        <v>1.5</v>
      </c>
      <c r="AU347" s="1">
        <v>2.1</v>
      </c>
      <c r="AV347" s="1">
        <v>3</v>
      </c>
      <c r="AW347" s="1" t="s">
        <v>1744</v>
      </c>
      <c r="AX347" s="2">
        <f>HYPERLINK("https://water.weather.gov/ahps2/hydrograph.php?wfo=jax&amp;gage=ccjf1", "AHPS Data")</f>
        <v>0</v>
      </c>
      <c r="AY347" s="2">
        <f>HYPERLINK("https://vdatum.noaa.gov/vdatumweb/api/convert?s_x=-81.51825788&amp;s_y=30.44837477&amp;s_z=0.0&amp;region=contiguous&amp;s_h_frame=NAD83_2011&amp;s_coor=geo&amp;s_v_frame=NAVD88&amp;s_v_unit=us_ft&amp;t_h_frame=NAD83_2011&amp;t_coor=geo&amp;t_v_frame=MLLW&amp;t_v_unit=us_ft", "Missing")</f>
        <v>0</v>
      </c>
      <c r="AZ347" s="2">
        <f>HYPERLINK("https://vdatum.noaa.gov/vdatumweb/api/convert?s_x=-81.51825788&amp;s_y=30.44837477&amp;s_z=0.0&amp;region=contiguous&amp;s_h_frame=NAD83_2011&amp;s_coor=geo&amp;s_v_frame=NAVD88&amp;s_v_unit=us_ft&amp;t_h_frame=NAD83_2011&amp;t_coor=geo&amp;t_v_frame=MHHW&amp;t_v_unit=us_ft", "Missing")</f>
        <v>0</v>
      </c>
    </row>
    <row r="348" spans="1:52">
      <c r="A348" s="1" t="s">
        <v>372</v>
      </c>
      <c r="B348" s="1" t="s">
        <v>627</v>
      </c>
      <c r="C348" s="1" t="s">
        <v>645</v>
      </c>
      <c r="D348" s="1" t="s">
        <v>654</v>
      </c>
      <c r="E348" s="1" t="s">
        <v>750</v>
      </c>
      <c r="F348" s="1" t="s">
        <v>847</v>
      </c>
      <c r="G348" s="1" t="s">
        <v>854</v>
      </c>
      <c r="H348" s="1" t="s">
        <v>1830</v>
      </c>
      <c r="I348" s="1" t="s">
        <v>1857</v>
      </c>
      <c r="J348" s="1" t="s">
        <v>1973</v>
      </c>
      <c r="K348" s="1" t="s">
        <v>2128</v>
      </c>
      <c r="L348" s="1">
        <v>-81.25950769000001</v>
      </c>
      <c r="M348" s="1">
        <v>29.66941114</v>
      </c>
      <c r="N348" s="1" t="s">
        <v>2231</v>
      </c>
      <c r="O348" s="1" t="s">
        <v>861</v>
      </c>
      <c r="P348" s="1" t="s">
        <v>867</v>
      </c>
      <c r="Q348" s="2">
        <f>HYPERLINK("https://waterdata.usgs.gov/nwis/nwismap/?site_no=02247222&amp;agency_cd=USGS", "Station Info")</f>
        <v>0</v>
      </c>
      <c r="R348" s="2">
        <f>HYPERLINK("https://waterservices.usgs.gov/nwis/site/?site=02247222&amp;format=rdb", "Datum Info")</f>
        <v>0</v>
      </c>
      <c r="T348" s="1">
        <v>6549429</v>
      </c>
      <c r="U348" s="1">
        <v>-4.42</v>
      </c>
      <c r="V348" s="1" t="s">
        <v>869</v>
      </c>
      <c r="W348" s="1" t="s">
        <v>874</v>
      </c>
      <c r="AJ348" s="1">
        <v>-999999</v>
      </c>
      <c r="AK348" s="1">
        <v>-999999</v>
      </c>
      <c r="AS348" s="1">
        <v>0.1</v>
      </c>
      <c r="AT348" s="1">
        <v>0.6</v>
      </c>
      <c r="AU348" s="1">
        <v>1.8</v>
      </c>
      <c r="AV348" s="1">
        <v>3.3</v>
      </c>
      <c r="AW348" s="1" t="s">
        <v>1744</v>
      </c>
      <c r="AX348" s="2">
        <f>HYPERLINK("https://water.weather.gov/ahps2/hydrograph.php?wfo=jax&amp;gage=pelf1", "AHPS Data")</f>
        <v>0</v>
      </c>
      <c r="AY348" s="2">
        <f>HYPERLINK("https://vdatum.noaa.gov/vdatumweb/api/convert?s_x=-81.25950769&amp;s_y=29.66941114&amp;s_z=0.0&amp;region=contiguous&amp;s_h_frame=NAD83_2011&amp;s_coor=geo&amp;s_v_frame=NAVD88&amp;s_v_unit=us_ft&amp;t_h_frame=NAD83_2011&amp;t_coor=geo&amp;t_v_frame=MLLW&amp;t_v_unit=us_ft", "Missing")</f>
        <v>0</v>
      </c>
      <c r="AZ348" s="2">
        <f>HYPERLINK("https://vdatum.noaa.gov/vdatumweb/api/convert?s_x=-81.25950769&amp;s_y=29.66941114&amp;s_z=0.0&amp;region=contiguous&amp;s_h_frame=NAD83_2011&amp;s_coor=geo&amp;s_v_frame=NAVD88&amp;s_v_unit=us_ft&amp;t_h_frame=NAD83_2011&amp;t_coor=geo&amp;t_v_frame=MHHW&amp;t_v_unit=us_ft", "Missing")</f>
        <v>0</v>
      </c>
    </row>
    <row r="349" spans="1:52">
      <c r="A349" s="1" t="s">
        <v>373</v>
      </c>
      <c r="B349" s="1" t="s">
        <v>627</v>
      </c>
      <c r="C349" s="1" t="s">
        <v>645</v>
      </c>
      <c r="D349" s="1" t="s">
        <v>654</v>
      </c>
      <c r="E349" s="1" t="s">
        <v>749</v>
      </c>
      <c r="F349" s="1" t="s">
        <v>847</v>
      </c>
      <c r="G349" s="1" t="s">
        <v>854</v>
      </c>
      <c r="L349" s="1">
        <v>-81.66620155</v>
      </c>
      <c r="M349" s="1">
        <v>30.19023477</v>
      </c>
      <c r="N349" s="1" t="s">
        <v>2232</v>
      </c>
      <c r="O349" s="1" t="s">
        <v>861</v>
      </c>
      <c r="P349" s="1" t="s">
        <v>867</v>
      </c>
      <c r="Q349" s="2">
        <f>HYPERLINK("https://waterdata.usgs.gov/nwis/nwismap/?site_no=301124081395901&amp;agency_cd=USGS", "Station Info")</f>
        <v>0</v>
      </c>
      <c r="R349" s="2">
        <f>HYPERLINK("https://waterservices.usgs.gov/nwis/site/?site=301124081395901&amp;format=rdb", "Datum Info")</f>
        <v>0</v>
      </c>
      <c r="T349" s="1">
        <v>6983375</v>
      </c>
      <c r="U349" s="1">
        <v>0</v>
      </c>
      <c r="V349" s="1" t="s">
        <v>869</v>
      </c>
      <c r="W349" s="1" t="s">
        <v>874</v>
      </c>
      <c r="AJ349" s="1">
        <v>0.498</v>
      </c>
      <c r="AK349" s="1">
        <v>-0.484</v>
      </c>
      <c r="AY349" s="2">
        <f>HYPERLINK("https://vdatum.noaa.gov/vdatumweb/api/convert?s_x=-81.66620155&amp;s_y=30.19023477&amp;s_z=0.0&amp;region=contiguous&amp;s_h_frame=NAD83_2011&amp;s_coor=geo&amp;s_v_frame=NAVD88&amp;s_v_unit=us_ft&amp;t_h_frame=NAD83_2011&amp;t_coor=geo&amp;t_v_frame=MLLW&amp;t_v_unit=us_ft", "NAVD88 to MLLW")</f>
        <v>0</v>
      </c>
      <c r="AZ349" s="2">
        <f>HYPERLINK("https://vdatum.noaa.gov/vdatumweb/api/convert?s_x=-81.66620155&amp;s_y=30.19023477&amp;s_z=0.0&amp;region=contiguous&amp;s_h_frame=NAD83_2011&amp;s_coor=geo&amp;s_v_frame=NAVD88&amp;s_v_unit=us_ft&amp;t_h_frame=NAD83_2011&amp;t_coor=geo&amp;t_v_frame=MHHW&amp;t_v_unit=us_ft", "NAVD88 to MHHW")</f>
        <v>0</v>
      </c>
    </row>
    <row r="350" spans="1:52">
      <c r="A350" s="1" t="s">
        <v>374</v>
      </c>
      <c r="B350" s="1" t="s">
        <v>627</v>
      </c>
      <c r="C350" s="1" t="s">
        <v>645</v>
      </c>
      <c r="D350" s="1" t="s">
        <v>654</v>
      </c>
      <c r="E350" s="1" t="s">
        <v>749</v>
      </c>
      <c r="F350" s="1" t="s">
        <v>847</v>
      </c>
      <c r="G350" s="1" t="s">
        <v>854</v>
      </c>
      <c r="H350" s="1" t="s">
        <v>1820</v>
      </c>
      <c r="I350" s="1" t="s">
        <v>1857</v>
      </c>
      <c r="J350" s="1" t="s">
        <v>1974</v>
      </c>
      <c r="K350" s="1" t="s">
        <v>2129</v>
      </c>
      <c r="L350" s="1">
        <v>-81.55814426000001</v>
      </c>
      <c r="M350" s="1">
        <v>30.38606692</v>
      </c>
      <c r="N350" s="1" t="s">
        <v>2233</v>
      </c>
      <c r="O350" s="1" t="s">
        <v>861</v>
      </c>
      <c r="P350" s="1" t="s">
        <v>867</v>
      </c>
      <c r="Q350" s="2">
        <f>HYPERLINK("https://waterdata.usgs.gov/nwis/nwismap/?site_no=302309081333001&amp;agency_cd=USGS", "Station Info")</f>
        <v>0</v>
      </c>
      <c r="R350" s="2">
        <f>HYPERLINK("https://waterservices.usgs.gov/nwis/site/?site=302309081333001&amp;format=rdb", "Datum Info")</f>
        <v>0</v>
      </c>
      <c r="T350" s="1">
        <v>9566857</v>
      </c>
      <c r="U350" s="1">
        <v>0</v>
      </c>
      <c r="V350" s="1" t="s">
        <v>869</v>
      </c>
      <c r="W350" s="1" t="s">
        <v>874</v>
      </c>
      <c r="AJ350" s="1">
        <v>2.276</v>
      </c>
      <c r="AK350" s="1">
        <v>-1.394</v>
      </c>
      <c r="AM350" s="1">
        <v>0</v>
      </c>
      <c r="AS350" s="1">
        <v>1.1</v>
      </c>
      <c r="AT350" s="1">
        <v>1.6</v>
      </c>
      <c r="AU350" s="1">
        <v>2.1</v>
      </c>
      <c r="AV350" s="1">
        <v>3.1</v>
      </c>
      <c r="AW350" s="1" t="s">
        <v>1744</v>
      </c>
      <c r="AX350" s="2">
        <f>HYPERLINK("https://water.weather.gov/ahps2/hydrograph.php?wfo=jax&amp;gage=dpbf1", "AHPS Data")</f>
        <v>0</v>
      </c>
      <c r="AY350" s="2">
        <f>HYPERLINK("https://vdatum.noaa.gov/vdatumweb/api/convert?s_x=-81.55814426&amp;s_y=30.38606692&amp;s_z=0.0&amp;region=contiguous&amp;s_h_frame=NAD83_2011&amp;s_coor=geo&amp;s_v_frame=NAVD88&amp;s_v_unit=us_ft&amp;t_h_frame=NAD83_2011&amp;t_coor=geo&amp;t_v_frame=MLLW&amp;t_v_unit=us_ft", "NAVD88 to MLLW")</f>
        <v>0</v>
      </c>
      <c r="AZ350" s="2">
        <f>HYPERLINK("https://vdatum.noaa.gov/vdatumweb/api/convert?s_x=-81.55814426&amp;s_y=30.38606692&amp;s_z=0.0&amp;region=contiguous&amp;s_h_frame=NAD83_2011&amp;s_coor=geo&amp;s_v_frame=NAVD88&amp;s_v_unit=us_ft&amp;t_h_frame=NAD83_2011&amp;t_coor=geo&amp;t_v_frame=MHHW&amp;t_v_unit=us_ft", "NAVD88 to MHHW")</f>
        <v>0</v>
      </c>
    </row>
    <row r="351" spans="1:52">
      <c r="A351" s="1" t="s">
        <v>375</v>
      </c>
      <c r="B351" s="1" t="s">
        <v>628</v>
      </c>
      <c r="C351" s="1" t="s">
        <v>645</v>
      </c>
      <c r="D351" s="1" t="s">
        <v>654</v>
      </c>
      <c r="E351" s="1" t="s">
        <v>753</v>
      </c>
      <c r="F351" s="1" t="s">
        <v>847</v>
      </c>
      <c r="G351" s="1" t="s">
        <v>854</v>
      </c>
      <c r="L351" s="1">
        <v>-81.1065</v>
      </c>
      <c r="M351" s="1">
        <v>24.711</v>
      </c>
      <c r="N351" s="1">
        <v>8723970</v>
      </c>
      <c r="O351" s="1" t="s">
        <v>865</v>
      </c>
      <c r="P351" s="1" t="s">
        <v>866</v>
      </c>
      <c r="Q351" s="2">
        <f>HYPERLINK("https://tidesandcurrents.noaa.gov/stationhome.html?id=8723970", "Station Info")</f>
        <v>0</v>
      </c>
      <c r="R351" s="2">
        <f>HYPERLINK("https://tidesandcurrents.noaa.gov/datums.html?datum=MLLW&amp;units=0&amp;epoch=0&amp;id=8723970", "Datum Info")</f>
        <v>0</v>
      </c>
      <c r="S351" s="2">
        <f>HYPERLINK("https://api.tidesandcurrents.noaa.gov/mdapi/prod/webapi/stations/8723970.json", "More Info")</f>
        <v>0</v>
      </c>
      <c r="T351" s="1">
        <v>3064771</v>
      </c>
      <c r="U351" s="1">
        <v>0</v>
      </c>
      <c r="V351" s="1" t="s">
        <v>869</v>
      </c>
      <c r="W351" s="1" t="s">
        <v>874</v>
      </c>
      <c r="X351" s="1" t="s">
        <v>886</v>
      </c>
      <c r="Y351" s="1">
        <v>0.98</v>
      </c>
      <c r="Z351" s="1">
        <v>0.87</v>
      </c>
      <c r="AA351" s="1">
        <v>0.51</v>
      </c>
      <c r="AB351" s="1">
        <v>0.51</v>
      </c>
      <c r="AC351" s="1">
        <v>0.49</v>
      </c>
      <c r="AD351" s="1">
        <v>0.16</v>
      </c>
      <c r="AE351" s="1">
        <v>0</v>
      </c>
      <c r="AF351" s="1">
        <v>1.34</v>
      </c>
      <c r="AG351" s="1">
        <v>-2.54</v>
      </c>
      <c r="AH351" s="1" t="s">
        <v>1052</v>
      </c>
      <c r="AI351" s="1" t="s">
        <v>1508</v>
      </c>
      <c r="AJ351" s="1">
        <v>1.349</v>
      </c>
      <c r="AK351" s="1">
        <v>0.378</v>
      </c>
      <c r="AY351" s="2">
        <f>HYPERLINK("https://vdatum.noaa.gov/vdatumweb/api/convert?s_x=-81.1065&amp;s_y=24.711&amp;s_z=0.0&amp;region=contiguous&amp;s_h_frame=NAD83_2011&amp;s_coor=geo&amp;s_v_frame=NAVD88&amp;s_v_unit=us_ft&amp;t_h_frame=NAD83_2011&amp;t_coor=geo&amp;t_v_frame=MLLW&amp;t_v_unit=us_ft", "NAVD88 to MLLW")</f>
        <v>0</v>
      </c>
      <c r="AZ351" s="2">
        <f>HYPERLINK("https://vdatum.noaa.gov/vdatumweb/api/convert?s_x=-81.1065&amp;s_y=24.711&amp;s_z=0.0&amp;region=contiguous&amp;s_h_frame=NAD83_2011&amp;s_coor=geo&amp;s_v_frame=NAVD88&amp;s_v_unit=us_ft&amp;t_h_frame=NAD83_2011&amp;t_coor=geo&amp;t_v_frame=MHHW&amp;t_v_unit=us_ft", "NAVD88 to MHHW")</f>
        <v>0</v>
      </c>
    </row>
    <row r="352" spans="1:52">
      <c r="A352" s="1" t="s">
        <v>376</v>
      </c>
      <c r="B352" s="1" t="s">
        <v>628</v>
      </c>
      <c r="C352" s="1" t="s">
        <v>645</v>
      </c>
      <c r="D352" s="1" t="s">
        <v>654</v>
      </c>
      <c r="E352" s="1" t="s">
        <v>754</v>
      </c>
      <c r="F352" s="1" t="s">
        <v>847</v>
      </c>
      <c r="G352" s="1" t="s">
        <v>854</v>
      </c>
      <c r="L352" s="1">
        <v>-81.8081</v>
      </c>
      <c r="M352" s="1">
        <v>24.55083</v>
      </c>
      <c r="N352" s="1">
        <v>8724580</v>
      </c>
      <c r="O352" s="1" t="s">
        <v>865</v>
      </c>
      <c r="P352" s="1" t="s">
        <v>866</v>
      </c>
      <c r="Q352" s="2">
        <f>HYPERLINK("https://tidesandcurrents.noaa.gov/stationhome.html?id=8724580", "Station Info")</f>
        <v>0</v>
      </c>
      <c r="R352" s="2">
        <f>HYPERLINK("https://tidesandcurrents.noaa.gov/datums.html?datum=MLLW&amp;units=0&amp;epoch=0&amp;id=8724580", "Datum Info")</f>
        <v>0</v>
      </c>
      <c r="S352" s="2">
        <f>HYPERLINK("https://api.tidesandcurrents.noaa.gov/mdapi/prod/webapi/stations/8724580.json", "More Info")</f>
        <v>0</v>
      </c>
      <c r="T352" s="1">
        <v>3414910</v>
      </c>
      <c r="U352" s="1">
        <v>0</v>
      </c>
      <c r="V352" s="1" t="s">
        <v>869</v>
      </c>
      <c r="W352" s="1" t="s">
        <v>874</v>
      </c>
      <c r="X352" s="1" t="s">
        <v>886</v>
      </c>
      <c r="Y352" s="1">
        <v>1.81</v>
      </c>
      <c r="Z352" s="1">
        <v>1.52</v>
      </c>
      <c r="AA352" s="1">
        <v>0.88</v>
      </c>
      <c r="AB352" s="1">
        <v>0.89</v>
      </c>
      <c r="AC352" s="1">
        <v>0.9</v>
      </c>
      <c r="AD352" s="1">
        <v>0.24</v>
      </c>
      <c r="AE352" s="1">
        <v>0</v>
      </c>
      <c r="AF352" s="1">
        <v>1.76</v>
      </c>
      <c r="AG352" s="1">
        <v>-4.56</v>
      </c>
      <c r="AH352" s="1" t="s">
        <v>1245</v>
      </c>
      <c r="AI352" s="1" t="s">
        <v>1509</v>
      </c>
      <c r="AJ352" s="1">
        <v>1.751</v>
      </c>
      <c r="AK352" s="1">
        <v>-0.056</v>
      </c>
      <c r="AY352" s="2">
        <f>HYPERLINK("https://vdatum.noaa.gov/vdatumweb/api/convert?s_x=-81.8081&amp;s_y=24.55083&amp;s_z=0.0&amp;region=contiguous&amp;s_h_frame=NAD83_2011&amp;s_coor=geo&amp;s_v_frame=NAVD88&amp;s_v_unit=us_ft&amp;t_h_frame=NAD83_2011&amp;t_coor=geo&amp;t_v_frame=MLLW&amp;t_v_unit=us_ft", "NAVD88 to MLLW")</f>
        <v>0</v>
      </c>
      <c r="AZ352" s="2">
        <f>HYPERLINK("https://vdatum.noaa.gov/vdatumweb/api/convert?s_x=-81.8081&amp;s_y=24.55083&amp;s_z=0.0&amp;region=contiguous&amp;s_h_frame=NAD83_2011&amp;s_coor=geo&amp;s_v_frame=NAVD88&amp;s_v_unit=us_ft&amp;t_h_frame=NAD83_2011&amp;t_coor=geo&amp;t_v_frame=MHHW&amp;t_v_unit=us_ft", "NAVD88 to MHHW")</f>
        <v>0</v>
      </c>
    </row>
    <row r="353" spans="1:52">
      <c r="A353" s="1" t="s">
        <v>377</v>
      </c>
      <c r="B353" s="1" t="s">
        <v>629</v>
      </c>
      <c r="C353" s="1" t="s">
        <v>649</v>
      </c>
      <c r="D353" s="1" t="s">
        <v>654</v>
      </c>
      <c r="E353" s="1" t="s">
        <v>755</v>
      </c>
      <c r="F353" s="1" t="s">
        <v>848</v>
      </c>
      <c r="G353" s="1" t="s">
        <v>856</v>
      </c>
      <c r="L353" s="1">
        <v>-91.2376</v>
      </c>
      <c r="M353" s="1">
        <v>29.6675</v>
      </c>
      <c r="N353" s="1">
        <v>8764044</v>
      </c>
      <c r="O353" s="1" t="s">
        <v>861</v>
      </c>
      <c r="P353" s="1" t="s">
        <v>866</v>
      </c>
      <c r="Q353" s="2">
        <f>HYPERLINK("https://tidesandcurrents.noaa.gov/stationhome.html?id=8764044", "Station Info")</f>
        <v>0</v>
      </c>
      <c r="R353" s="2">
        <f>HYPERLINK("https://tidesandcurrents.noaa.gov/datums.html?datum=MLLW&amp;units=0&amp;epoch=0&amp;id=8764044", "Datum Info")</f>
        <v>0</v>
      </c>
      <c r="S353" s="2">
        <f>HYPERLINK("https://api.tidesandcurrents.noaa.gov/mdapi/prod/webapi/stations/8764044.json", "More Info")</f>
        <v>0</v>
      </c>
      <c r="T353" s="1">
        <v>10149630</v>
      </c>
      <c r="U353" s="1">
        <v>0</v>
      </c>
      <c r="V353" s="1" t="s">
        <v>869</v>
      </c>
      <c r="W353" s="1" t="s">
        <v>874</v>
      </c>
      <c r="X353" s="1" t="s">
        <v>886</v>
      </c>
      <c r="Y353" s="1">
        <v>0.53</v>
      </c>
      <c r="Z353" s="1">
        <v>0.49</v>
      </c>
      <c r="AA353" s="1">
        <v>0.27</v>
      </c>
      <c r="AB353" s="1">
        <v>0.29</v>
      </c>
      <c r="AC353" s="1">
        <v>0.27</v>
      </c>
      <c r="AD353" s="1">
        <v>0.05</v>
      </c>
      <c r="AE353" s="1">
        <v>0</v>
      </c>
      <c r="AF353" s="1">
        <v>-1.65</v>
      </c>
      <c r="AG353" s="1">
        <v>-19.59</v>
      </c>
      <c r="AH353" s="1" t="s">
        <v>1246</v>
      </c>
      <c r="AI353" s="1" t="s">
        <v>1510</v>
      </c>
      <c r="AJ353" s="1">
        <v>-1.3</v>
      </c>
      <c r="AK353" s="1">
        <v>-1.943</v>
      </c>
      <c r="AY353" s="2">
        <f>HYPERLINK("https://vdatum.noaa.gov/vdatumweb/api/convert?s_x=-91.2376&amp;s_y=29.6675&amp;s_z=0.0&amp;region=contiguous&amp;s_h_frame=NAD83_2011&amp;s_coor=geo&amp;s_v_frame=NAVD88&amp;s_v_unit=us_ft&amp;t_h_frame=NAD83_2011&amp;t_coor=geo&amp;t_v_frame=MLLW&amp;t_v_unit=us_ft", "NAVD88 to MLLW")</f>
        <v>0</v>
      </c>
      <c r="AZ353" s="2">
        <f>HYPERLINK("https://vdatum.noaa.gov/vdatumweb/api/convert?s_x=-91.2376&amp;s_y=29.6675&amp;s_z=0.0&amp;region=contiguous&amp;s_h_frame=NAD83_2011&amp;s_coor=geo&amp;s_v_frame=NAVD88&amp;s_v_unit=us_ft&amp;t_h_frame=NAD83_2011&amp;t_coor=geo&amp;t_v_frame=MHHW&amp;t_v_unit=us_ft", "NAVD88 to MHHW")</f>
        <v>0</v>
      </c>
    </row>
    <row r="354" spans="1:52">
      <c r="A354" s="1" t="s">
        <v>378</v>
      </c>
      <c r="B354" s="1" t="s">
        <v>629</v>
      </c>
      <c r="D354" s="1" t="s">
        <v>654</v>
      </c>
      <c r="L354" s="1">
        <v>-91.3381</v>
      </c>
      <c r="M354" s="1">
        <v>29.4496</v>
      </c>
      <c r="N354" s="1">
        <v>8764227</v>
      </c>
      <c r="O354" s="1" t="s">
        <v>860</v>
      </c>
      <c r="P354" s="1" t="s">
        <v>866</v>
      </c>
      <c r="Q354" s="2">
        <f>HYPERLINK("https://tidesandcurrents.noaa.gov/stationhome.html?id=8764227", "Station Info")</f>
        <v>0</v>
      </c>
      <c r="R354" s="2">
        <f>HYPERLINK("https://tidesandcurrents.noaa.gov/datums.html?datum=MLLW&amp;units=0&amp;epoch=0&amp;id=8764227", "Datum Info")</f>
        <v>0</v>
      </c>
      <c r="S354" s="2">
        <f>HYPERLINK("https://api.tidesandcurrents.noaa.gov/mdapi/prod/webapi/stations/8764227.json", "More Info")</f>
        <v>0</v>
      </c>
      <c r="T354" s="1">
        <v>3712289</v>
      </c>
      <c r="U354" s="1">
        <v>0</v>
      </c>
      <c r="V354" s="1" t="s">
        <v>869</v>
      </c>
      <c r="W354" s="1" t="s">
        <v>874</v>
      </c>
      <c r="X354" s="1" t="s">
        <v>886</v>
      </c>
      <c r="Y354" s="1">
        <v>1.61</v>
      </c>
      <c r="Z354" s="1">
        <v>1.46</v>
      </c>
      <c r="AA354" s="1">
        <v>0.89</v>
      </c>
      <c r="AB354" s="1">
        <v>0.85</v>
      </c>
      <c r="AC354" s="1">
        <v>0.8100000000000001</v>
      </c>
      <c r="AD354" s="1">
        <v>0.32</v>
      </c>
      <c r="AE354" s="1">
        <v>0</v>
      </c>
      <c r="AF354" s="1">
        <v>0.92</v>
      </c>
      <c r="AG354" s="1">
        <v>-23.43</v>
      </c>
      <c r="AH354" s="1" t="s">
        <v>1247</v>
      </c>
      <c r="AI354" s="1" t="s">
        <v>1511</v>
      </c>
      <c r="AJ354" s="1">
        <v>0.5669999999999999</v>
      </c>
      <c r="AK354" s="1">
        <v>-1.175</v>
      </c>
      <c r="AY354" s="2">
        <f>HYPERLINK("https://vdatum.noaa.gov/vdatumweb/api/convert?s_x=-91.3381&amp;s_y=29.4496&amp;s_z=0.0&amp;region=contiguous&amp;s_h_frame=NAD83_2011&amp;s_coor=geo&amp;s_v_frame=NAVD88&amp;s_v_unit=us_ft&amp;t_h_frame=NAD83_2011&amp;t_coor=geo&amp;t_v_frame=MLLW&amp;t_v_unit=us_ft", "NAVD88 to MLLW")</f>
        <v>0</v>
      </c>
      <c r="AZ354" s="2">
        <f>HYPERLINK("https://vdatum.noaa.gov/vdatumweb/api/convert?s_x=-91.3381&amp;s_y=29.4496&amp;s_z=0.0&amp;region=contiguous&amp;s_h_frame=NAD83_2011&amp;s_coor=geo&amp;s_v_frame=NAVD88&amp;s_v_unit=us_ft&amp;t_h_frame=NAD83_2011&amp;t_coor=geo&amp;t_v_frame=MHHW&amp;t_v_unit=us_ft", "NAVD88 to MHHW")</f>
        <v>0</v>
      </c>
    </row>
    <row r="355" spans="1:52">
      <c r="A355" s="1" t="s">
        <v>379</v>
      </c>
      <c r="B355" s="1" t="s">
        <v>629</v>
      </c>
      <c r="D355" s="1" t="s">
        <v>654</v>
      </c>
      <c r="E355" s="1" t="s">
        <v>755</v>
      </c>
      <c r="F355" s="1" t="s">
        <v>848</v>
      </c>
      <c r="G355" s="1" t="s">
        <v>856</v>
      </c>
      <c r="L355" s="1">
        <v>-91.3839</v>
      </c>
      <c r="M355" s="1">
        <v>29.3675</v>
      </c>
      <c r="N355" s="1">
        <v>8764314</v>
      </c>
      <c r="O355" s="1" t="s">
        <v>861</v>
      </c>
      <c r="P355" s="1" t="s">
        <v>866</v>
      </c>
      <c r="Q355" s="2">
        <f>HYPERLINK("https://tidesandcurrents.noaa.gov/stationhome.html?id=8764314", "Station Info")</f>
        <v>0</v>
      </c>
      <c r="R355" s="2">
        <f>HYPERLINK("https://tidesandcurrents.noaa.gov/datums.html?datum=MLLW&amp;units=0&amp;epoch=0&amp;id=8764314", "Datum Info")</f>
        <v>0</v>
      </c>
      <c r="S355" s="2">
        <f>HYPERLINK("https://api.tidesandcurrents.noaa.gov/mdapi/prod/webapi/stations/8764314.json", "More Info")</f>
        <v>0</v>
      </c>
      <c r="T355" s="1">
        <v>3381070</v>
      </c>
      <c r="U355" s="1">
        <v>0.11</v>
      </c>
      <c r="V355" s="1" t="s">
        <v>869</v>
      </c>
      <c r="W355" s="1" t="s">
        <v>874</v>
      </c>
      <c r="X355" s="1" t="s">
        <v>886</v>
      </c>
      <c r="Y355" s="1">
        <v>1.86</v>
      </c>
      <c r="Z355" s="1">
        <v>1.72</v>
      </c>
      <c r="AA355" s="1">
        <v>1.06</v>
      </c>
      <c r="AB355" s="1">
        <v>1.02</v>
      </c>
      <c r="AC355" s="1">
        <v>0.93</v>
      </c>
      <c r="AD355" s="1">
        <v>0.39</v>
      </c>
      <c r="AE355" s="1">
        <v>0</v>
      </c>
      <c r="AF355" s="1" t="s">
        <v>1027</v>
      </c>
      <c r="AG355" s="1">
        <v>-12.29</v>
      </c>
      <c r="AH355" s="1" t="s">
        <v>1248</v>
      </c>
      <c r="AI355" s="1" t="s">
        <v>1512</v>
      </c>
      <c r="AJ355" s="1">
        <v>0.723</v>
      </c>
      <c r="AK355" s="1">
        <v>-1.229</v>
      </c>
      <c r="AY355" s="2">
        <f>HYPERLINK("https://vdatum.noaa.gov/vdatumweb/api/convert?s_x=-91.3839&amp;s_y=29.3675&amp;s_z=0.0&amp;region=contiguous&amp;s_h_frame=NAD83_2011&amp;s_coor=geo&amp;s_v_frame=NAVD88&amp;s_v_unit=us_ft&amp;t_h_frame=NAD83_2011&amp;t_coor=geo&amp;t_v_frame=MLLW&amp;t_v_unit=us_ft", "NAVD88 to MLLW")</f>
        <v>0</v>
      </c>
      <c r="AZ355" s="2">
        <f>HYPERLINK("https://vdatum.noaa.gov/vdatumweb/api/convert?s_x=-91.3839&amp;s_y=29.3675&amp;s_z=0.0&amp;region=contiguous&amp;s_h_frame=NAD83_2011&amp;s_coor=geo&amp;s_v_frame=NAVD88&amp;s_v_unit=us_ft&amp;t_h_frame=NAD83_2011&amp;t_coor=geo&amp;t_v_frame=MHHW&amp;t_v_unit=us_ft", "NAVD88 to MHHW")</f>
        <v>0</v>
      </c>
    </row>
    <row r="356" spans="1:52">
      <c r="A356" s="1" t="s">
        <v>380</v>
      </c>
      <c r="B356" s="1" t="s">
        <v>629</v>
      </c>
      <c r="D356" s="1" t="s">
        <v>654</v>
      </c>
      <c r="H356" s="1" t="s">
        <v>1831</v>
      </c>
      <c r="I356" s="1" t="s">
        <v>1860</v>
      </c>
      <c r="J356" s="1" t="s">
        <v>1975</v>
      </c>
      <c r="K356" s="1" t="s">
        <v>2130</v>
      </c>
      <c r="L356" s="1">
        <v>-91.88</v>
      </c>
      <c r="M356" s="1">
        <v>29.71336</v>
      </c>
      <c r="N356" s="1">
        <v>8765251</v>
      </c>
      <c r="O356" s="1" t="s">
        <v>861</v>
      </c>
      <c r="P356" s="1" t="s">
        <v>866</v>
      </c>
      <c r="Q356" s="2">
        <f>HYPERLINK("https://tidesandcurrents.noaa.gov/stationhome.html?id=8765251", "Station Info")</f>
        <v>0</v>
      </c>
      <c r="R356" s="2">
        <f>HYPERLINK("https://tidesandcurrents.noaa.gov/datums.html?datum=MLLW&amp;units=0&amp;epoch=0&amp;id=8765251", "Datum Info")</f>
        <v>0</v>
      </c>
      <c r="S356" s="2">
        <f>HYPERLINK("https://api.tidesandcurrents.noaa.gov/mdapi/prod/webapi/stations/8765251.json", "More Info")</f>
        <v>0</v>
      </c>
      <c r="T356" s="1">
        <v>6329629</v>
      </c>
      <c r="U356" s="1">
        <v>0.145</v>
      </c>
      <c r="V356" s="1" t="s">
        <v>869</v>
      </c>
      <c r="W356" s="1" t="s">
        <v>874</v>
      </c>
      <c r="X356" s="1" t="s">
        <v>886</v>
      </c>
      <c r="Y356" s="1">
        <v>1.7</v>
      </c>
      <c r="Z356" s="1">
        <v>1.56</v>
      </c>
      <c r="AA356" s="1">
        <v>0.9</v>
      </c>
      <c r="AB356" s="1">
        <v>0.9</v>
      </c>
      <c r="AC356" s="1">
        <v>0.85</v>
      </c>
      <c r="AD356" s="1">
        <v>0.24</v>
      </c>
      <c r="AE356" s="1">
        <v>0</v>
      </c>
      <c r="AF356" s="1" t="s">
        <v>1028</v>
      </c>
      <c r="AG356" s="1">
        <v>-24.1</v>
      </c>
      <c r="AH356" s="1" t="s">
        <v>1249</v>
      </c>
      <c r="AI356" s="1" t="s">
        <v>1509</v>
      </c>
      <c r="AJ356" s="1">
        <v>0.416</v>
      </c>
      <c r="AK356" s="1">
        <v>-1.307</v>
      </c>
      <c r="AL356" s="1" t="s">
        <v>887</v>
      </c>
      <c r="AM356" s="1">
        <v>-1.48</v>
      </c>
      <c r="AN356" s="1" t="s">
        <v>1538</v>
      </c>
      <c r="AS356" s="1">
        <v>3</v>
      </c>
      <c r="AT356" s="1">
        <v>4</v>
      </c>
      <c r="AU356" s="1">
        <v>7</v>
      </c>
      <c r="AV356" s="1">
        <v>9</v>
      </c>
      <c r="AW356" s="1" t="s">
        <v>1744</v>
      </c>
      <c r="AX356" s="2">
        <f>HYPERLINK("https://water.weather.gov/ahps2/hydrograph.php?wfo=lch&amp;gage=vcpl1", "AHPS Data")</f>
        <v>0</v>
      </c>
      <c r="AY356" s="2">
        <f>HYPERLINK("https://vdatum.noaa.gov/vdatumweb/api/convert?s_x=-91.88&amp;s_y=29.71336&amp;s_z=0.0&amp;region=contiguous&amp;s_h_frame=NAD83_2011&amp;s_coor=geo&amp;s_v_frame=NAVD88&amp;s_v_unit=us_ft&amp;t_h_frame=NAD83_2011&amp;t_coor=geo&amp;t_v_frame=MLLW&amp;t_v_unit=us_ft", "NAVD88 to MLLW")</f>
        <v>0</v>
      </c>
      <c r="AZ356" s="2">
        <f>HYPERLINK("https://vdatum.noaa.gov/vdatumweb/api/convert?s_x=-91.88&amp;s_y=29.71336&amp;s_z=0.0&amp;region=contiguous&amp;s_h_frame=NAD83_2011&amp;s_coor=geo&amp;s_v_frame=NAVD88&amp;s_v_unit=us_ft&amp;t_h_frame=NAD83_2011&amp;t_coor=geo&amp;t_v_frame=MHHW&amp;t_v_unit=us_ft", "NAVD88 to MHHW")</f>
        <v>0</v>
      </c>
    </row>
    <row r="357" spans="1:52">
      <c r="A357" s="1" t="s">
        <v>381</v>
      </c>
      <c r="B357" s="1" t="s">
        <v>629</v>
      </c>
      <c r="C357" s="1" t="s">
        <v>649</v>
      </c>
      <c r="D357" s="1" t="s">
        <v>654</v>
      </c>
      <c r="E357" s="1" t="s">
        <v>756</v>
      </c>
      <c r="F357" s="1" t="s">
        <v>848</v>
      </c>
      <c r="G357" s="1" t="s">
        <v>856</v>
      </c>
      <c r="L357" s="1">
        <v>-92.3052</v>
      </c>
      <c r="M357" s="1">
        <v>29.55169</v>
      </c>
      <c r="N357" s="1">
        <v>8766072</v>
      </c>
      <c r="O357" s="1" t="s">
        <v>860</v>
      </c>
      <c r="P357" s="1" t="s">
        <v>866</v>
      </c>
      <c r="Q357" s="2">
        <f>HYPERLINK("https://tidesandcurrents.noaa.gov/stationhome.html?id=8766072", "Station Info")</f>
        <v>0</v>
      </c>
      <c r="R357" s="2">
        <f>HYPERLINK("https://tidesandcurrents.noaa.gov/datums.html?datum=MLLW&amp;units=0&amp;epoch=0&amp;id=8766072", "Datum Info")</f>
        <v>0</v>
      </c>
      <c r="S357" s="2">
        <f>HYPERLINK("https://api.tidesandcurrents.noaa.gov/mdapi/prod/webapi/stations/8766072.json", "More Info")</f>
        <v>0</v>
      </c>
      <c r="T357" s="1">
        <v>3549899</v>
      </c>
      <c r="U357" s="1">
        <v>0</v>
      </c>
      <c r="V357" s="1" t="s">
        <v>869</v>
      </c>
      <c r="W357" s="1" t="s">
        <v>874</v>
      </c>
      <c r="X357" s="1" t="s">
        <v>886</v>
      </c>
      <c r="Y357" s="1">
        <v>2.08</v>
      </c>
      <c r="Z357" s="1">
        <v>1.93</v>
      </c>
      <c r="AA357" s="1">
        <v>1.22</v>
      </c>
      <c r="AB357" s="1">
        <v>1.19</v>
      </c>
      <c r="AC357" s="1">
        <v>1.04</v>
      </c>
      <c r="AD357" s="1">
        <v>0.5</v>
      </c>
      <c r="AE357" s="1">
        <v>0</v>
      </c>
      <c r="AF357" s="1">
        <v>1.22</v>
      </c>
      <c r="AG357" s="1">
        <v>-21.01</v>
      </c>
      <c r="AJ357" s="1">
        <v>-999999</v>
      </c>
      <c r="AK357" s="1">
        <v>-999999</v>
      </c>
      <c r="AY357" s="2">
        <f>HYPERLINK("https://vdatum.noaa.gov/vdatumweb/api/convert?s_x=-92.3052&amp;s_y=29.55169&amp;s_z=0.0&amp;region=contiguous&amp;s_h_frame=NAD83_2011&amp;s_coor=geo&amp;s_v_frame=NAVD88&amp;s_v_unit=us_ft&amp;t_h_frame=NAD83_2011&amp;t_coor=geo&amp;t_v_frame=MLLW&amp;t_v_unit=us_ft", "Missing")</f>
        <v>0</v>
      </c>
      <c r="AZ357" s="2">
        <f>HYPERLINK("https://vdatum.noaa.gov/vdatumweb/api/convert?s_x=-92.3052&amp;s_y=29.55169&amp;s_z=0.0&amp;region=contiguous&amp;s_h_frame=NAD83_2011&amp;s_coor=geo&amp;s_v_frame=NAVD88&amp;s_v_unit=us_ft&amp;t_h_frame=NAD83_2011&amp;t_coor=geo&amp;t_v_frame=MHHW&amp;t_v_unit=us_ft", "Missing")</f>
        <v>0</v>
      </c>
    </row>
    <row r="358" spans="1:52">
      <c r="A358" s="1" t="s">
        <v>382</v>
      </c>
      <c r="B358" s="1" t="s">
        <v>629</v>
      </c>
      <c r="C358" s="1" t="s">
        <v>649</v>
      </c>
      <c r="D358" s="1" t="s">
        <v>654</v>
      </c>
      <c r="E358" s="1" t="s">
        <v>757</v>
      </c>
      <c r="F358" s="1" t="s">
        <v>848</v>
      </c>
      <c r="G358" s="1" t="s">
        <v>856</v>
      </c>
      <c r="L358" s="1">
        <v>-93.2217</v>
      </c>
      <c r="M358" s="1">
        <v>30.22361</v>
      </c>
      <c r="N358" s="1">
        <v>8767816</v>
      </c>
      <c r="O358" s="1" t="s">
        <v>860</v>
      </c>
      <c r="P358" s="1" t="s">
        <v>866</v>
      </c>
      <c r="Q358" s="2">
        <f>HYPERLINK("https://tidesandcurrents.noaa.gov/stationhome.html?id=8767816", "Station Info")</f>
        <v>0</v>
      </c>
      <c r="R358" s="2">
        <f>HYPERLINK("https://tidesandcurrents.noaa.gov/datums.html?datum=MLLW&amp;units=0&amp;epoch=0&amp;id=8767816", "Datum Info")</f>
        <v>0</v>
      </c>
      <c r="S358" s="2">
        <f>HYPERLINK("https://api.tidesandcurrents.noaa.gov/mdapi/prod/webapi/stations/8767816.json", "More Info")</f>
        <v>0</v>
      </c>
      <c r="T358" s="1">
        <v>8618103</v>
      </c>
      <c r="U358" s="1">
        <v>0</v>
      </c>
      <c r="V358" s="1" t="s">
        <v>869</v>
      </c>
      <c r="W358" s="1" t="s">
        <v>874</v>
      </c>
      <c r="X358" s="1" t="s">
        <v>886</v>
      </c>
      <c r="Y358" s="1">
        <v>1.4</v>
      </c>
      <c r="Z358" s="1">
        <v>1.3</v>
      </c>
      <c r="AA358" s="1">
        <v>0.78</v>
      </c>
      <c r="AB358" s="1">
        <v>0.78</v>
      </c>
      <c r="AC358" s="1">
        <v>0.7</v>
      </c>
      <c r="AD358" s="1">
        <v>0.25</v>
      </c>
      <c r="AE358" s="1">
        <v>0</v>
      </c>
      <c r="AF358" s="1">
        <v>0.67</v>
      </c>
      <c r="AG358" s="1">
        <v>-26.39</v>
      </c>
      <c r="AH358" s="1" t="s">
        <v>1250</v>
      </c>
      <c r="AI358" s="1" t="s">
        <v>1513</v>
      </c>
      <c r="AJ358" s="1">
        <v>0.432</v>
      </c>
      <c r="AK358" s="1">
        <v>-0.907</v>
      </c>
      <c r="AY358" s="2">
        <f>HYPERLINK("https://vdatum.noaa.gov/vdatumweb/api/convert?s_x=-93.2217&amp;s_y=30.22361&amp;s_z=0.0&amp;region=contiguous&amp;s_h_frame=NAD83_2011&amp;s_coor=geo&amp;s_v_frame=NAVD88&amp;s_v_unit=us_ft&amp;t_h_frame=NAD83_2011&amp;t_coor=geo&amp;t_v_frame=MLLW&amp;t_v_unit=us_ft", "NAVD88 to MLLW")</f>
        <v>0</v>
      </c>
      <c r="AZ358" s="2">
        <f>HYPERLINK("https://vdatum.noaa.gov/vdatumweb/api/convert?s_x=-93.2217&amp;s_y=30.22361&amp;s_z=0.0&amp;region=contiguous&amp;s_h_frame=NAD83_2011&amp;s_coor=geo&amp;s_v_frame=NAVD88&amp;s_v_unit=us_ft&amp;t_h_frame=NAD83_2011&amp;t_coor=geo&amp;t_v_frame=MHHW&amp;t_v_unit=us_ft", "NAVD88 to MHHW")</f>
        <v>0</v>
      </c>
    </row>
    <row r="359" spans="1:52">
      <c r="A359" s="1" t="s">
        <v>383</v>
      </c>
      <c r="B359" s="1" t="s">
        <v>629</v>
      </c>
      <c r="C359" s="1" t="s">
        <v>649</v>
      </c>
      <c r="D359" s="1" t="s">
        <v>654</v>
      </c>
      <c r="E359" s="1" t="s">
        <v>757</v>
      </c>
      <c r="F359" s="1" t="s">
        <v>848</v>
      </c>
      <c r="G359" s="1" t="s">
        <v>856</v>
      </c>
      <c r="L359" s="1">
        <v>-93.30070000000001</v>
      </c>
      <c r="M359" s="1">
        <v>30.1903</v>
      </c>
      <c r="N359" s="1">
        <v>8767961</v>
      </c>
      <c r="O359" s="1" t="s">
        <v>860</v>
      </c>
      <c r="P359" s="1" t="s">
        <v>866</v>
      </c>
      <c r="Q359" s="2">
        <f>HYPERLINK("https://tidesandcurrents.noaa.gov/stationhome.html?id=8767961", "Station Info")</f>
        <v>0</v>
      </c>
      <c r="R359" s="2">
        <f>HYPERLINK("https://tidesandcurrents.noaa.gov/datums.html?datum=MLLW&amp;units=0&amp;epoch=0&amp;id=8767961", "Datum Info")</f>
        <v>0</v>
      </c>
      <c r="S359" s="2">
        <f>HYPERLINK("https://api.tidesandcurrents.noaa.gov/mdapi/prod/webapi/stations/8767961.json", "More Info")</f>
        <v>0</v>
      </c>
      <c r="T359" s="1">
        <v>8762514</v>
      </c>
      <c r="U359" s="1">
        <v>0</v>
      </c>
      <c r="V359" s="1" t="s">
        <v>869</v>
      </c>
      <c r="W359" s="1" t="s">
        <v>874</v>
      </c>
      <c r="X359" s="1" t="s">
        <v>886</v>
      </c>
      <c r="Y359" s="1">
        <v>1.34</v>
      </c>
      <c r="Z359" s="1">
        <v>1.25</v>
      </c>
      <c r="AA359" s="1">
        <v>0.74</v>
      </c>
      <c r="AB359" s="1">
        <v>0.75</v>
      </c>
      <c r="AC359" s="1">
        <v>0.68</v>
      </c>
      <c r="AD359" s="1">
        <v>0.23</v>
      </c>
      <c r="AE359" s="1">
        <v>0</v>
      </c>
      <c r="AF359" s="1">
        <v>0.64</v>
      </c>
      <c r="AG359" s="1">
        <v>-23.09</v>
      </c>
      <c r="AH359" s="1" t="s">
        <v>1251</v>
      </c>
      <c r="AI359" s="1" t="s">
        <v>1514</v>
      </c>
      <c r="AJ359" s="1">
        <v>0.331</v>
      </c>
      <c r="AK359" s="1">
        <v>-0.948</v>
      </c>
      <c r="AY359" s="2">
        <f>HYPERLINK("https://vdatum.noaa.gov/vdatumweb/api/convert?s_x=-93.3007&amp;s_y=30.1903&amp;s_z=0.0&amp;region=contiguous&amp;s_h_frame=NAD83_2011&amp;s_coor=geo&amp;s_v_frame=NAVD88&amp;s_v_unit=us_ft&amp;t_h_frame=NAD83_2011&amp;t_coor=geo&amp;t_v_frame=MLLW&amp;t_v_unit=us_ft", "NAVD88 to MLLW")</f>
        <v>0</v>
      </c>
      <c r="AZ359" s="2">
        <f>HYPERLINK("https://vdatum.noaa.gov/vdatumweb/api/convert?s_x=-93.3007&amp;s_y=30.1903&amp;s_z=0.0&amp;region=contiguous&amp;s_h_frame=NAD83_2011&amp;s_coor=geo&amp;s_v_frame=NAVD88&amp;s_v_unit=us_ft&amp;t_h_frame=NAD83_2011&amp;t_coor=geo&amp;t_v_frame=MHHW&amp;t_v_unit=us_ft", "NAVD88 to MHHW")</f>
        <v>0</v>
      </c>
    </row>
    <row r="360" spans="1:52">
      <c r="A360" s="1" t="s">
        <v>384</v>
      </c>
      <c r="B360" s="1" t="s">
        <v>629</v>
      </c>
      <c r="C360" s="1" t="s">
        <v>649</v>
      </c>
      <c r="D360" s="1" t="s">
        <v>654</v>
      </c>
      <c r="L360" s="1">
        <v>-93.3429</v>
      </c>
      <c r="M360" s="1">
        <v>29.76817</v>
      </c>
      <c r="N360" s="1">
        <v>8768094</v>
      </c>
      <c r="O360" s="1" t="s">
        <v>860</v>
      </c>
      <c r="P360" s="1" t="s">
        <v>866</v>
      </c>
      <c r="Q360" s="2">
        <f>HYPERLINK("https://tidesandcurrents.noaa.gov/stationhome.html?id=8768094", "Station Info")</f>
        <v>0</v>
      </c>
      <c r="R360" s="2">
        <f>HYPERLINK("https://tidesandcurrents.noaa.gov/datums.html?datum=MLLW&amp;units=0&amp;epoch=0&amp;id=8768094", "Datum Info")</f>
        <v>0</v>
      </c>
      <c r="S360" s="2">
        <f>HYPERLINK("https://api.tidesandcurrents.noaa.gov/mdapi/prod/webapi/stations/8768094.json", "More Info")</f>
        <v>0</v>
      </c>
      <c r="T360" s="1">
        <v>3382790</v>
      </c>
      <c r="U360" s="1">
        <v>0</v>
      </c>
      <c r="V360" s="1" t="s">
        <v>869</v>
      </c>
      <c r="W360" s="1" t="s">
        <v>874</v>
      </c>
      <c r="X360" s="1" t="s">
        <v>886</v>
      </c>
      <c r="Y360" s="1">
        <v>1.81</v>
      </c>
      <c r="Z360" s="1">
        <v>1.71</v>
      </c>
      <c r="AA360" s="1">
        <v>1.1</v>
      </c>
      <c r="AB360" s="1">
        <v>1.12</v>
      </c>
      <c r="AC360" s="1">
        <v>0.9</v>
      </c>
      <c r="AD360" s="1">
        <v>0.49</v>
      </c>
      <c r="AE360" s="1">
        <v>0</v>
      </c>
      <c r="AF360" s="1">
        <v>1.41</v>
      </c>
      <c r="AG360" s="1">
        <v>-26.88</v>
      </c>
      <c r="AH360" s="1" t="s">
        <v>1252</v>
      </c>
      <c r="AI360" s="1" t="s">
        <v>1515</v>
      </c>
      <c r="AJ360" s="1">
        <v>0.795</v>
      </c>
      <c r="AK360" s="1">
        <v>-1.17</v>
      </c>
      <c r="AY360" s="2">
        <f>HYPERLINK("https://vdatum.noaa.gov/vdatumweb/api/convert?s_x=-93.3429&amp;s_y=29.76817&amp;s_z=0.0&amp;region=contiguous&amp;s_h_frame=NAD83_2011&amp;s_coor=geo&amp;s_v_frame=NAVD88&amp;s_v_unit=us_ft&amp;t_h_frame=NAD83_2011&amp;t_coor=geo&amp;t_v_frame=MLLW&amp;t_v_unit=us_ft", "NAVD88 to MLLW")</f>
        <v>0</v>
      </c>
      <c r="AZ360" s="2">
        <f>HYPERLINK("https://vdatum.noaa.gov/vdatumweb/api/convert?s_x=-93.3429&amp;s_y=29.76817&amp;s_z=0.0&amp;region=contiguous&amp;s_h_frame=NAD83_2011&amp;s_coor=geo&amp;s_v_frame=NAVD88&amp;s_v_unit=us_ft&amp;t_h_frame=NAD83_2011&amp;t_coor=geo&amp;t_v_frame=MHHW&amp;t_v_unit=us_ft", "NAVD88 to MHHW")</f>
        <v>0</v>
      </c>
    </row>
    <row r="361" spans="1:52">
      <c r="A361" s="1" t="s">
        <v>385</v>
      </c>
      <c r="B361" s="1" t="s">
        <v>629</v>
      </c>
      <c r="C361" s="1" t="s">
        <v>648</v>
      </c>
      <c r="D361" s="1" t="s">
        <v>654</v>
      </c>
      <c r="E361" s="1" t="s">
        <v>758</v>
      </c>
      <c r="F361" s="1" t="s">
        <v>846</v>
      </c>
      <c r="G361" s="1" t="s">
        <v>856</v>
      </c>
      <c r="L361" s="1">
        <v>-93.931</v>
      </c>
      <c r="M361" s="1">
        <v>29.86708</v>
      </c>
      <c r="N361" s="1">
        <v>8770475</v>
      </c>
      <c r="O361" s="1" t="s">
        <v>861</v>
      </c>
      <c r="P361" s="1" t="s">
        <v>866</v>
      </c>
      <c r="Q361" s="2">
        <f>HYPERLINK("https://tidesandcurrents.noaa.gov/stationhome.html?id=8770475", "Station Info")</f>
        <v>0</v>
      </c>
      <c r="R361" s="2">
        <f>HYPERLINK("https://tidesandcurrents.noaa.gov/datums.html?datum=MLLW&amp;units=0&amp;epoch=0&amp;id=8770475", "Datum Info")</f>
        <v>0</v>
      </c>
      <c r="S361" s="2">
        <f>HYPERLINK("https://api.tidesandcurrents.noaa.gov/mdapi/prod/webapi/stations/8770475.json", "More Info")</f>
        <v>0</v>
      </c>
      <c r="T361" s="1">
        <v>8229112</v>
      </c>
      <c r="U361" s="1">
        <v>0</v>
      </c>
      <c r="V361" s="1" t="s">
        <v>869</v>
      </c>
      <c r="W361" s="1" t="s">
        <v>874</v>
      </c>
      <c r="X361" s="1" t="s">
        <v>886</v>
      </c>
      <c r="Y361" s="1">
        <v>1.04</v>
      </c>
      <c r="Z361" s="1">
        <v>0.99</v>
      </c>
      <c r="AA361" s="1">
        <v>0.5600000000000001</v>
      </c>
      <c r="AB361" s="1">
        <v>0.6</v>
      </c>
      <c r="AC361" s="1">
        <v>0.51</v>
      </c>
      <c r="AD361" s="1">
        <v>0.14</v>
      </c>
      <c r="AE361" s="1">
        <v>0</v>
      </c>
      <c r="AF361" s="1">
        <v>0.37</v>
      </c>
      <c r="AG361" s="1">
        <v>-4.61</v>
      </c>
      <c r="AH361" s="1" t="s">
        <v>1253</v>
      </c>
      <c r="AI361" s="1" t="s">
        <v>1516</v>
      </c>
      <c r="AJ361" s="1">
        <v>-0.234</v>
      </c>
      <c r="AK361" s="1">
        <v>-1.277</v>
      </c>
      <c r="AY361" s="2">
        <f>HYPERLINK("https://vdatum.noaa.gov/vdatumweb/api/convert?s_x=-93.931&amp;s_y=29.86708&amp;s_z=0.0&amp;region=contiguous&amp;s_h_frame=NAD83_2011&amp;s_coor=geo&amp;s_v_frame=NAVD88&amp;s_v_unit=us_ft&amp;t_h_frame=NAD83_2011&amp;t_coor=geo&amp;t_v_frame=MLLW&amp;t_v_unit=us_ft", "NAVD88 to MLLW")</f>
        <v>0</v>
      </c>
      <c r="AZ361" s="2">
        <f>HYPERLINK("https://vdatum.noaa.gov/vdatumweb/api/convert?s_x=-93.931&amp;s_y=29.86708&amp;s_z=0.0&amp;region=contiguous&amp;s_h_frame=NAD83_2011&amp;s_coor=geo&amp;s_v_frame=NAVD88&amp;s_v_unit=us_ft&amp;t_h_frame=NAD83_2011&amp;t_coor=geo&amp;t_v_frame=MHHW&amp;t_v_unit=us_ft", "NAVD88 to MHHW")</f>
        <v>0</v>
      </c>
    </row>
    <row r="362" spans="1:52">
      <c r="A362" s="1" t="s">
        <v>386</v>
      </c>
      <c r="B362" s="1" t="s">
        <v>629</v>
      </c>
      <c r="C362" s="1" t="s">
        <v>648</v>
      </c>
      <c r="D362" s="1" t="s">
        <v>654</v>
      </c>
      <c r="E362" s="1" t="s">
        <v>758</v>
      </c>
      <c r="F362" s="1" t="s">
        <v>846</v>
      </c>
      <c r="G362" s="1" t="s">
        <v>856</v>
      </c>
      <c r="L362" s="1">
        <v>-93.8817</v>
      </c>
      <c r="M362" s="1">
        <v>29.98</v>
      </c>
      <c r="N362" s="1">
        <v>8770520</v>
      </c>
      <c r="O362" s="1" t="s">
        <v>860</v>
      </c>
      <c r="P362" s="1" t="s">
        <v>866</v>
      </c>
      <c r="Q362" s="2">
        <f>HYPERLINK("https://tidesandcurrents.noaa.gov/stationhome.html?id=8770520", "Station Info")</f>
        <v>0</v>
      </c>
      <c r="R362" s="2">
        <f>HYPERLINK("https://tidesandcurrents.noaa.gov/datums.html?datum=MLLW&amp;units=0&amp;epoch=0&amp;id=8770520", "Datum Info")</f>
        <v>0</v>
      </c>
      <c r="S362" s="2">
        <f>HYPERLINK("https://api.tidesandcurrents.noaa.gov/mdapi/prod/webapi/stations/8770520.json", "More Info")</f>
        <v>0</v>
      </c>
      <c r="T362" s="1">
        <v>9129855</v>
      </c>
      <c r="U362" s="1">
        <v>0</v>
      </c>
      <c r="V362" s="1" t="s">
        <v>869</v>
      </c>
      <c r="W362" s="1" t="s">
        <v>874</v>
      </c>
      <c r="X362" s="1" t="s">
        <v>886</v>
      </c>
      <c r="Y362" s="1">
        <v>0.98</v>
      </c>
      <c r="Z362" s="1">
        <v>0.93</v>
      </c>
      <c r="AA362" s="1">
        <v>0.53</v>
      </c>
      <c r="AB362" s="1">
        <v>0.55</v>
      </c>
      <c r="AC362" s="1">
        <v>0.49</v>
      </c>
      <c r="AD362" s="1">
        <v>0.12</v>
      </c>
      <c r="AE362" s="1">
        <v>0</v>
      </c>
      <c r="AF362" s="1">
        <v>0.42</v>
      </c>
      <c r="AG362" s="1">
        <v>-3.84</v>
      </c>
      <c r="AH362" s="1" t="s">
        <v>1165</v>
      </c>
      <c r="AI362" s="1" t="s">
        <v>1517</v>
      </c>
      <c r="AJ362" s="1">
        <v>-0.498</v>
      </c>
      <c r="AK362" s="1">
        <v>-1.43</v>
      </c>
      <c r="AY362" s="2">
        <f>HYPERLINK("https://vdatum.noaa.gov/vdatumweb/api/convert?s_x=-93.8817&amp;s_y=29.98&amp;s_z=0.0&amp;region=contiguous&amp;s_h_frame=NAD83_2011&amp;s_coor=geo&amp;s_v_frame=NAVD88&amp;s_v_unit=us_ft&amp;t_h_frame=NAD83_2011&amp;t_coor=geo&amp;t_v_frame=MLLW&amp;t_v_unit=us_ft", "NAVD88 to MLLW")</f>
        <v>0</v>
      </c>
      <c r="AZ362" s="2">
        <f>HYPERLINK("https://vdatum.noaa.gov/vdatumweb/api/convert?s_x=-93.8817&amp;s_y=29.98&amp;s_z=0.0&amp;region=contiguous&amp;s_h_frame=NAD83_2011&amp;s_coor=geo&amp;s_v_frame=NAVD88&amp;s_v_unit=us_ft&amp;t_h_frame=NAD83_2011&amp;t_coor=geo&amp;t_v_frame=MHHW&amp;t_v_unit=us_ft", "NAVD88 to MHHW")</f>
        <v>0</v>
      </c>
    </row>
    <row r="363" spans="1:52">
      <c r="A363" s="1" t="s">
        <v>387</v>
      </c>
      <c r="B363" s="1" t="s">
        <v>629</v>
      </c>
      <c r="C363" s="1" t="s">
        <v>648</v>
      </c>
      <c r="D363" s="1" t="s">
        <v>654</v>
      </c>
      <c r="L363" s="1">
        <v>-93.87009999999999</v>
      </c>
      <c r="M363" s="1">
        <v>29.7284</v>
      </c>
      <c r="N363" s="1">
        <v>8770570</v>
      </c>
      <c r="O363" s="1" t="s">
        <v>860</v>
      </c>
      <c r="P363" s="1" t="s">
        <v>866</v>
      </c>
      <c r="Q363" s="2">
        <f>HYPERLINK("https://tidesandcurrents.noaa.gov/stationhome.html?id=8770570", "Station Info")</f>
        <v>0</v>
      </c>
      <c r="R363" s="2">
        <f>HYPERLINK("https://tidesandcurrents.noaa.gov/datums.html?datum=MLLW&amp;units=0&amp;epoch=0&amp;id=8770570", "Datum Info")</f>
        <v>0</v>
      </c>
      <c r="S363" s="2">
        <f>HYPERLINK("https://api.tidesandcurrents.noaa.gov/mdapi/prod/webapi/stations/8770570.json", "More Info")</f>
        <v>0</v>
      </c>
      <c r="T363" s="1">
        <v>5247083</v>
      </c>
      <c r="U363" s="1">
        <v>0.423</v>
      </c>
      <c r="V363" s="1" t="s">
        <v>869</v>
      </c>
      <c r="W363" s="1" t="s">
        <v>874</v>
      </c>
      <c r="X363" s="1" t="s">
        <v>886</v>
      </c>
      <c r="Y363" s="1">
        <v>1.61</v>
      </c>
      <c r="Z363" s="1">
        <v>1.5</v>
      </c>
      <c r="AA363" s="1">
        <v>0.96</v>
      </c>
      <c r="AB363" s="1">
        <v>0.97</v>
      </c>
      <c r="AC363" s="1">
        <v>0.8</v>
      </c>
      <c r="AD363" s="1">
        <v>0.41</v>
      </c>
      <c r="AE363" s="1">
        <v>0</v>
      </c>
      <c r="AF363" s="1" t="s">
        <v>1029</v>
      </c>
      <c r="AG363" s="1">
        <v>-3.44</v>
      </c>
      <c r="AH363" s="1" t="s">
        <v>1254</v>
      </c>
      <c r="AI363" s="1" t="s">
        <v>1518</v>
      </c>
      <c r="AJ363" s="1">
        <v>-0.427</v>
      </c>
      <c r="AK363" s="1">
        <v>-2.025</v>
      </c>
      <c r="AY363" s="2">
        <f>HYPERLINK("https://vdatum.noaa.gov/vdatumweb/api/convert?s_x=-93.8701&amp;s_y=29.7284&amp;s_z=0.0&amp;region=contiguous&amp;s_h_frame=NAD83_2011&amp;s_coor=geo&amp;s_v_frame=NAVD88&amp;s_v_unit=us_ft&amp;t_h_frame=NAD83_2011&amp;t_coor=geo&amp;t_v_frame=MLLW&amp;t_v_unit=us_ft", "NAVD88 to MLLW")</f>
        <v>0</v>
      </c>
      <c r="AZ363" s="2">
        <f>HYPERLINK("https://vdatum.noaa.gov/vdatumweb/api/convert?s_x=-93.8701&amp;s_y=29.7284&amp;s_z=0.0&amp;region=contiguous&amp;s_h_frame=NAD83_2011&amp;s_coor=geo&amp;s_v_frame=NAVD88&amp;s_v_unit=us_ft&amp;t_h_frame=NAD83_2011&amp;t_coor=geo&amp;t_v_frame=MHHW&amp;t_v_unit=us_ft", "NAVD88 to MHHW")</f>
        <v>0</v>
      </c>
    </row>
    <row r="364" spans="1:52">
      <c r="A364" s="1" t="s">
        <v>388</v>
      </c>
      <c r="B364" s="1" t="s">
        <v>629</v>
      </c>
      <c r="C364" s="1" t="s">
        <v>648</v>
      </c>
      <c r="D364" s="1" t="s">
        <v>654</v>
      </c>
      <c r="E364" s="1" t="s">
        <v>758</v>
      </c>
      <c r="F364" s="1" t="s">
        <v>846</v>
      </c>
      <c r="G364" s="1" t="s">
        <v>856</v>
      </c>
      <c r="L364" s="1">
        <v>-93.8419</v>
      </c>
      <c r="M364" s="1">
        <v>29.68939</v>
      </c>
      <c r="N364" s="1">
        <v>8770822</v>
      </c>
      <c r="O364" s="1" t="s">
        <v>860</v>
      </c>
      <c r="P364" s="1" t="s">
        <v>866</v>
      </c>
      <c r="Q364" s="2">
        <f>HYPERLINK("https://tidesandcurrents.noaa.gov/stationhome.html?id=8770822", "Station Info")</f>
        <v>0</v>
      </c>
      <c r="R364" s="2">
        <f>HYPERLINK("https://tidesandcurrents.noaa.gov/datums.html?datum=MLLW&amp;units=0&amp;epoch=0&amp;id=8770822", "Datum Info")</f>
        <v>0</v>
      </c>
      <c r="S364" s="2">
        <f>HYPERLINK("https://api.tidesandcurrents.noaa.gov/mdapi/prod/webapi/stations/8770822.json", "More Info")</f>
        <v>0</v>
      </c>
      <c r="T364" s="1">
        <v>3551217</v>
      </c>
      <c r="U364" s="1">
        <v>0</v>
      </c>
      <c r="V364" s="1" t="s">
        <v>869</v>
      </c>
      <c r="W364" s="1" t="s">
        <v>874</v>
      </c>
      <c r="X364" s="1" t="s">
        <v>886</v>
      </c>
      <c r="Y364" s="1">
        <v>1.93</v>
      </c>
      <c r="Z364" s="1">
        <v>1.81</v>
      </c>
      <c r="AA364" s="1">
        <v>1.15</v>
      </c>
      <c r="AB364" s="1">
        <v>1.15</v>
      </c>
      <c r="AC364" s="1">
        <v>0.96</v>
      </c>
      <c r="AD364" s="1">
        <v>0.48</v>
      </c>
      <c r="AE364" s="1">
        <v>0</v>
      </c>
      <c r="AF364" s="1">
        <v>1.12</v>
      </c>
      <c r="AG364" s="1">
        <v>-3.18</v>
      </c>
      <c r="AH364" s="1" t="s">
        <v>1248</v>
      </c>
      <c r="AI364" s="1" t="s">
        <v>1519</v>
      </c>
      <c r="AJ364" s="1">
        <v>0.357</v>
      </c>
      <c r="AK364" s="1">
        <v>-1.659</v>
      </c>
      <c r="AY364" s="2">
        <f>HYPERLINK("https://vdatum.noaa.gov/vdatumweb/api/convert?s_x=-93.8419&amp;s_y=29.68939&amp;s_z=0.0&amp;region=contiguous&amp;s_h_frame=NAD83_2011&amp;s_coor=geo&amp;s_v_frame=NAVD88&amp;s_v_unit=us_ft&amp;t_h_frame=NAD83_2011&amp;t_coor=geo&amp;t_v_frame=MLLW&amp;t_v_unit=us_ft", "NAVD88 to MLLW")</f>
        <v>0</v>
      </c>
      <c r="AZ364" s="2">
        <f>HYPERLINK("https://vdatum.noaa.gov/vdatumweb/api/convert?s_x=-93.8419&amp;s_y=29.68939&amp;s_z=0.0&amp;region=contiguous&amp;s_h_frame=NAD83_2011&amp;s_coor=geo&amp;s_v_frame=NAVD88&amp;s_v_unit=us_ft&amp;t_h_frame=NAD83_2011&amp;t_coor=geo&amp;t_v_frame=MHHW&amp;t_v_unit=us_ft", "NAVD88 to MHHW")</f>
        <v>0</v>
      </c>
    </row>
    <row r="365" spans="1:52">
      <c r="A365" s="1" t="s">
        <v>389</v>
      </c>
      <c r="B365" s="1" t="s">
        <v>629</v>
      </c>
      <c r="C365" s="1" t="s">
        <v>649</v>
      </c>
      <c r="D365" s="1" t="s">
        <v>654</v>
      </c>
      <c r="E365" s="1" t="s">
        <v>757</v>
      </c>
      <c r="F365" s="1" t="s">
        <v>848</v>
      </c>
      <c r="G365" s="1" t="s">
        <v>856</v>
      </c>
      <c r="L365" s="1">
        <v>-93.25</v>
      </c>
      <c r="M365" s="1">
        <v>30.34</v>
      </c>
      <c r="N365" s="1" t="s">
        <v>859</v>
      </c>
      <c r="O365" s="1" t="s">
        <v>861</v>
      </c>
      <c r="P365" s="1" t="s">
        <v>859</v>
      </c>
      <c r="T365" s="1">
        <v>8242436</v>
      </c>
      <c r="U365" s="1">
        <v>0</v>
      </c>
      <c r="V365" s="1" t="s">
        <v>869</v>
      </c>
      <c r="W365" s="1" t="s">
        <v>874</v>
      </c>
      <c r="AJ365" s="1">
        <v>-999999</v>
      </c>
      <c r="AK365" s="1">
        <v>-999999</v>
      </c>
      <c r="AY365" s="2">
        <f>HYPERLINK("https://vdatum.noaa.gov/vdatumweb/api/convert?s_x=-93.25&amp;s_y=30.34&amp;s_z=0.0&amp;region=contiguous&amp;s_h_frame=NAD83_2011&amp;s_coor=geo&amp;s_v_frame=NAVD88&amp;s_v_unit=us_ft&amp;t_h_frame=NAD83_2011&amp;t_coor=geo&amp;t_v_frame=MLLW&amp;t_v_unit=us_ft", "Missing")</f>
        <v>0</v>
      </c>
      <c r="AZ365" s="2">
        <f>HYPERLINK("https://vdatum.noaa.gov/vdatumweb/api/convert?s_x=-93.25&amp;s_y=30.34&amp;s_z=0.0&amp;region=contiguous&amp;s_h_frame=NAD83_2011&amp;s_coor=geo&amp;s_v_frame=NAVD88&amp;s_v_unit=us_ft&amp;t_h_frame=NAD83_2011&amp;t_coor=geo&amp;t_v_frame=MHHW&amp;t_v_unit=us_ft", "Missing")</f>
        <v>0</v>
      </c>
    </row>
    <row r="366" spans="1:52">
      <c r="A366" s="1" t="s">
        <v>390</v>
      </c>
      <c r="B366" s="1" t="s">
        <v>629</v>
      </c>
      <c r="C366" s="1" t="s">
        <v>649</v>
      </c>
      <c r="D366" s="1" t="s">
        <v>654</v>
      </c>
      <c r="E366" s="1" t="s">
        <v>757</v>
      </c>
      <c r="F366" s="1" t="s">
        <v>848</v>
      </c>
      <c r="G366" s="1" t="s">
        <v>856</v>
      </c>
      <c r="L366" s="1">
        <v>-93.14</v>
      </c>
      <c r="M366" s="1">
        <v>30.29</v>
      </c>
      <c r="N366" s="1" t="s">
        <v>859</v>
      </c>
      <c r="O366" s="1" t="s">
        <v>861</v>
      </c>
      <c r="P366" s="1" t="s">
        <v>859</v>
      </c>
      <c r="T366" s="1">
        <v>8238676</v>
      </c>
      <c r="U366" s="1">
        <v>0</v>
      </c>
      <c r="V366" s="1" t="s">
        <v>869</v>
      </c>
      <c r="W366" s="1" t="s">
        <v>874</v>
      </c>
      <c r="AJ366" s="1">
        <v>0.471</v>
      </c>
      <c r="AK366" s="1">
        <v>-0.982</v>
      </c>
      <c r="AY366" s="2">
        <f>HYPERLINK("https://vdatum.noaa.gov/vdatumweb/api/convert?s_x=-93.14&amp;s_y=30.29&amp;s_z=0.0&amp;region=contiguous&amp;s_h_frame=NAD83_2011&amp;s_coor=geo&amp;s_v_frame=NAVD88&amp;s_v_unit=us_ft&amp;t_h_frame=NAD83_2011&amp;t_coor=geo&amp;t_v_frame=MLLW&amp;t_v_unit=us_ft", "NAVD88 to MLLW")</f>
        <v>0</v>
      </c>
      <c r="AZ366" s="2">
        <f>HYPERLINK("https://vdatum.noaa.gov/vdatumweb/api/convert?s_x=-93.14&amp;s_y=30.29&amp;s_z=0.0&amp;region=contiguous&amp;s_h_frame=NAD83_2011&amp;s_coor=geo&amp;s_v_frame=NAVD88&amp;s_v_unit=us_ft&amp;t_h_frame=NAD83_2011&amp;t_coor=geo&amp;t_v_frame=MHHW&amp;t_v_unit=us_ft", "NAVD88 to MHHW")</f>
        <v>0</v>
      </c>
    </row>
    <row r="367" spans="1:52">
      <c r="A367" s="1" t="s">
        <v>391</v>
      </c>
      <c r="B367" s="1" t="s">
        <v>629</v>
      </c>
      <c r="C367" s="1" t="s">
        <v>649</v>
      </c>
      <c r="D367" s="1" t="s">
        <v>654</v>
      </c>
      <c r="E367" s="1" t="s">
        <v>759</v>
      </c>
      <c r="F367" s="1" t="s">
        <v>848</v>
      </c>
      <c r="G367" s="1" t="s">
        <v>856</v>
      </c>
      <c r="L367" s="1">
        <v>-91.76139000000001</v>
      </c>
      <c r="M367" s="1">
        <v>30.56889</v>
      </c>
      <c r="N367" s="1" t="s">
        <v>859</v>
      </c>
      <c r="O367" s="1" t="s">
        <v>861</v>
      </c>
      <c r="P367" s="1" t="s">
        <v>859</v>
      </c>
      <c r="T367" s="1">
        <v>9958381</v>
      </c>
      <c r="U367" s="1">
        <v>0</v>
      </c>
      <c r="V367" s="1" t="s">
        <v>869</v>
      </c>
      <c r="W367" s="1" t="s">
        <v>874</v>
      </c>
      <c r="AJ367" s="1">
        <v>-999999</v>
      </c>
      <c r="AK367" s="1">
        <v>-999999</v>
      </c>
      <c r="AY367" s="2">
        <f>HYPERLINK("https://vdatum.noaa.gov/vdatumweb/api/convert?s_x=-91.76139&amp;s_y=30.56889&amp;s_z=0.0&amp;region=contiguous&amp;s_h_frame=NAD83_2011&amp;s_coor=geo&amp;s_v_frame=NAVD88&amp;s_v_unit=us_ft&amp;t_h_frame=NAD83_2011&amp;t_coor=geo&amp;t_v_frame=MLLW&amp;t_v_unit=us_ft", "Missing")</f>
        <v>0</v>
      </c>
      <c r="AZ367" s="2">
        <f>HYPERLINK("https://vdatum.noaa.gov/vdatumweb/api/convert?s_x=-91.76139&amp;s_y=30.56889&amp;s_z=0.0&amp;region=contiguous&amp;s_h_frame=NAD83_2011&amp;s_coor=geo&amp;s_v_frame=NAVD88&amp;s_v_unit=us_ft&amp;t_h_frame=NAD83_2011&amp;t_coor=geo&amp;t_v_frame=MHHW&amp;t_v_unit=us_ft", "Missing")</f>
        <v>0</v>
      </c>
    </row>
    <row r="368" spans="1:52">
      <c r="A368" s="1" t="s">
        <v>392</v>
      </c>
      <c r="B368" s="1" t="s">
        <v>629</v>
      </c>
      <c r="C368" s="1" t="s">
        <v>649</v>
      </c>
      <c r="D368" s="1" t="s">
        <v>654</v>
      </c>
      <c r="E368" s="1" t="s">
        <v>757</v>
      </c>
      <c r="F368" s="1" t="s">
        <v>848</v>
      </c>
      <c r="G368" s="1" t="s">
        <v>856</v>
      </c>
      <c r="L368" s="1">
        <v>-93.21805999999999</v>
      </c>
      <c r="M368" s="1">
        <v>30.25361</v>
      </c>
      <c r="N368" s="1" t="s">
        <v>859</v>
      </c>
      <c r="O368" s="1" t="s">
        <v>861</v>
      </c>
      <c r="P368" s="1" t="s">
        <v>859</v>
      </c>
      <c r="T368" s="1">
        <v>8238676</v>
      </c>
      <c r="U368" s="1">
        <v>0</v>
      </c>
      <c r="V368" s="1" t="s">
        <v>869</v>
      </c>
      <c r="W368" s="1" t="s">
        <v>874</v>
      </c>
      <c r="AJ368" s="1">
        <v>0.427</v>
      </c>
      <c r="AK368" s="1">
        <v>-0.9340000000000001</v>
      </c>
      <c r="AY368" s="2">
        <f>HYPERLINK("https://vdatum.noaa.gov/vdatumweb/api/convert?s_x=-93.21806&amp;s_y=30.25361&amp;s_z=0.0&amp;region=contiguous&amp;s_h_frame=NAD83_2011&amp;s_coor=geo&amp;s_v_frame=NAVD88&amp;s_v_unit=us_ft&amp;t_h_frame=NAD83_2011&amp;t_coor=geo&amp;t_v_frame=MLLW&amp;t_v_unit=us_ft", "NAVD88 to MLLW")</f>
        <v>0</v>
      </c>
      <c r="AZ368" s="2">
        <f>HYPERLINK("https://vdatum.noaa.gov/vdatumweb/api/convert?s_x=-93.21806&amp;s_y=30.25361&amp;s_z=0.0&amp;region=contiguous&amp;s_h_frame=NAD83_2011&amp;s_coor=geo&amp;s_v_frame=NAVD88&amp;s_v_unit=us_ft&amp;t_h_frame=NAD83_2011&amp;t_coor=geo&amp;t_v_frame=MHHW&amp;t_v_unit=us_ft", "NAVD88 to MHHW")</f>
        <v>0</v>
      </c>
    </row>
    <row r="369" spans="1:52">
      <c r="A369" s="1" t="s">
        <v>393</v>
      </c>
      <c r="B369" s="1" t="s">
        <v>629</v>
      </c>
      <c r="C369" s="1" t="s">
        <v>649</v>
      </c>
      <c r="D369" s="1" t="s">
        <v>654</v>
      </c>
      <c r="E369" s="1" t="s">
        <v>757</v>
      </c>
      <c r="F369" s="1" t="s">
        <v>848</v>
      </c>
      <c r="G369" s="1" t="s">
        <v>856</v>
      </c>
      <c r="L369" s="1">
        <v>-93.26278000000001</v>
      </c>
      <c r="M369" s="1">
        <v>30.29417</v>
      </c>
      <c r="N369" s="1" t="s">
        <v>859</v>
      </c>
      <c r="O369" s="1" t="s">
        <v>861</v>
      </c>
      <c r="P369" s="1" t="s">
        <v>859</v>
      </c>
      <c r="T369" s="1">
        <v>6522467</v>
      </c>
      <c r="U369" s="1">
        <v>0</v>
      </c>
      <c r="V369" s="1" t="s">
        <v>869</v>
      </c>
      <c r="W369" s="1" t="s">
        <v>874</v>
      </c>
      <c r="AJ369" s="1">
        <v>-999999</v>
      </c>
      <c r="AK369" s="1">
        <v>-999999</v>
      </c>
      <c r="AY369" s="2">
        <f>HYPERLINK("https://vdatum.noaa.gov/vdatumweb/api/convert?s_x=-93.26278&amp;s_y=30.29417&amp;s_z=0.0&amp;region=contiguous&amp;s_h_frame=NAD83_2011&amp;s_coor=geo&amp;s_v_frame=NAVD88&amp;s_v_unit=us_ft&amp;t_h_frame=NAD83_2011&amp;t_coor=geo&amp;t_v_frame=MLLW&amp;t_v_unit=us_ft", "Missing")</f>
        <v>0</v>
      </c>
      <c r="AZ369" s="2">
        <f>HYPERLINK("https://vdatum.noaa.gov/vdatumweb/api/convert?s_x=-93.26278&amp;s_y=30.29417&amp;s_z=0.0&amp;region=contiguous&amp;s_h_frame=NAD83_2011&amp;s_coor=geo&amp;s_v_frame=NAVD88&amp;s_v_unit=us_ft&amp;t_h_frame=NAD83_2011&amp;t_coor=geo&amp;t_v_frame=MHHW&amp;t_v_unit=us_ft", "Missing")</f>
        <v>0</v>
      </c>
    </row>
    <row r="370" spans="1:52">
      <c r="A370" s="1" t="s">
        <v>394</v>
      </c>
      <c r="B370" s="1" t="s">
        <v>629</v>
      </c>
      <c r="C370" s="1" t="s">
        <v>649</v>
      </c>
      <c r="D370" s="1" t="s">
        <v>654</v>
      </c>
      <c r="E370" s="1" t="s">
        <v>742</v>
      </c>
      <c r="F370" s="1" t="s">
        <v>848</v>
      </c>
      <c r="G370" s="1" t="s">
        <v>856</v>
      </c>
      <c r="L370" s="1">
        <v>-92.78100000000001</v>
      </c>
      <c r="M370" s="1">
        <v>30.0003</v>
      </c>
      <c r="N370" s="1" t="s">
        <v>859</v>
      </c>
      <c r="O370" s="1" t="s">
        <v>861</v>
      </c>
      <c r="P370" s="1" t="s">
        <v>859</v>
      </c>
      <c r="T370" s="1">
        <v>9946075</v>
      </c>
      <c r="U370" s="1">
        <v>0</v>
      </c>
      <c r="V370" s="1" t="s">
        <v>869</v>
      </c>
      <c r="W370" s="1" t="s">
        <v>874</v>
      </c>
      <c r="AJ370" s="1">
        <v>-999999</v>
      </c>
      <c r="AK370" s="1">
        <v>-999999</v>
      </c>
      <c r="AY370" s="2">
        <f>HYPERLINK("https://vdatum.noaa.gov/vdatumweb/api/convert?s_x=-92.781&amp;s_y=30.0003&amp;s_z=0.0&amp;region=contiguous&amp;s_h_frame=NAD83_2011&amp;s_coor=geo&amp;s_v_frame=NAVD88&amp;s_v_unit=us_ft&amp;t_h_frame=NAD83_2011&amp;t_coor=geo&amp;t_v_frame=MLLW&amp;t_v_unit=us_ft", "Missing")</f>
        <v>0</v>
      </c>
      <c r="AZ370" s="2">
        <f>HYPERLINK("https://vdatum.noaa.gov/vdatumweb/api/convert?s_x=-92.781&amp;s_y=30.0003&amp;s_z=0.0&amp;region=contiguous&amp;s_h_frame=NAD83_2011&amp;s_coor=geo&amp;s_v_frame=NAVD88&amp;s_v_unit=us_ft&amp;t_h_frame=NAD83_2011&amp;t_coor=geo&amp;t_v_frame=MHHW&amp;t_v_unit=us_ft", "Missing")</f>
        <v>0</v>
      </c>
    </row>
    <row r="371" spans="1:52">
      <c r="A371" s="1" t="s">
        <v>395</v>
      </c>
      <c r="B371" s="1" t="s">
        <v>629</v>
      </c>
      <c r="C371" s="1" t="s">
        <v>649</v>
      </c>
      <c r="D371" s="1" t="s">
        <v>654</v>
      </c>
      <c r="E371" s="1" t="s">
        <v>755</v>
      </c>
      <c r="F371" s="1" t="s">
        <v>848</v>
      </c>
      <c r="G371" s="1" t="s">
        <v>856</v>
      </c>
      <c r="L371" s="1">
        <v>-91.1872</v>
      </c>
      <c r="M371" s="1">
        <v>29.7194</v>
      </c>
      <c r="N371" s="1" t="s">
        <v>859</v>
      </c>
      <c r="O371" s="1" t="s">
        <v>861</v>
      </c>
      <c r="P371" s="1" t="s">
        <v>859</v>
      </c>
      <c r="T371" s="1">
        <v>10322050</v>
      </c>
      <c r="U371" s="1">
        <v>0</v>
      </c>
      <c r="V371" s="1" t="s">
        <v>869</v>
      </c>
      <c r="W371" s="1" t="s">
        <v>874</v>
      </c>
      <c r="AJ371" s="1">
        <v>-999999</v>
      </c>
      <c r="AK371" s="1">
        <v>-999999</v>
      </c>
      <c r="AY371" s="2">
        <f>HYPERLINK("https://vdatum.noaa.gov/vdatumweb/api/convert?s_x=-91.1872&amp;s_y=29.7194&amp;s_z=0.0&amp;region=contiguous&amp;s_h_frame=NAD83_2011&amp;s_coor=geo&amp;s_v_frame=NAVD88&amp;s_v_unit=us_ft&amp;t_h_frame=NAD83_2011&amp;t_coor=geo&amp;t_v_frame=MLLW&amp;t_v_unit=us_ft", "Missing")</f>
        <v>0</v>
      </c>
      <c r="AZ371" s="2">
        <f>HYPERLINK("https://vdatum.noaa.gov/vdatumweb/api/convert?s_x=-91.1872&amp;s_y=29.7194&amp;s_z=0.0&amp;region=contiguous&amp;s_h_frame=NAD83_2011&amp;s_coor=geo&amp;s_v_frame=NAVD88&amp;s_v_unit=us_ft&amp;t_h_frame=NAD83_2011&amp;t_coor=geo&amp;t_v_frame=MHHW&amp;t_v_unit=us_ft", "Missing")</f>
        <v>0</v>
      </c>
    </row>
    <row r="372" spans="1:52">
      <c r="A372" s="1" t="s">
        <v>396</v>
      </c>
      <c r="B372" s="1" t="s">
        <v>629</v>
      </c>
      <c r="C372" s="1" t="s">
        <v>649</v>
      </c>
      <c r="D372" s="1" t="s">
        <v>654</v>
      </c>
      <c r="E372" s="1" t="s">
        <v>757</v>
      </c>
      <c r="F372" s="1" t="s">
        <v>848</v>
      </c>
      <c r="G372" s="1" t="s">
        <v>856</v>
      </c>
      <c r="J372" s="1" t="s">
        <v>1976</v>
      </c>
      <c r="L372" s="1">
        <v>-93.24722</v>
      </c>
      <c r="M372" s="1">
        <v>30.23694</v>
      </c>
      <c r="N372" s="1" t="s">
        <v>859</v>
      </c>
      <c r="O372" s="1" t="s">
        <v>861</v>
      </c>
      <c r="P372" s="1" t="s">
        <v>859</v>
      </c>
      <c r="T372" s="1">
        <v>8238654</v>
      </c>
      <c r="U372" s="1">
        <v>0</v>
      </c>
      <c r="V372" s="1" t="s">
        <v>869</v>
      </c>
      <c r="W372" s="1" t="s">
        <v>874</v>
      </c>
      <c r="AJ372" s="1">
        <v>0.405</v>
      </c>
      <c r="AK372" s="1">
        <v>-0.9330000000000001</v>
      </c>
      <c r="AY372" s="2">
        <f>HYPERLINK("https://vdatum.noaa.gov/vdatumweb/api/convert?s_x=-93.24722&amp;s_y=30.23694&amp;s_z=0.0&amp;region=contiguous&amp;s_h_frame=NAD83_2011&amp;s_coor=geo&amp;s_v_frame=NAVD88&amp;s_v_unit=us_ft&amp;t_h_frame=NAD83_2011&amp;t_coor=geo&amp;t_v_frame=MLLW&amp;t_v_unit=us_ft", "NAVD88 to MLLW")</f>
        <v>0</v>
      </c>
      <c r="AZ372" s="2">
        <f>HYPERLINK("https://vdatum.noaa.gov/vdatumweb/api/convert?s_x=-93.24722&amp;s_y=30.23694&amp;s_z=0.0&amp;region=contiguous&amp;s_h_frame=NAD83_2011&amp;s_coor=geo&amp;s_v_frame=NAVD88&amp;s_v_unit=us_ft&amp;t_h_frame=NAD83_2011&amp;t_coor=geo&amp;t_v_frame=MHHW&amp;t_v_unit=us_ft", "NAVD88 to MHHW")</f>
        <v>0</v>
      </c>
    </row>
    <row r="373" spans="1:52">
      <c r="A373" s="1" t="s">
        <v>397</v>
      </c>
      <c r="B373" s="1" t="s">
        <v>629</v>
      </c>
      <c r="C373" s="1" t="s">
        <v>649</v>
      </c>
      <c r="D373" s="1" t="s">
        <v>654</v>
      </c>
      <c r="E373" s="1" t="s">
        <v>760</v>
      </c>
      <c r="F373" s="1" t="s">
        <v>848</v>
      </c>
      <c r="G373" s="1" t="s">
        <v>856</v>
      </c>
      <c r="J373" s="1" t="s">
        <v>1977</v>
      </c>
      <c r="L373" s="1">
        <v>-91.98389</v>
      </c>
      <c r="M373" s="1">
        <v>30.27167</v>
      </c>
      <c r="N373" s="1" t="s">
        <v>859</v>
      </c>
      <c r="O373" s="1" t="s">
        <v>861</v>
      </c>
      <c r="P373" s="1" t="s">
        <v>859</v>
      </c>
      <c r="T373" s="1">
        <v>10288191</v>
      </c>
      <c r="U373" s="1">
        <v>0</v>
      </c>
      <c r="V373" s="1" t="s">
        <v>869</v>
      </c>
      <c r="W373" s="1" t="s">
        <v>874</v>
      </c>
      <c r="AJ373" s="1">
        <v>-999999</v>
      </c>
      <c r="AK373" s="1">
        <v>-999999</v>
      </c>
      <c r="AY373" s="2">
        <f>HYPERLINK("https://vdatum.noaa.gov/vdatumweb/api/convert?s_x=-91.98389&amp;s_y=30.27167&amp;s_z=0.0&amp;region=contiguous&amp;s_h_frame=NAD83_2011&amp;s_coor=geo&amp;s_v_frame=NAVD88&amp;s_v_unit=us_ft&amp;t_h_frame=NAD83_2011&amp;t_coor=geo&amp;t_v_frame=MLLW&amp;t_v_unit=us_ft", "Missing")</f>
        <v>0</v>
      </c>
      <c r="AZ373" s="2">
        <f>HYPERLINK("https://vdatum.noaa.gov/vdatumweb/api/convert?s_x=-91.98389&amp;s_y=30.27167&amp;s_z=0.0&amp;region=contiguous&amp;s_h_frame=NAD83_2011&amp;s_coor=geo&amp;s_v_frame=NAVD88&amp;s_v_unit=us_ft&amp;t_h_frame=NAD83_2011&amp;t_coor=geo&amp;t_v_frame=MHHW&amp;t_v_unit=us_ft", "Missing")</f>
        <v>0</v>
      </c>
    </row>
    <row r="374" spans="1:52">
      <c r="A374" s="1" t="s">
        <v>398</v>
      </c>
      <c r="B374" s="1" t="s">
        <v>629</v>
      </c>
      <c r="C374" s="1" t="s">
        <v>649</v>
      </c>
      <c r="D374" s="1" t="s">
        <v>654</v>
      </c>
      <c r="E374" s="1" t="s">
        <v>761</v>
      </c>
      <c r="F374" s="1" t="s">
        <v>848</v>
      </c>
      <c r="G374" s="1" t="s">
        <v>856</v>
      </c>
      <c r="J374" s="1" t="s">
        <v>1978</v>
      </c>
      <c r="L374" s="1">
        <v>-91.09971632</v>
      </c>
      <c r="M374" s="1">
        <v>29.66832801</v>
      </c>
      <c r="N374" s="1" t="s">
        <v>2234</v>
      </c>
      <c r="O374" s="1" t="s">
        <v>861</v>
      </c>
      <c r="P374" s="1" t="s">
        <v>867</v>
      </c>
      <c r="Q374" s="2">
        <f>HYPERLINK("https://waterdata.usgs.gov/nwis/nwismap/?site_no=073814675&amp;agency_cd=USGS", "Station Info")</f>
        <v>0</v>
      </c>
      <c r="R374" s="2">
        <f>HYPERLINK("https://waterservices.usgs.gov/nwis/site/?site=073814675&amp;format=rdb", "Datum Info")</f>
        <v>0</v>
      </c>
      <c r="T374" s="1">
        <v>10236024</v>
      </c>
      <c r="U374" s="1">
        <v>-0.57</v>
      </c>
      <c r="V374" s="1" t="s">
        <v>869</v>
      </c>
      <c r="W374" s="1" t="s">
        <v>874</v>
      </c>
      <c r="X374" s="1" t="s">
        <v>887</v>
      </c>
      <c r="AF374" s="1" t="s">
        <v>1030</v>
      </c>
      <c r="AH374" s="1" t="s">
        <v>1255</v>
      </c>
      <c r="AJ374" s="1">
        <v>-999999</v>
      </c>
      <c r="AK374" s="1">
        <v>-999999</v>
      </c>
      <c r="AY374" s="2">
        <f>HYPERLINK("https://vdatum.noaa.gov/vdatumweb/api/convert?s_x=-91.09971632&amp;s_y=29.66832801&amp;s_z=0.0&amp;region=contiguous&amp;s_h_frame=NAD83_2011&amp;s_coor=geo&amp;s_v_frame=NAVD88&amp;s_v_unit=us_ft&amp;t_h_frame=NAD83_2011&amp;t_coor=geo&amp;t_v_frame=MLLW&amp;t_v_unit=us_ft", "Missing")</f>
        <v>0</v>
      </c>
      <c r="AZ374" s="2">
        <f>HYPERLINK("https://vdatum.noaa.gov/vdatumweb/api/convert?s_x=-91.09971632&amp;s_y=29.66832801&amp;s_z=0.0&amp;region=contiguous&amp;s_h_frame=NAD83_2011&amp;s_coor=geo&amp;s_v_frame=NAVD88&amp;s_v_unit=us_ft&amp;t_h_frame=NAD83_2011&amp;t_coor=geo&amp;t_v_frame=MHHW&amp;t_v_unit=us_ft", "Missing")</f>
        <v>0</v>
      </c>
    </row>
    <row r="375" spans="1:52">
      <c r="A375" s="1" t="s">
        <v>399</v>
      </c>
      <c r="B375" s="1" t="s">
        <v>629</v>
      </c>
      <c r="C375" s="1" t="s">
        <v>649</v>
      </c>
      <c r="D375" s="1" t="s">
        <v>654</v>
      </c>
      <c r="E375" s="1" t="s">
        <v>762</v>
      </c>
      <c r="F375" s="1" t="s">
        <v>848</v>
      </c>
      <c r="G375" s="1" t="s">
        <v>856</v>
      </c>
      <c r="H375" s="1" t="s">
        <v>1832</v>
      </c>
      <c r="I375" s="1" t="s">
        <v>1860</v>
      </c>
      <c r="J375" s="1" t="s">
        <v>1979</v>
      </c>
      <c r="K375" s="1" t="s">
        <v>2131</v>
      </c>
      <c r="L375" s="1">
        <v>-91.7983333</v>
      </c>
      <c r="M375" s="1">
        <v>30.9825</v>
      </c>
      <c r="N375" s="1" t="s">
        <v>2235</v>
      </c>
      <c r="O375" s="1" t="s">
        <v>861</v>
      </c>
      <c r="P375" s="1" t="s">
        <v>867</v>
      </c>
      <c r="Q375" s="2">
        <f>HYPERLINK("https://waterdata.usgs.gov/nwis/nwismap/?site_no=07381490&amp;agency_cd=USGS", "Station Info")</f>
        <v>0</v>
      </c>
      <c r="R375" s="2">
        <f>HYPERLINK("https://waterservices.usgs.gov/nwis/site/?site=07381490&amp;format=rdb", "Datum Info")</f>
        <v>0</v>
      </c>
      <c r="T375" s="1">
        <v>3733575</v>
      </c>
      <c r="U375" s="1">
        <v>0.023</v>
      </c>
      <c r="V375" s="1" t="s">
        <v>869</v>
      </c>
      <c r="W375" s="1" t="s">
        <v>874</v>
      </c>
      <c r="AJ375" s="1">
        <v>-999999</v>
      </c>
      <c r="AK375" s="1">
        <v>-999999</v>
      </c>
      <c r="AL375" s="1" t="s">
        <v>1613</v>
      </c>
      <c r="AM375" s="1">
        <v>0</v>
      </c>
      <c r="AN375" s="1" t="s">
        <v>1673</v>
      </c>
      <c r="AO375" s="1" t="s">
        <v>1427</v>
      </c>
      <c r="AR375" s="1" t="s">
        <v>1427</v>
      </c>
      <c r="AS375" s="1">
        <v>35</v>
      </c>
      <c r="AT375" s="1">
        <v>40</v>
      </c>
      <c r="AU375" s="1">
        <v>44</v>
      </c>
      <c r="AV375" s="1">
        <v>50</v>
      </c>
      <c r="AW375" s="1" t="s">
        <v>1744</v>
      </c>
      <c r="AX375" s="2">
        <f>HYPERLINK("https://water.weather.gov/ahps2/hydrograph.php?wfo=lch&amp;gage=smml1", "AHPS Data")</f>
        <v>0</v>
      </c>
      <c r="AY375" s="2">
        <f>HYPERLINK("https://vdatum.noaa.gov/vdatumweb/api/convert?s_x=-91.7983333&amp;s_y=30.9825&amp;s_z=0.0&amp;region=contiguous&amp;s_h_frame=NAD83_2011&amp;s_coor=geo&amp;s_v_frame=NAVD88&amp;s_v_unit=us_ft&amp;t_h_frame=NAD83_2011&amp;t_coor=geo&amp;t_v_frame=MLLW&amp;t_v_unit=us_ft", "Missing")</f>
        <v>0</v>
      </c>
      <c r="AZ375" s="2">
        <f>HYPERLINK("https://vdatum.noaa.gov/vdatumweb/api/convert?s_x=-91.7983333&amp;s_y=30.9825&amp;s_z=0.0&amp;region=contiguous&amp;s_h_frame=NAD83_2011&amp;s_coor=geo&amp;s_v_frame=NAVD88&amp;s_v_unit=us_ft&amp;t_h_frame=NAD83_2011&amp;t_coor=geo&amp;t_v_frame=MHHW&amp;t_v_unit=us_ft", "Missing")</f>
        <v>0</v>
      </c>
    </row>
    <row r="376" spans="1:52">
      <c r="A376" s="1" t="s">
        <v>400</v>
      </c>
      <c r="B376" s="1" t="s">
        <v>629</v>
      </c>
      <c r="C376" s="1" t="s">
        <v>649</v>
      </c>
      <c r="D376" s="1" t="s">
        <v>654</v>
      </c>
      <c r="E376" s="1" t="s">
        <v>759</v>
      </c>
      <c r="F376" s="1" t="s">
        <v>848</v>
      </c>
      <c r="G376" s="1" t="s">
        <v>856</v>
      </c>
      <c r="L376" s="1">
        <v>-91.7362262</v>
      </c>
      <c r="M376" s="1">
        <v>30.690743</v>
      </c>
      <c r="N376" s="1" t="s">
        <v>2236</v>
      </c>
      <c r="O376" s="1" t="s">
        <v>861</v>
      </c>
      <c r="P376" s="1" t="s">
        <v>867</v>
      </c>
      <c r="Q376" s="2">
        <f>HYPERLINK("https://waterdata.usgs.gov/nwis/nwismap/?site_no=07381495&amp;agency_cd=USGS", "Station Info")</f>
        <v>0</v>
      </c>
      <c r="R376" s="2">
        <f>HYPERLINK("https://waterservices.usgs.gov/nwis/site/?site=07381495&amp;format=rdb", "Datum Info")</f>
        <v>0</v>
      </c>
      <c r="T376" s="1">
        <v>9958381</v>
      </c>
      <c r="U376" s="1">
        <v>-0.05</v>
      </c>
      <c r="V376" s="1" t="s">
        <v>869</v>
      </c>
      <c r="W376" s="1" t="s">
        <v>874</v>
      </c>
      <c r="AJ376" s="1">
        <v>-999999</v>
      </c>
      <c r="AK376" s="1">
        <v>-999999</v>
      </c>
      <c r="AY376" s="2">
        <f>HYPERLINK("https://vdatum.noaa.gov/vdatumweb/api/convert?s_x=-91.7362262&amp;s_y=30.690743&amp;s_z=0.0&amp;region=contiguous&amp;s_h_frame=NAD83_2011&amp;s_coor=geo&amp;s_v_frame=NAVD88&amp;s_v_unit=us_ft&amp;t_h_frame=NAD83_2011&amp;t_coor=geo&amp;t_v_frame=MLLW&amp;t_v_unit=us_ft", "Missing")</f>
        <v>0</v>
      </c>
      <c r="AZ376" s="2">
        <f>HYPERLINK("https://vdatum.noaa.gov/vdatumweb/api/convert?s_x=-91.7362262&amp;s_y=30.690743&amp;s_z=0.0&amp;region=contiguous&amp;s_h_frame=NAD83_2011&amp;s_coor=geo&amp;s_v_frame=NAVD88&amp;s_v_unit=us_ft&amp;t_h_frame=NAD83_2011&amp;t_coor=geo&amp;t_v_frame=MHHW&amp;t_v_unit=us_ft", "Missing")</f>
        <v>0</v>
      </c>
    </row>
    <row r="377" spans="1:52">
      <c r="A377" s="1" t="s">
        <v>401</v>
      </c>
      <c r="B377" s="1" t="s">
        <v>629</v>
      </c>
      <c r="C377" s="1" t="s">
        <v>649</v>
      </c>
      <c r="D377" s="1" t="s">
        <v>654</v>
      </c>
      <c r="E377" s="1" t="s">
        <v>763</v>
      </c>
      <c r="F377" s="1" t="s">
        <v>848</v>
      </c>
      <c r="G377" s="1" t="s">
        <v>856</v>
      </c>
      <c r="H377" s="1" t="s">
        <v>1832</v>
      </c>
      <c r="I377" s="1" t="s">
        <v>1860</v>
      </c>
      <c r="J377" s="1" t="s">
        <v>1980</v>
      </c>
      <c r="K377" s="1" t="s">
        <v>2132</v>
      </c>
      <c r="L377" s="1">
        <v>-91.6867797</v>
      </c>
      <c r="M377" s="1">
        <v>30.28158638</v>
      </c>
      <c r="N377" s="1" t="s">
        <v>2237</v>
      </c>
      <c r="O377" s="1" t="s">
        <v>861</v>
      </c>
      <c r="P377" s="1" t="s">
        <v>867</v>
      </c>
      <c r="Q377" s="2">
        <f>HYPERLINK("https://waterdata.usgs.gov/nwis/nwismap/?site_no=07381515&amp;agency_cd=USGS", "Station Info")</f>
        <v>0</v>
      </c>
      <c r="R377" s="2">
        <f>HYPERLINK("https://waterservices.usgs.gov/nwis/site/?site=07381515&amp;format=rdb", "Datum Info")</f>
        <v>0</v>
      </c>
      <c r="T377" s="1">
        <v>10188406</v>
      </c>
      <c r="U377" s="1">
        <v>-0.171</v>
      </c>
      <c r="V377" s="1" t="s">
        <v>869</v>
      </c>
      <c r="W377" s="1" t="s">
        <v>874</v>
      </c>
      <c r="X377" s="1" t="s">
        <v>889</v>
      </c>
      <c r="AH377" s="1" t="s">
        <v>956</v>
      </c>
      <c r="AJ377" s="1">
        <v>-999999</v>
      </c>
      <c r="AK377" s="1">
        <v>-999999</v>
      </c>
      <c r="AL377" s="1" t="s">
        <v>889</v>
      </c>
      <c r="AM377" s="1">
        <v>0</v>
      </c>
      <c r="AO377" s="1" t="s">
        <v>1617</v>
      </c>
      <c r="AR377" s="1" t="s">
        <v>1617</v>
      </c>
      <c r="AS377" s="1">
        <v>17</v>
      </c>
      <c r="AT377" s="1">
        <v>20</v>
      </c>
      <c r="AU377" s="1">
        <v>25</v>
      </c>
      <c r="AV377" s="1">
        <v>28</v>
      </c>
      <c r="AW377" s="1" t="s">
        <v>1744</v>
      </c>
      <c r="AX377" s="2">
        <f>HYPERLINK("https://water.weather.gov/ahps2/hydrograph.php?wfo=lch&amp;gage=blrl1", "AHPS Data")</f>
        <v>0</v>
      </c>
      <c r="AY377" s="2">
        <f>HYPERLINK("https://vdatum.noaa.gov/vdatumweb/api/convert?s_x=-91.6867797&amp;s_y=30.28158638&amp;s_z=0.0&amp;region=contiguous&amp;s_h_frame=NAD83_2011&amp;s_coor=geo&amp;s_v_frame=NAVD88&amp;s_v_unit=us_ft&amp;t_h_frame=NAD83_2011&amp;t_coor=geo&amp;t_v_frame=MLLW&amp;t_v_unit=us_ft", "Missing")</f>
        <v>0</v>
      </c>
      <c r="AZ377" s="2">
        <f>HYPERLINK("https://vdatum.noaa.gov/vdatumweb/api/convert?s_x=-91.6867797&amp;s_y=30.28158638&amp;s_z=0.0&amp;region=contiguous&amp;s_h_frame=NAD83_2011&amp;s_coor=geo&amp;s_v_frame=NAVD88&amp;s_v_unit=us_ft&amp;t_h_frame=NAD83_2011&amp;t_coor=geo&amp;t_v_frame=MHHW&amp;t_v_unit=us_ft", "Missing")</f>
        <v>0</v>
      </c>
    </row>
    <row r="378" spans="1:52">
      <c r="A378" s="1" t="s">
        <v>402</v>
      </c>
      <c r="B378" s="1" t="s">
        <v>629</v>
      </c>
      <c r="C378" s="1" t="s">
        <v>649</v>
      </c>
      <c r="D378" s="1" t="s">
        <v>654</v>
      </c>
      <c r="E378" s="1" t="s">
        <v>755</v>
      </c>
      <c r="F378" s="1" t="s">
        <v>848</v>
      </c>
      <c r="G378" s="1" t="s">
        <v>856</v>
      </c>
      <c r="J378" s="1" t="s">
        <v>1981</v>
      </c>
      <c r="L378" s="1">
        <v>-91.44566620000001</v>
      </c>
      <c r="M378" s="1">
        <v>29.89270406</v>
      </c>
      <c r="N378" s="1" t="s">
        <v>2238</v>
      </c>
      <c r="O378" s="1" t="s">
        <v>861</v>
      </c>
      <c r="P378" s="1" t="s">
        <v>867</v>
      </c>
      <c r="Q378" s="2">
        <f>HYPERLINK("https://waterdata.usgs.gov/nwis/nwismap/?site_no=073815450&amp;agency_cd=USGS", "Station Info")</f>
        <v>0</v>
      </c>
      <c r="R378" s="2">
        <f>HYPERLINK("https://waterservices.usgs.gov/nwis/site/?site=073815450&amp;format=rdb", "Datum Info")</f>
        <v>0</v>
      </c>
      <c r="T378" s="1">
        <v>9786814</v>
      </c>
      <c r="U378" s="1">
        <v>0</v>
      </c>
      <c r="V378" s="1" t="s">
        <v>869</v>
      </c>
      <c r="W378" s="1" t="s">
        <v>874</v>
      </c>
      <c r="X378" s="1" t="s">
        <v>887</v>
      </c>
      <c r="AF378" s="1" t="s">
        <v>956</v>
      </c>
      <c r="AJ378" s="1">
        <v>-1.326</v>
      </c>
      <c r="AK378" s="1">
        <v>-2.071</v>
      </c>
      <c r="AY378" s="2">
        <f>HYPERLINK("https://vdatum.noaa.gov/vdatumweb/api/convert?s_x=-91.4456662&amp;s_y=29.89270406&amp;s_z=0.0&amp;region=contiguous&amp;s_h_frame=NAD83_2011&amp;s_coor=geo&amp;s_v_frame=NAVD88&amp;s_v_unit=us_ft&amp;t_h_frame=NAD83_2011&amp;t_coor=geo&amp;t_v_frame=MLLW&amp;t_v_unit=us_ft", "NAVD88 to MLLW")</f>
        <v>0</v>
      </c>
      <c r="AZ378" s="2">
        <f>HYPERLINK("https://vdatum.noaa.gov/vdatumweb/api/convert?s_x=-91.4456662&amp;s_y=29.89270406&amp;s_z=0.0&amp;region=contiguous&amp;s_h_frame=NAD83_2011&amp;s_coor=geo&amp;s_v_frame=NAVD88&amp;s_v_unit=us_ft&amp;t_h_frame=NAD83_2011&amp;t_coor=geo&amp;t_v_frame=MHHW&amp;t_v_unit=us_ft", "NAVD88 to MHHW")</f>
        <v>0</v>
      </c>
    </row>
    <row r="379" spans="1:52">
      <c r="A379" s="1" t="s">
        <v>403</v>
      </c>
      <c r="B379" s="1" t="s">
        <v>629</v>
      </c>
      <c r="C379" s="1" t="s">
        <v>649</v>
      </c>
      <c r="D379" s="1" t="s">
        <v>654</v>
      </c>
      <c r="E379" s="1" t="s">
        <v>755</v>
      </c>
      <c r="F379" s="1" t="s">
        <v>848</v>
      </c>
      <c r="G379" s="1" t="s">
        <v>856</v>
      </c>
      <c r="J379" s="1" t="s">
        <v>1982</v>
      </c>
      <c r="L379" s="1">
        <v>-91.37287954999999</v>
      </c>
      <c r="M379" s="1">
        <v>29.69798113</v>
      </c>
      <c r="N379" s="1" t="s">
        <v>2239</v>
      </c>
      <c r="O379" s="1" t="s">
        <v>861</v>
      </c>
      <c r="P379" s="1" t="s">
        <v>867</v>
      </c>
      <c r="Q379" s="2">
        <f>HYPERLINK("https://waterdata.usgs.gov/nwis/nwismap/?site_no=07381590&amp;agency_cd=USGS", "Station Info")</f>
        <v>0</v>
      </c>
      <c r="R379" s="2">
        <f>HYPERLINK("https://waterservices.usgs.gov/nwis/site/?site=07381590&amp;format=rdb", "Datum Info")</f>
        <v>0</v>
      </c>
      <c r="T379" s="1">
        <v>9742289</v>
      </c>
      <c r="U379" s="1">
        <v>-0.17</v>
      </c>
      <c r="V379" s="1" t="s">
        <v>869</v>
      </c>
      <c r="W379" s="1" t="s">
        <v>874</v>
      </c>
      <c r="X379" s="1" t="s">
        <v>887</v>
      </c>
      <c r="AF379" s="1" t="s">
        <v>1031</v>
      </c>
      <c r="AJ379" s="1">
        <v>-999999</v>
      </c>
      <c r="AK379" s="1">
        <v>-999999</v>
      </c>
      <c r="AY379" s="2">
        <f>HYPERLINK("https://vdatum.noaa.gov/vdatumweb/api/convert?s_x=-91.37287955&amp;s_y=29.69798113&amp;s_z=0.0&amp;region=contiguous&amp;s_h_frame=NAD83_2011&amp;s_coor=geo&amp;s_v_frame=NAVD88&amp;s_v_unit=us_ft&amp;t_h_frame=NAD83_2011&amp;t_coor=geo&amp;t_v_frame=MLLW&amp;t_v_unit=us_ft", "Missing")</f>
        <v>0</v>
      </c>
      <c r="AZ379" s="2">
        <f>HYPERLINK("https://vdatum.noaa.gov/vdatumweb/api/convert?s_x=-91.37287955&amp;s_y=29.69798113&amp;s_z=0.0&amp;region=contiguous&amp;s_h_frame=NAD83_2011&amp;s_coor=geo&amp;s_v_frame=NAVD88&amp;s_v_unit=us_ft&amp;t_h_frame=NAD83_2011&amp;t_coor=geo&amp;t_v_frame=MHHW&amp;t_v_unit=us_ft", "Missing")</f>
        <v>0</v>
      </c>
    </row>
    <row r="380" spans="1:52">
      <c r="A380" s="1" t="s">
        <v>404</v>
      </c>
      <c r="B380" s="1" t="s">
        <v>629</v>
      </c>
      <c r="C380" s="1" t="s">
        <v>649</v>
      </c>
      <c r="D380" s="1" t="s">
        <v>654</v>
      </c>
      <c r="E380" s="1" t="s">
        <v>755</v>
      </c>
      <c r="F380" s="1" t="s">
        <v>848</v>
      </c>
      <c r="G380" s="1" t="s">
        <v>856</v>
      </c>
      <c r="L380" s="1">
        <v>-91.21193089</v>
      </c>
      <c r="M380" s="1">
        <v>29.69281407</v>
      </c>
      <c r="N380" s="1" t="s">
        <v>2240</v>
      </c>
      <c r="O380" s="1" t="s">
        <v>861</v>
      </c>
      <c r="P380" s="1" t="s">
        <v>867</v>
      </c>
      <c r="Q380" s="2">
        <f>HYPERLINK("https://waterdata.usgs.gov/nwis/nwismap/?site_no=07381600&amp;agency_cd=USGS", "Station Info")</f>
        <v>0</v>
      </c>
      <c r="R380" s="2">
        <f>HYPERLINK("https://waterservices.usgs.gov/nwis/site/?site=07381600&amp;format=rdb", "Datum Info")</f>
        <v>0</v>
      </c>
      <c r="T380" s="1">
        <v>10199768</v>
      </c>
      <c r="U380" s="1">
        <v>-0.14</v>
      </c>
      <c r="V380" s="1" t="s">
        <v>869</v>
      </c>
      <c r="W380" s="1" t="s">
        <v>874</v>
      </c>
      <c r="X380" s="1" t="s">
        <v>887</v>
      </c>
      <c r="AF380" s="1" t="s">
        <v>1032</v>
      </c>
      <c r="AJ380" s="1">
        <v>-1.217</v>
      </c>
      <c r="AK380" s="1">
        <v>-1.975</v>
      </c>
      <c r="AY380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LLW&amp;t_v_unit=us_ft", "NAVD88 to MLLW")</f>
        <v>0</v>
      </c>
      <c r="AZ380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HHW&amp;t_v_unit=us_ft", "NAVD88 to MHHW")</f>
        <v>0</v>
      </c>
    </row>
    <row r="381" spans="1:52">
      <c r="A381" s="1" t="s">
        <v>405</v>
      </c>
      <c r="B381" s="1" t="s">
        <v>629</v>
      </c>
      <c r="C381" s="1" t="s">
        <v>649</v>
      </c>
      <c r="D381" s="1" t="s">
        <v>654</v>
      </c>
      <c r="E381" s="1" t="s">
        <v>755</v>
      </c>
      <c r="F381" s="1" t="s">
        <v>848</v>
      </c>
      <c r="G381" s="1" t="s">
        <v>856</v>
      </c>
      <c r="J381" s="1" t="s">
        <v>1983</v>
      </c>
      <c r="L381" s="1">
        <v>-91.21193089</v>
      </c>
      <c r="M381" s="1">
        <v>29.69281407</v>
      </c>
      <c r="N381" s="1" t="s">
        <v>2240</v>
      </c>
      <c r="O381" s="1" t="s">
        <v>861</v>
      </c>
      <c r="P381" s="1" t="s">
        <v>867</v>
      </c>
      <c r="Q381" s="2">
        <f>HYPERLINK("https://waterdata.usgs.gov/nwis/nwismap/?site_no=07381600&amp;agency_cd=USGS", "Station Info")</f>
        <v>0</v>
      </c>
      <c r="R381" s="2">
        <f>HYPERLINK("https://waterservices.usgs.gov/nwis/site/?site=07381600&amp;format=rdb", "Datum Info")</f>
        <v>0</v>
      </c>
      <c r="T381" s="1">
        <v>10199768</v>
      </c>
      <c r="U381" s="1">
        <v>-0.14</v>
      </c>
      <c r="V381" s="1" t="s">
        <v>869</v>
      </c>
      <c r="W381" s="1" t="s">
        <v>874</v>
      </c>
      <c r="X381" s="1" t="s">
        <v>887</v>
      </c>
      <c r="AF381" s="1" t="s">
        <v>1032</v>
      </c>
      <c r="AJ381" s="1">
        <v>-1.217</v>
      </c>
      <c r="AK381" s="1">
        <v>-1.975</v>
      </c>
      <c r="AY381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LLW&amp;t_v_unit=us_ft", "NAVD88 to MLLW")</f>
        <v>0</v>
      </c>
      <c r="AZ381" s="2">
        <f>HYPERLINK("https://vdatum.noaa.gov/vdatumweb/api/convert?s_x=-91.21193089&amp;s_y=29.69281407&amp;s_z=0.0&amp;region=contiguous&amp;s_h_frame=NAD83_2011&amp;s_coor=geo&amp;s_v_frame=NAVD88&amp;s_v_unit=us_ft&amp;t_h_frame=NAD83_2011&amp;t_coor=geo&amp;t_v_frame=MHHW&amp;t_v_unit=us_ft", "NAVD88 to MHHW")</f>
        <v>0</v>
      </c>
    </row>
    <row r="382" spans="1:52">
      <c r="A382" s="1" t="s">
        <v>406</v>
      </c>
      <c r="B382" s="1" t="s">
        <v>629</v>
      </c>
      <c r="C382" s="1" t="s">
        <v>649</v>
      </c>
      <c r="D382" s="1" t="s">
        <v>654</v>
      </c>
      <c r="E382" s="1" t="s">
        <v>764</v>
      </c>
      <c r="F382" s="1" t="s">
        <v>848</v>
      </c>
      <c r="G382" s="1" t="s">
        <v>856</v>
      </c>
      <c r="H382" s="1" t="s">
        <v>1833</v>
      </c>
      <c r="I382" s="1" t="s">
        <v>1860</v>
      </c>
      <c r="J382" s="1" t="s">
        <v>1984</v>
      </c>
      <c r="K382" s="1" t="s">
        <v>2133</v>
      </c>
      <c r="L382" s="1">
        <v>-92.5905556</v>
      </c>
      <c r="M382" s="1">
        <v>30.19</v>
      </c>
      <c r="N382" s="1" t="s">
        <v>2241</v>
      </c>
      <c r="O382" s="1" t="s">
        <v>861</v>
      </c>
      <c r="P382" s="1" t="s">
        <v>867</v>
      </c>
      <c r="Q382" s="2">
        <f>HYPERLINK("https://waterdata.usgs.gov/nwis/nwismap/?site_no=08012150&amp;agency_cd=USGS", "Station Info")</f>
        <v>0</v>
      </c>
      <c r="R382" s="2">
        <f>HYPERLINK("https://waterservices.usgs.gov/nwis/site/?site=08012150&amp;format=rdb", "Datum Info")</f>
        <v>0</v>
      </c>
      <c r="T382" s="1">
        <v>7281226</v>
      </c>
      <c r="U382" s="1">
        <v>-0.332</v>
      </c>
      <c r="V382" s="1" t="s">
        <v>869</v>
      </c>
      <c r="W382" s="1" t="s">
        <v>874</v>
      </c>
      <c r="X382" s="1" t="s">
        <v>889</v>
      </c>
      <c r="AH382" s="1" t="s">
        <v>1256</v>
      </c>
      <c r="AJ382" s="1">
        <v>-999999</v>
      </c>
      <c r="AK382" s="1">
        <v>-999999</v>
      </c>
      <c r="AL382" s="1" t="s">
        <v>1614</v>
      </c>
      <c r="AM382" s="1">
        <v>-0.58</v>
      </c>
      <c r="AO382" s="1" t="s">
        <v>1692</v>
      </c>
      <c r="AR382" s="1" t="s">
        <v>1692</v>
      </c>
      <c r="AS382" s="1">
        <v>4</v>
      </c>
      <c r="AT382" s="1">
        <v>4</v>
      </c>
      <c r="AU382" s="1">
        <v>6</v>
      </c>
      <c r="AV382" s="1">
        <v>8</v>
      </c>
      <c r="AW382" s="1" t="s">
        <v>1744</v>
      </c>
      <c r="AX382" s="2">
        <f>HYPERLINK("https://water.weather.gov/ahps2/hydrograph.php?wfo=lch&amp;gage=mrml1", "AHPS Data")</f>
        <v>0</v>
      </c>
      <c r="AY382" s="2">
        <f>HYPERLINK("https://vdatum.noaa.gov/vdatumweb/api/convert?s_x=-92.5905556&amp;s_y=30.19&amp;s_z=0.0&amp;region=contiguous&amp;s_h_frame=NAD83_2011&amp;s_coor=geo&amp;s_v_frame=NAVD88&amp;s_v_unit=us_ft&amp;t_h_frame=NAD83_2011&amp;t_coor=geo&amp;t_v_frame=MLLW&amp;t_v_unit=us_ft", "Missing")</f>
        <v>0</v>
      </c>
      <c r="AZ382" s="2">
        <f>HYPERLINK("https://vdatum.noaa.gov/vdatumweb/api/convert?s_x=-92.5905556&amp;s_y=30.19&amp;s_z=0.0&amp;region=contiguous&amp;s_h_frame=NAD83_2011&amp;s_coor=geo&amp;s_v_frame=NAVD88&amp;s_v_unit=us_ft&amp;t_h_frame=NAD83_2011&amp;t_coor=geo&amp;t_v_frame=MHHW&amp;t_v_unit=us_ft", "Missing")</f>
        <v>0</v>
      </c>
    </row>
    <row r="383" spans="1:52">
      <c r="A383" s="1" t="s">
        <v>407</v>
      </c>
      <c r="B383" s="1" t="s">
        <v>629</v>
      </c>
      <c r="C383" s="1" t="s">
        <v>649</v>
      </c>
      <c r="D383" s="1" t="s">
        <v>654</v>
      </c>
      <c r="J383" s="1" t="s">
        <v>1985</v>
      </c>
      <c r="L383" s="1">
        <v>-93.29959242</v>
      </c>
      <c r="M383" s="1">
        <v>30.03187328</v>
      </c>
      <c r="N383" s="1" t="s">
        <v>2242</v>
      </c>
      <c r="O383" s="1" t="s">
        <v>861</v>
      </c>
      <c r="P383" s="1" t="s">
        <v>867</v>
      </c>
      <c r="Q383" s="2">
        <f>HYPERLINK("https://waterdata.usgs.gov/nwis/nwismap/?site_no=08017095&amp;agency_cd=USGS", "Station Info")</f>
        <v>0</v>
      </c>
      <c r="R383" s="2">
        <f>HYPERLINK("https://waterservices.usgs.gov/nwis/site/?site=08017095&amp;format=rdb", "Datum Info")</f>
        <v>0</v>
      </c>
      <c r="T383" s="1">
        <v>8762153</v>
      </c>
      <c r="U383" s="1">
        <v>-0.88</v>
      </c>
      <c r="V383" s="1" t="s">
        <v>869</v>
      </c>
      <c r="W383" s="1" t="s">
        <v>874</v>
      </c>
      <c r="AJ383" s="1">
        <v>0.07000000000000001</v>
      </c>
      <c r="AK383" s="1">
        <v>-0.881</v>
      </c>
      <c r="AY383" s="2">
        <f>HYPERLINK("https://vdatum.noaa.gov/vdatumweb/api/convert?s_x=-93.29959242&amp;s_y=30.03187328&amp;s_z=0.0&amp;region=contiguous&amp;s_h_frame=NAD83_2011&amp;s_coor=geo&amp;s_v_frame=NAVD88&amp;s_v_unit=us_ft&amp;t_h_frame=NAD83_2011&amp;t_coor=geo&amp;t_v_frame=MLLW&amp;t_v_unit=us_ft", "NAVD88 to MLLW")</f>
        <v>0</v>
      </c>
      <c r="AZ383" s="2">
        <f>HYPERLINK("https://vdatum.noaa.gov/vdatumweb/api/convert?s_x=-93.29959242&amp;s_y=30.03187328&amp;s_z=0.0&amp;region=contiguous&amp;s_h_frame=NAD83_2011&amp;s_coor=geo&amp;s_v_frame=NAVD88&amp;s_v_unit=us_ft&amp;t_h_frame=NAD83_2011&amp;t_coor=geo&amp;t_v_frame=MHHW&amp;t_v_unit=us_ft", "NAVD88 to MHHW")</f>
        <v>0</v>
      </c>
    </row>
    <row r="384" spans="1:52">
      <c r="A384" s="1" t="s">
        <v>408</v>
      </c>
      <c r="B384" s="1" t="s">
        <v>630</v>
      </c>
      <c r="C384" s="1" t="s">
        <v>649</v>
      </c>
      <c r="D384" s="1" t="s">
        <v>654</v>
      </c>
      <c r="E384" s="1" t="s">
        <v>765</v>
      </c>
      <c r="F384" s="1" t="s">
        <v>849</v>
      </c>
      <c r="G384" s="1" t="s">
        <v>856</v>
      </c>
      <c r="L384" s="1">
        <v>-88.4029</v>
      </c>
      <c r="M384" s="1">
        <v>30.41319</v>
      </c>
      <c r="N384" s="1">
        <v>8740166</v>
      </c>
      <c r="O384" s="1" t="s">
        <v>860</v>
      </c>
      <c r="P384" s="1" t="s">
        <v>866</v>
      </c>
      <c r="Q384" s="2">
        <f>HYPERLINK("https://tidesandcurrents.noaa.gov/stationhome.html?id=8740166", "Station Info")</f>
        <v>0</v>
      </c>
      <c r="R384" s="2">
        <f>HYPERLINK("https://tidesandcurrents.noaa.gov/datums.html?datum=MLLW&amp;units=0&amp;epoch=0&amp;id=8740166", "Datum Info")</f>
        <v>0</v>
      </c>
      <c r="S384" s="2">
        <f>HYPERLINK("https://api.tidesandcurrents.noaa.gov/mdapi/prod/webapi/stations/8740166.json", "More Info")</f>
        <v>0</v>
      </c>
      <c r="T384" s="1">
        <v>6707044</v>
      </c>
      <c r="U384" s="1">
        <v>0</v>
      </c>
      <c r="V384" s="1" t="s">
        <v>869</v>
      </c>
      <c r="W384" s="1" t="s">
        <v>874</v>
      </c>
      <c r="X384" s="1" t="s">
        <v>886</v>
      </c>
      <c r="Y384" s="1">
        <v>1.59</v>
      </c>
      <c r="Z384" s="1">
        <v>1.49</v>
      </c>
      <c r="AA384" s="1">
        <v>0.8100000000000001</v>
      </c>
      <c r="AB384" s="1">
        <v>0.77</v>
      </c>
      <c r="AC384" s="1">
        <v>0.79</v>
      </c>
      <c r="AD384" s="1">
        <v>0.13</v>
      </c>
      <c r="AE384" s="1">
        <v>0</v>
      </c>
      <c r="AF384" s="1">
        <v>0.6</v>
      </c>
      <c r="AG384" s="1">
        <v>-14.1</v>
      </c>
      <c r="AJ384" s="1">
        <v>-999999</v>
      </c>
      <c r="AK384" s="1">
        <v>-999999</v>
      </c>
      <c r="AY384" s="2">
        <f>HYPERLINK("https://vdatum.noaa.gov/vdatumweb/api/convert?s_x=-88.4029&amp;s_y=30.41319&amp;s_z=0.0&amp;region=contiguous&amp;s_h_frame=NAD83_2011&amp;s_coor=geo&amp;s_v_frame=NAVD88&amp;s_v_unit=us_ft&amp;t_h_frame=NAD83_2011&amp;t_coor=geo&amp;t_v_frame=MLLW&amp;t_v_unit=us_ft", "Missing")</f>
        <v>0</v>
      </c>
      <c r="AZ384" s="2">
        <f>HYPERLINK("https://vdatum.noaa.gov/vdatumweb/api/convert?s_x=-88.4029&amp;s_y=30.41319&amp;s_z=0.0&amp;region=contiguous&amp;s_h_frame=NAD83_2011&amp;s_coor=geo&amp;s_v_frame=NAVD88&amp;s_v_unit=us_ft&amp;t_h_frame=NAD83_2011&amp;t_coor=geo&amp;t_v_frame=MHHW&amp;t_v_unit=us_ft", "Missing")</f>
        <v>0</v>
      </c>
    </row>
    <row r="385" spans="1:52">
      <c r="A385" s="1" t="s">
        <v>409</v>
      </c>
      <c r="B385" s="1" t="s">
        <v>630</v>
      </c>
      <c r="C385" s="1" t="s">
        <v>649</v>
      </c>
      <c r="D385" s="1" t="s">
        <v>654</v>
      </c>
      <c r="E385" s="1" t="s">
        <v>765</v>
      </c>
      <c r="F385" s="1" t="s">
        <v>849</v>
      </c>
      <c r="G385" s="1" t="s">
        <v>856</v>
      </c>
      <c r="L385" s="1">
        <v>-88.50579999999999</v>
      </c>
      <c r="M385" s="1">
        <v>30.34778</v>
      </c>
      <c r="N385" s="1">
        <v>8741041</v>
      </c>
      <c r="O385" s="1" t="s">
        <v>860</v>
      </c>
      <c r="P385" s="1" t="s">
        <v>866</v>
      </c>
      <c r="Q385" s="2">
        <f>HYPERLINK("https://tidesandcurrents.noaa.gov/stationhome.html?id=8741041", "Station Info")</f>
        <v>0</v>
      </c>
      <c r="R385" s="2">
        <f>HYPERLINK("https://tidesandcurrents.noaa.gov/datums.html?datum=MLLW&amp;units=0&amp;epoch=0&amp;id=8741041", "Datum Info")</f>
        <v>0</v>
      </c>
      <c r="S385" s="2">
        <f>HYPERLINK("https://api.tidesandcurrents.noaa.gov/mdapi/prod/webapi/stations/8741041.json", "More Info")</f>
        <v>0</v>
      </c>
      <c r="T385" s="1">
        <v>8000909</v>
      </c>
      <c r="U385" s="1">
        <v>0</v>
      </c>
      <c r="V385" s="1" t="s">
        <v>869</v>
      </c>
      <c r="W385" s="1" t="s">
        <v>874</v>
      </c>
      <c r="X385" s="1" t="s">
        <v>886</v>
      </c>
      <c r="Y385" s="1">
        <v>1.55</v>
      </c>
      <c r="Z385" s="1">
        <v>1.45</v>
      </c>
      <c r="AA385" s="1">
        <v>0.78</v>
      </c>
      <c r="AB385" s="1">
        <v>0.76</v>
      </c>
      <c r="AC385" s="1">
        <v>0.78</v>
      </c>
      <c r="AD385" s="1">
        <v>0.09</v>
      </c>
      <c r="AE385" s="1">
        <v>0</v>
      </c>
      <c r="AG385" s="1">
        <v>-21.63</v>
      </c>
      <c r="AJ385" s="1">
        <v>-999999</v>
      </c>
      <c r="AK385" s="1">
        <v>-999999</v>
      </c>
      <c r="AY385" s="2">
        <f>HYPERLINK("https://vdatum.noaa.gov/vdatumweb/api/convert?s_x=-88.5058&amp;s_y=30.34778&amp;s_z=0.0&amp;region=contiguous&amp;s_h_frame=NAD83_2011&amp;s_coor=geo&amp;s_v_frame=NAVD88&amp;s_v_unit=us_ft&amp;t_h_frame=NAD83_2011&amp;t_coor=geo&amp;t_v_frame=MLLW&amp;t_v_unit=us_ft", "Missing")</f>
        <v>0</v>
      </c>
      <c r="AZ385" s="2">
        <f>HYPERLINK("https://vdatum.noaa.gov/vdatumweb/api/convert?s_x=-88.5058&amp;s_y=30.34778&amp;s_z=0.0&amp;region=contiguous&amp;s_h_frame=NAD83_2011&amp;s_coor=geo&amp;s_v_frame=NAVD88&amp;s_v_unit=us_ft&amp;t_h_frame=NAD83_2011&amp;t_coor=geo&amp;t_v_frame=MHHW&amp;t_v_unit=us_ft", "Missing")</f>
        <v>0</v>
      </c>
    </row>
    <row r="386" spans="1:52">
      <c r="A386" s="1" t="s">
        <v>410</v>
      </c>
      <c r="B386" s="1" t="s">
        <v>630</v>
      </c>
      <c r="C386" s="1" t="s">
        <v>649</v>
      </c>
      <c r="D386" s="1" t="s">
        <v>654</v>
      </c>
      <c r="E386" s="1" t="s">
        <v>765</v>
      </c>
      <c r="F386" s="1" t="s">
        <v>849</v>
      </c>
      <c r="G386" s="1" t="s">
        <v>856</v>
      </c>
      <c r="L386" s="1">
        <v>-88.56310000000001</v>
      </c>
      <c r="M386" s="1">
        <v>30.36778</v>
      </c>
      <c r="N386" s="1">
        <v>8741533</v>
      </c>
      <c r="O386" s="1" t="s">
        <v>860</v>
      </c>
      <c r="P386" s="1" t="s">
        <v>866</v>
      </c>
      <c r="Q386" s="2">
        <f>HYPERLINK("https://tidesandcurrents.noaa.gov/stationhome.html?id=8741533", "Station Info")</f>
        <v>0</v>
      </c>
      <c r="R386" s="2">
        <f>HYPERLINK("https://tidesandcurrents.noaa.gov/datums.html?datum=MLLW&amp;units=0&amp;epoch=0&amp;id=8741533", "Datum Info")</f>
        <v>0</v>
      </c>
      <c r="S386" s="2">
        <f>HYPERLINK("https://api.tidesandcurrents.noaa.gov/mdapi/prod/webapi/stations/8741533.json", "More Info")</f>
        <v>0</v>
      </c>
      <c r="T386" s="1">
        <v>7664388</v>
      </c>
      <c r="U386" s="1">
        <v>0</v>
      </c>
      <c r="V386" s="1" t="s">
        <v>869</v>
      </c>
      <c r="W386" s="1" t="s">
        <v>874</v>
      </c>
      <c r="X386" s="1" t="s">
        <v>886</v>
      </c>
      <c r="Y386" s="1">
        <v>1.53</v>
      </c>
      <c r="Z386" s="1">
        <v>1.44</v>
      </c>
      <c r="AA386" s="1">
        <v>0.76</v>
      </c>
      <c r="AB386" s="1">
        <v>0.76</v>
      </c>
      <c r="AC386" s="1">
        <v>0.77</v>
      </c>
      <c r="AD386" s="1">
        <v>0.09</v>
      </c>
      <c r="AE386" s="1">
        <v>0</v>
      </c>
      <c r="AF386" s="1">
        <v>0.66</v>
      </c>
      <c r="AG386" s="1">
        <v>-21.88</v>
      </c>
      <c r="AJ386" s="1">
        <v>-999999</v>
      </c>
      <c r="AK386" s="1">
        <v>-999999</v>
      </c>
      <c r="AY386" s="2">
        <f>HYPERLINK("https://vdatum.noaa.gov/vdatumweb/api/convert?s_x=-88.5631&amp;s_y=30.36778&amp;s_z=0.0&amp;region=contiguous&amp;s_h_frame=NAD83_2011&amp;s_coor=geo&amp;s_v_frame=NAVD88&amp;s_v_unit=us_ft&amp;t_h_frame=NAD83_2011&amp;t_coor=geo&amp;t_v_frame=MLLW&amp;t_v_unit=us_ft", "Missing")</f>
        <v>0</v>
      </c>
      <c r="AZ386" s="2">
        <f>HYPERLINK("https://vdatum.noaa.gov/vdatumweb/api/convert?s_x=-88.5631&amp;s_y=30.36778&amp;s_z=0.0&amp;region=contiguous&amp;s_h_frame=NAD83_2011&amp;s_coor=geo&amp;s_v_frame=NAVD88&amp;s_v_unit=us_ft&amp;t_h_frame=NAD83_2011&amp;t_coor=geo&amp;t_v_frame=MHHW&amp;t_v_unit=us_ft", "Missing")</f>
        <v>0</v>
      </c>
    </row>
    <row r="387" spans="1:52">
      <c r="A387" s="1" t="s">
        <v>411</v>
      </c>
      <c r="B387" s="1" t="s">
        <v>630</v>
      </c>
      <c r="D387" s="1" t="s">
        <v>654</v>
      </c>
      <c r="L387" s="1">
        <v>-89.325</v>
      </c>
      <c r="M387" s="1">
        <v>30.325</v>
      </c>
      <c r="N387" s="1">
        <v>8747437</v>
      </c>
      <c r="O387" s="1" t="s">
        <v>860</v>
      </c>
      <c r="P387" s="1" t="s">
        <v>866</v>
      </c>
      <c r="Q387" s="2">
        <f>HYPERLINK("https://tidesandcurrents.noaa.gov/stationhome.html?id=8747437", "Station Info")</f>
        <v>0</v>
      </c>
      <c r="R387" s="2">
        <f>HYPERLINK("https://tidesandcurrents.noaa.gov/datums.html?datum=MLLW&amp;units=0&amp;epoch=0&amp;id=8747437", "Datum Info")</f>
        <v>0</v>
      </c>
      <c r="S387" s="2">
        <f>HYPERLINK("https://api.tidesandcurrents.noaa.gov/mdapi/prod/webapi/stations/8747437.json", "More Info")</f>
        <v>0</v>
      </c>
      <c r="T387" s="1">
        <v>5499340</v>
      </c>
      <c r="U387" s="1">
        <v>0</v>
      </c>
      <c r="V387" s="1" t="s">
        <v>869</v>
      </c>
      <c r="W387" s="1" t="s">
        <v>874</v>
      </c>
      <c r="X387" s="1" t="s">
        <v>886</v>
      </c>
      <c r="Y387" s="1">
        <v>1.79</v>
      </c>
      <c r="Z387" s="1">
        <v>1.66</v>
      </c>
      <c r="AA387" s="1">
        <v>0.9</v>
      </c>
      <c r="AB387" s="1">
        <v>0.9</v>
      </c>
      <c r="AC387" s="1">
        <v>0.9</v>
      </c>
      <c r="AD387" s="1">
        <v>0.14</v>
      </c>
      <c r="AE387" s="1">
        <v>0</v>
      </c>
      <c r="AF387" s="1">
        <v>0.8100000000000001</v>
      </c>
      <c r="AG387" s="1">
        <v>-2.36</v>
      </c>
      <c r="AH387" s="1" t="s">
        <v>1257</v>
      </c>
      <c r="AI387" s="1" t="s">
        <v>1520</v>
      </c>
      <c r="AJ387" s="1">
        <v>0.328</v>
      </c>
      <c r="AK387" s="1">
        <v>-1.401</v>
      </c>
      <c r="AY387" s="2">
        <f>HYPERLINK("https://vdatum.noaa.gov/vdatumweb/api/convert?s_x=-89.325&amp;s_y=30.325&amp;s_z=0.0&amp;region=contiguous&amp;s_h_frame=NAD83_2011&amp;s_coor=geo&amp;s_v_frame=NAVD88&amp;s_v_unit=us_ft&amp;t_h_frame=NAD83_2011&amp;t_coor=geo&amp;t_v_frame=MLLW&amp;t_v_unit=us_ft", "NAVD88 to MLLW")</f>
        <v>0</v>
      </c>
      <c r="AZ387" s="2">
        <f>HYPERLINK("https://vdatum.noaa.gov/vdatumweb/api/convert?s_x=-89.325&amp;s_y=30.325&amp;s_z=0.0&amp;region=contiguous&amp;s_h_frame=NAD83_2011&amp;s_coor=geo&amp;s_v_frame=NAVD88&amp;s_v_unit=us_ft&amp;t_h_frame=NAD83_2011&amp;t_coor=geo&amp;t_v_frame=MHHW&amp;t_v_unit=us_ft", "NAVD88 to MHHW")</f>
        <v>0</v>
      </c>
    </row>
    <row r="388" spans="1:52">
      <c r="A388" s="1" t="s">
        <v>412</v>
      </c>
      <c r="B388" s="1" t="s">
        <v>630</v>
      </c>
      <c r="C388" s="1" t="s">
        <v>649</v>
      </c>
      <c r="D388" s="1" t="s">
        <v>654</v>
      </c>
      <c r="E388" s="1" t="s">
        <v>766</v>
      </c>
      <c r="F388" s="1" t="s">
        <v>848</v>
      </c>
      <c r="G388" s="1" t="s">
        <v>856</v>
      </c>
      <c r="L388" s="1">
        <v>-89.61499999999999</v>
      </c>
      <c r="M388" s="1">
        <v>30.24</v>
      </c>
      <c r="N388" s="1">
        <v>8749704</v>
      </c>
      <c r="O388" s="1" t="s">
        <v>861</v>
      </c>
      <c r="P388" s="1" t="s">
        <v>866</v>
      </c>
      <c r="Q388" s="2">
        <f>HYPERLINK("https://tidesandcurrents.noaa.gov/stationhome.html?id=8749704", "Station Info")</f>
        <v>0</v>
      </c>
      <c r="R388" s="2">
        <f>HYPERLINK("https://tidesandcurrents.noaa.gov/datums.html?datum=MLLW&amp;units=0&amp;epoch=0&amp;id=8749704", "Datum Info")</f>
        <v>0</v>
      </c>
      <c r="S388" s="2">
        <f>HYPERLINK("https://api.tidesandcurrents.noaa.gov/mdapi/prod/webapi/stations/8749704.json", "More Info")</f>
        <v>0</v>
      </c>
      <c r="T388" s="1">
        <v>9397585</v>
      </c>
      <c r="U388" s="1">
        <v>0</v>
      </c>
      <c r="V388" s="1" t="s">
        <v>869</v>
      </c>
      <c r="W388" s="1" t="s">
        <v>874</v>
      </c>
      <c r="X388" s="1" t="s">
        <v>886</v>
      </c>
      <c r="Y388" s="1">
        <v>1.22</v>
      </c>
      <c r="Z388" s="1">
        <v>1.18</v>
      </c>
      <c r="AA388" s="1">
        <v>0.61</v>
      </c>
      <c r="AB388" s="1">
        <v>0.67</v>
      </c>
      <c r="AC388" s="1">
        <v>0.61</v>
      </c>
      <c r="AD388" s="1">
        <v>0.04</v>
      </c>
      <c r="AE388" s="1">
        <v>0</v>
      </c>
      <c r="AG388" s="1">
        <v>-3.35</v>
      </c>
      <c r="AJ388" s="1">
        <v>-999999</v>
      </c>
      <c r="AK388" s="1">
        <v>-999999</v>
      </c>
      <c r="AY388" s="2">
        <f>HYPERLINK("https://vdatum.noaa.gov/vdatumweb/api/convert?s_x=-89.615&amp;s_y=30.24&amp;s_z=0.0&amp;region=contiguous&amp;s_h_frame=NAD83_2011&amp;s_coor=geo&amp;s_v_frame=NAVD88&amp;s_v_unit=us_ft&amp;t_h_frame=NAD83_2011&amp;t_coor=geo&amp;t_v_frame=MLLW&amp;t_v_unit=us_ft", "Missing")</f>
        <v>0</v>
      </c>
      <c r="AZ388" s="2">
        <f>HYPERLINK("https://vdatum.noaa.gov/vdatumweb/api/convert?s_x=-89.615&amp;s_y=30.24&amp;s_z=0.0&amp;region=contiguous&amp;s_h_frame=NAD83_2011&amp;s_coor=geo&amp;s_v_frame=NAVD88&amp;s_v_unit=us_ft&amp;t_h_frame=NAD83_2011&amp;t_coor=geo&amp;t_v_frame=MHHW&amp;t_v_unit=us_ft", "Missing")</f>
        <v>0</v>
      </c>
    </row>
    <row r="389" spans="1:52">
      <c r="A389" s="1" t="s">
        <v>413</v>
      </c>
      <c r="B389" s="1" t="s">
        <v>630</v>
      </c>
      <c r="C389" s="1" t="s">
        <v>649</v>
      </c>
      <c r="D389" s="1" t="s">
        <v>654</v>
      </c>
      <c r="E389" s="1" t="s">
        <v>767</v>
      </c>
      <c r="F389" s="1" t="s">
        <v>848</v>
      </c>
      <c r="G389" s="1" t="s">
        <v>856</v>
      </c>
      <c r="L389" s="1">
        <v>-89.25830000000001</v>
      </c>
      <c r="M389" s="1">
        <v>29.1783</v>
      </c>
      <c r="N389" s="1">
        <v>8760721</v>
      </c>
      <c r="O389" s="1" t="s">
        <v>860</v>
      </c>
      <c r="P389" s="1" t="s">
        <v>866</v>
      </c>
      <c r="Q389" s="2">
        <f>HYPERLINK("https://tidesandcurrents.noaa.gov/stationhome.html?id=8760721", "Station Info")</f>
        <v>0</v>
      </c>
      <c r="R389" s="2">
        <f>HYPERLINK("https://tidesandcurrents.noaa.gov/datums.html?datum=MLLW&amp;units=0&amp;epoch=0&amp;id=8760721", "Datum Info")</f>
        <v>0</v>
      </c>
      <c r="S389" s="2">
        <f>HYPERLINK("https://api.tidesandcurrents.noaa.gov/mdapi/prod/webapi/stations/8760721.json", "More Info")</f>
        <v>0</v>
      </c>
      <c r="T389" s="1">
        <v>9386538</v>
      </c>
      <c r="U389" s="1">
        <v>0.237</v>
      </c>
      <c r="V389" s="1" t="s">
        <v>869</v>
      </c>
      <c r="W389" s="1" t="s">
        <v>874</v>
      </c>
      <c r="X389" s="1" t="s">
        <v>886</v>
      </c>
      <c r="Y389" s="1">
        <v>0.8</v>
      </c>
      <c r="Z389" s="1">
        <v>0.8</v>
      </c>
      <c r="AA389" s="1">
        <v>0.4</v>
      </c>
      <c r="AB389" s="1">
        <v>0.39</v>
      </c>
      <c r="AC389" s="1">
        <v>0.4</v>
      </c>
      <c r="AD389" s="1">
        <v>0</v>
      </c>
      <c r="AE389" s="1">
        <v>0</v>
      </c>
      <c r="AF389" s="1" t="s">
        <v>1033</v>
      </c>
      <c r="AG389" s="1">
        <v>-5.85</v>
      </c>
      <c r="AH389" s="1" t="s">
        <v>1258</v>
      </c>
      <c r="AI389" s="1" t="s">
        <v>1521</v>
      </c>
      <c r="AJ389" s="1">
        <v>-0.259</v>
      </c>
      <c r="AK389" s="1">
        <v>-1.285</v>
      </c>
      <c r="AY389" s="2">
        <f>HYPERLINK("https://vdatum.noaa.gov/vdatumweb/api/convert?s_x=-89.2583&amp;s_y=29.1783&amp;s_z=0.0&amp;region=contiguous&amp;s_h_frame=NAD83_2011&amp;s_coor=geo&amp;s_v_frame=NAVD88&amp;s_v_unit=us_ft&amp;t_h_frame=NAD83_2011&amp;t_coor=geo&amp;t_v_frame=MLLW&amp;t_v_unit=us_ft", "NAVD88 to MLLW")</f>
        <v>0</v>
      </c>
      <c r="AZ389" s="2">
        <f>HYPERLINK("https://vdatum.noaa.gov/vdatumweb/api/convert?s_x=-89.2583&amp;s_y=29.1783&amp;s_z=0.0&amp;region=contiguous&amp;s_h_frame=NAD83_2011&amp;s_coor=geo&amp;s_v_frame=NAVD88&amp;s_v_unit=us_ft&amp;t_h_frame=NAD83_2011&amp;t_coor=geo&amp;t_v_frame=MHHW&amp;t_v_unit=us_ft", "NAVD88 to MHHW")</f>
        <v>0</v>
      </c>
    </row>
    <row r="390" spans="1:52">
      <c r="A390" s="1" t="s">
        <v>414</v>
      </c>
      <c r="B390" s="1" t="s">
        <v>630</v>
      </c>
      <c r="D390" s="1" t="s">
        <v>654</v>
      </c>
      <c r="L390" s="1">
        <v>-89.4075</v>
      </c>
      <c r="M390" s="1">
        <v>28.93222</v>
      </c>
      <c r="N390" s="1">
        <v>8760922</v>
      </c>
      <c r="O390" s="1" t="s">
        <v>860</v>
      </c>
      <c r="P390" s="1" t="s">
        <v>866</v>
      </c>
      <c r="Q390" s="2">
        <f>HYPERLINK("https://tidesandcurrents.noaa.gov/stationhome.html?id=8760922", "Station Info")</f>
        <v>0</v>
      </c>
      <c r="R390" s="2">
        <f>HYPERLINK("https://tidesandcurrents.noaa.gov/datums.html?datum=MLLW&amp;units=0&amp;epoch=0&amp;id=8760922", "Datum Info")</f>
        <v>0</v>
      </c>
      <c r="S390" s="2">
        <f>HYPERLINK("https://api.tidesandcurrents.noaa.gov/mdapi/prod/webapi/stations/8760922.json", "More Info")</f>
        <v>0</v>
      </c>
      <c r="T390" s="1">
        <v>2842929</v>
      </c>
      <c r="U390" s="1">
        <v>0.314</v>
      </c>
      <c r="V390" s="1" t="s">
        <v>869</v>
      </c>
      <c r="W390" s="1" t="s">
        <v>874</v>
      </c>
      <c r="X390" s="1" t="s">
        <v>886</v>
      </c>
      <c r="Y390" s="1">
        <v>1.17</v>
      </c>
      <c r="Z390" s="1">
        <v>1.16</v>
      </c>
      <c r="AA390" s="1">
        <v>0.59</v>
      </c>
      <c r="AB390" s="1">
        <v>0.59</v>
      </c>
      <c r="AC390" s="1">
        <v>0.59</v>
      </c>
      <c r="AD390" s="1">
        <v>0.02</v>
      </c>
      <c r="AE390" s="1">
        <v>0</v>
      </c>
      <c r="AF390" s="1" t="s">
        <v>1034</v>
      </c>
      <c r="AG390" s="1">
        <v>-30.84</v>
      </c>
      <c r="AH390" s="1" t="s">
        <v>1259</v>
      </c>
      <c r="AI390" s="1" t="s">
        <v>1522</v>
      </c>
      <c r="AJ390" s="1">
        <v>-0.41</v>
      </c>
      <c r="AK390" s="1">
        <v>-1.637</v>
      </c>
      <c r="AY390" s="2">
        <f>HYPERLINK("https://vdatum.noaa.gov/vdatumweb/api/convert?s_x=-89.4075&amp;s_y=28.93222&amp;s_z=0.0&amp;region=contiguous&amp;s_h_frame=NAD83_2011&amp;s_coor=geo&amp;s_v_frame=NAVD88&amp;s_v_unit=us_ft&amp;t_h_frame=NAD83_2011&amp;t_coor=geo&amp;t_v_frame=MLLW&amp;t_v_unit=us_ft", "NAVD88 to MLLW")</f>
        <v>0</v>
      </c>
      <c r="AZ390" s="2">
        <f>HYPERLINK("https://vdatum.noaa.gov/vdatumweb/api/convert?s_x=-89.4075&amp;s_y=28.93222&amp;s_z=0.0&amp;region=contiguous&amp;s_h_frame=NAD83_2011&amp;s_coor=geo&amp;s_v_frame=NAVD88&amp;s_v_unit=us_ft&amp;t_h_frame=NAD83_2011&amp;t_coor=geo&amp;t_v_frame=MHHW&amp;t_v_unit=us_ft", "NAVD88 to MHHW")</f>
        <v>0</v>
      </c>
    </row>
    <row r="391" spans="1:52">
      <c r="A391" s="1" t="s">
        <v>415</v>
      </c>
      <c r="B391" s="1" t="s">
        <v>630</v>
      </c>
      <c r="C391" s="1" t="s">
        <v>649</v>
      </c>
      <c r="D391" s="1" t="s">
        <v>654</v>
      </c>
      <c r="E391" s="1" t="s">
        <v>767</v>
      </c>
      <c r="F391" s="1" t="s">
        <v>848</v>
      </c>
      <c r="G391" s="1" t="s">
        <v>856</v>
      </c>
      <c r="L391" s="1">
        <v>-89.595</v>
      </c>
      <c r="M391" s="1">
        <v>29.39</v>
      </c>
      <c r="N391" s="1">
        <v>8761193</v>
      </c>
      <c r="O391" s="1" t="s">
        <v>861</v>
      </c>
      <c r="P391" s="1" t="s">
        <v>866</v>
      </c>
      <c r="Q391" s="2">
        <f>HYPERLINK("https://tidesandcurrents.noaa.gov/stationhome.html?id=8761193", "Station Info")</f>
        <v>0</v>
      </c>
      <c r="R391" s="2">
        <f>HYPERLINK("https://tidesandcurrents.noaa.gov/datums.html?datum=MLLW&amp;units=0&amp;epoch=0&amp;id=8761193", "Datum Info")</f>
        <v>0</v>
      </c>
      <c r="S391" s="2">
        <f>HYPERLINK("https://api.tidesandcurrents.noaa.gov/mdapi/prod/webapi/stations/8761193.json", "More Info")</f>
        <v>0</v>
      </c>
      <c r="T391" s="1">
        <v>9576260</v>
      </c>
      <c r="U391" s="1">
        <v>0</v>
      </c>
      <c r="V391" s="1" t="s">
        <v>869</v>
      </c>
      <c r="W391" s="1" t="s">
        <v>874</v>
      </c>
      <c r="AJ391" s="1">
        <v>-999999</v>
      </c>
      <c r="AK391" s="1">
        <v>-999999</v>
      </c>
      <c r="AY391" s="2">
        <f>HYPERLINK("https://vdatum.noaa.gov/vdatumweb/api/convert?s_x=-89.595&amp;s_y=29.39&amp;s_z=0.0&amp;region=contiguous&amp;s_h_frame=NAD83_2011&amp;s_coor=geo&amp;s_v_frame=NAVD88&amp;s_v_unit=us_ft&amp;t_h_frame=NAD83_2011&amp;t_coor=geo&amp;t_v_frame=MLLW&amp;t_v_unit=us_ft", "Missing")</f>
        <v>0</v>
      </c>
      <c r="AZ391" s="2">
        <f>HYPERLINK("https://vdatum.noaa.gov/vdatumweb/api/convert?s_x=-89.595&amp;s_y=29.39&amp;s_z=0.0&amp;region=contiguous&amp;s_h_frame=NAD83_2011&amp;s_coor=geo&amp;s_v_frame=NAVD88&amp;s_v_unit=us_ft&amp;t_h_frame=NAD83_2011&amp;t_coor=geo&amp;t_v_frame=MHHW&amp;t_v_unit=us_ft", "Missing")</f>
        <v>0</v>
      </c>
    </row>
    <row r="392" spans="1:52">
      <c r="A392" s="1" t="s">
        <v>416</v>
      </c>
      <c r="B392" s="1" t="s">
        <v>630</v>
      </c>
      <c r="C392" s="1" t="s">
        <v>649</v>
      </c>
      <c r="D392" s="1" t="s">
        <v>654</v>
      </c>
      <c r="E392" s="1" t="s">
        <v>768</v>
      </c>
      <c r="F392" s="1" t="s">
        <v>848</v>
      </c>
      <c r="G392" s="1" t="s">
        <v>856</v>
      </c>
      <c r="L392" s="1">
        <v>-89.673</v>
      </c>
      <c r="M392" s="1">
        <v>29.8683</v>
      </c>
      <c r="N392" s="1">
        <v>8761305</v>
      </c>
      <c r="O392" s="1" t="s">
        <v>860</v>
      </c>
      <c r="P392" s="1" t="s">
        <v>866</v>
      </c>
      <c r="Q392" s="2">
        <f>HYPERLINK("https://tidesandcurrents.noaa.gov/stationhome.html?id=8761305", "Station Info")</f>
        <v>0</v>
      </c>
      <c r="R392" s="2">
        <f>HYPERLINK("https://tidesandcurrents.noaa.gov/datums.html?datum=MLLW&amp;units=0&amp;epoch=0&amp;id=8761305", "Datum Info")</f>
        <v>0</v>
      </c>
      <c r="S392" s="2">
        <f>HYPERLINK("https://api.tidesandcurrents.noaa.gov/mdapi/prod/webapi/stations/8761305.json", "More Info")</f>
        <v>0</v>
      </c>
      <c r="T392" s="1">
        <v>9731395</v>
      </c>
      <c r="U392" s="1">
        <v>0</v>
      </c>
      <c r="V392" s="1" t="s">
        <v>869</v>
      </c>
      <c r="W392" s="1" t="s">
        <v>874</v>
      </c>
      <c r="X392" s="1" t="s">
        <v>886</v>
      </c>
      <c r="Y392" s="1">
        <v>1.47</v>
      </c>
      <c r="Z392" s="1">
        <v>1.4</v>
      </c>
      <c r="AA392" s="1">
        <v>0.74</v>
      </c>
      <c r="AB392" s="1">
        <v>0.75</v>
      </c>
      <c r="AC392" s="1">
        <v>0.73</v>
      </c>
      <c r="AD392" s="1">
        <v>0.08</v>
      </c>
      <c r="AE392" s="1">
        <v>0</v>
      </c>
      <c r="AF392" s="1">
        <v>0.72</v>
      </c>
      <c r="AG392" s="1">
        <v>-31.35</v>
      </c>
      <c r="AH392" s="1" t="s">
        <v>1222</v>
      </c>
      <c r="AI392" s="1" t="s">
        <v>1523</v>
      </c>
      <c r="AJ392" s="1">
        <v>0.099</v>
      </c>
      <c r="AK392" s="1">
        <v>-1.424</v>
      </c>
      <c r="AY392" s="2">
        <f>HYPERLINK("https://vdatum.noaa.gov/vdatumweb/api/convert?s_x=-89.673&amp;s_y=29.8683&amp;s_z=0.0&amp;region=contiguous&amp;s_h_frame=NAD83_2011&amp;s_coor=geo&amp;s_v_frame=NAVD88&amp;s_v_unit=us_ft&amp;t_h_frame=NAD83_2011&amp;t_coor=geo&amp;t_v_frame=MLLW&amp;t_v_unit=us_ft", "NAVD88 to MLLW")</f>
        <v>0</v>
      </c>
      <c r="AZ392" s="2">
        <f>HYPERLINK("https://vdatum.noaa.gov/vdatumweb/api/convert?s_x=-89.673&amp;s_y=29.8683&amp;s_z=0.0&amp;region=contiguous&amp;s_h_frame=NAD83_2011&amp;s_coor=geo&amp;s_v_frame=NAVD88&amp;s_v_unit=us_ft&amp;t_h_frame=NAD83_2011&amp;t_coor=geo&amp;t_v_frame=MHHW&amp;t_v_unit=us_ft", "NAVD88 to MHHW")</f>
        <v>0</v>
      </c>
    </row>
    <row r="393" spans="1:52">
      <c r="A393" s="1" t="s">
        <v>417</v>
      </c>
      <c r="B393" s="1" t="s">
        <v>630</v>
      </c>
      <c r="C393" s="1" t="s">
        <v>649</v>
      </c>
      <c r="D393" s="1" t="s">
        <v>654</v>
      </c>
      <c r="E393" s="1" t="s">
        <v>767</v>
      </c>
      <c r="F393" s="1" t="s">
        <v>848</v>
      </c>
      <c r="G393" s="1" t="s">
        <v>856</v>
      </c>
      <c r="L393" s="1">
        <v>-89.80500000000001</v>
      </c>
      <c r="M393" s="1">
        <v>29.5733</v>
      </c>
      <c r="N393" s="1">
        <v>8761494</v>
      </c>
      <c r="O393" s="1" t="s">
        <v>861</v>
      </c>
      <c r="P393" s="1" t="s">
        <v>866</v>
      </c>
      <c r="Q393" s="2">
        <f>HYPERLINK("https://tidesandcurrents.noaa.gov/stationhome.html?id=8761494", "Station Info")</f>
        <v>0</v>
      </c>
      <c r="R393" s="2">
        <f>HYPERLINK("https://tidesandcurrents.noaa.gov/datums.html?datum=MLLW&amp;units=0&amp;epoch=0&amp;id=8761494", "Datum Info")</f>
        <v>0</v>
      </c>
      <c r="S393" s="2">
        <f>HYPERLINK("https://api.tidesandcurrents.noaa.gov/mdapi/prod/webapi/stations/8761494.json", "More Info")</f>
        <v>0</v>
      </c>
      <c r="T393" s="1">
        <v>10153655</v>
      </c>
      <c r="U393" s="1">
        <v>0</v>
      </c>
      <c r="V393" s="1" t="s">
        <v>869</v>
      </c>
      <c r="W393" s="1" t="s">
        <v>874</v>
      </c>
      <c r="AJ393" s="1">
        <v>-999999</v>
      </c>
      <c r="AK393" s="1">
        <v>-999999</v>
      </c>
      <c r="AY393" s="2">
        <f>HYPERLINK("https://vdatum.noaa.gov/vdatumweb/api/convert?s_x=-89.805&amp;s_y=29.5733&amp;s_z=0.0&amp;region=contiguous&amp;s_h_frame=NAD83_2011&amp;s_coor=geo&amp;s_v_frame=NAVD88&amp;s_v_unit=us_ft&amp;t_h_frame=NAD83_2011&amp;t_coor=geo&amp;t_v_frame=MLLW&amp;t_v_unit=us_ft", "Missing")</f>
        <v>0</v>
      </c>
      <c r="AZ393" s="2">
        <f>HYPERLINK("https://vdatum.noaa.gov/vdatumweb/api/convert?s_x=-89.805&amp;s_y=29.5733&amp;s_z=0.0&amp;region=contiguous&amp;s_h_frame=NAD83_2011&amp;s_coor=geo&amp;s_v_frame=NAVD88&amp;s_v_unit=us_ft&amp;t_h_frame=NAD83_2011&amp;t_coor=geo&amp;t_v_frame=MHHW&amp;t_v_unit=us_ft", "Missing")</f>
        <v>0</v>
      </c>
    </row>
    <row r="394" spans="1:52">
      <c r="A394" s="1" t="s">
        <v>418</v>
      </c>
      <c r="B394" s="1" t="s">
        <v>630</v>
      </c>
      <c r="C394" s="1" t="s">
        <v>649</v>
      </c>
      <c r="D394" s="1" t="s">
        <v>654</v>
      </c>
      <c r="E394" s="1" t="s">
        <v>758</v>
      </c>
      <c r="F394" s="1" t="s">
        <v>848</v>
      </c>
      <c r="G394" s="1" t="s">
        <v>856</v>
      </c>
      <c r="L394" s="1">
        <v>-89.95699999999999</v>
      </c>
      <c r="M394" s="1">
        <v>29.263</v>
      </c>
      <c r="N394" s="1">
        <v>8761724</v>
      </c>
      <c r="O394" s="1" t="s">
        <v>860</v>
      </c>
      <c r="P394" s="1" t="s">
        <v>866</v>
      </c>
      <c r="Q394" s="2">
        <f>HYPERLINK("https://tidesandcurrents.noaa.gov/stationhome.html?id=8761724", "Station Info")</f>
        <v>0</v>
      </c>
      <c r="R394" s="2">
        <f>HYPERLINK("https://tidesandcurrents.noaa.gov/datums.html?datum=MLLW&amp;units=0&amp;epoch=0&amp;id=8761724", "Datum Info")</f>
        <v>0</v>
      </c>
      <c r="S394" s="2">
        <f>HYPERLINK("https://api.tidesandcurrents.noaa.gov/mdapi/prod/webapi/stations/8761724.json", "More Info")</f>
        <v>0</v>
      </c>
      <c r="T394" s="1">
        <v>4866009</v>
      </c>
      <c r="U394" s="1">
        <v>0.055</v>
      </c>
      <c r="V394" s="1" t="s">
        <v>869</v>
      </c>
      <c r="W394" s="1" t="s">
        <v>874</v>
      </c>
      <c r="X394" s="1" t="s">
        <v>886</v>
      </c>
      <c r="Y394" s="1">
        <v>1.06</v>
      </c>
      <c r="Z394" s="1">
        <v>1.06</v>
      </c>
      <c r="AA394" s="1">
        <v>0.53</v>
      </c>
      <c r="AB394" s="1">
        <v>0.54</v>
      </c>
      <c r="AC394" s="1">
        <v>0.53</v>
      </c>
      <c r="AD394" s="1">
        <v>0.01</v>
      </c>
      <c r="AE394" s="1">
        <v>0</v>
      </c>
      <c r="AF394" s="1" t="s">
        <v>1035</v>
      </c>
      <c r="AG394" s="1">
        <v>-6.35</v>
      </c>
      <c r="AH394" s="1" t="s">
        <v>1260</v>
      </c>
      <c r="AI394" s="1" t="s">
        <v>1504</v>
      </c>
      <c r="AJ394" s="1">
        <v>0.354</v>
      </c>
      <c r="AK394" s="1">
        <v>-0.702</v>
      </c>
      <c r="AY394" s="2">
        <f>HYPERLINK("https://vdatum.noaa.gov/vdatumweb/api/convert?s_x=-89.957&amp;s_y=29.263&amp;s_z=0.0&amp;region=contiguous&amp;s_h_frame=NAD83_2011&amp;s_coor=geo&amp;s_v_frame=NAVD88&amp;s_v_unit=us_ft&amp;t_h_frame=NAD83_2011&amp;t_coor=geo&amp;t_v_frame=MLLW&amp;t_v_unit=us_ft", "NAVD88 to MLLW")</f>
        <v>0</v>
      </c>
      <c r="AZ394" s="2">
        <f>HYPERLINK("https://vdatum.noaa.gov/vdatumweb/api/convert?s_x=-89.957&amp;s_y=29.263&amp;s_z=0.0&amp;region=contiguous&amp;s_h_frame=NAD83_2011&amp;s_coor=geo&amp;s_v_frame=NAVD88&amp;s_v_unit=us_ft&amp;t_h_frame=NAD83_2011&amp;t_coor=geo&amp;t_v_frame=MHHW&amp;t_v_unit=us_ft", "NAVD88 to MHHW")</f>
        <v>0</v>
      </c>
    </row>
    <row r="395" spans="1:52">
      <c r="A395" s="1" t="s">
        <v>419</v>
      </c>
      <c r="B395" s="1" t="s">
        <v>630</v>
      </c>
      <c r="C395" s="1" t="s">
        <v>649</v>
      </c>
      <c r="D395" s="1" t="s">
        <v>654</v>
      </c>
      <c r="E395" s="1" t="s">
        <v>767</v>
      </c>
      <c r="F395" s="1" t="s">
        <v>848</v>
      </c>
      <c r="G395" s="1" t="s">
        <v>856</v>
      </c>
      <c r="L395" s="1">
        <v>-89.97329999999999</v>
      </c>
      <c r="M395" s="1">
        <v>29.69</v>
      </c>
      <c r="N395" s="1">
        <v>8761727</v>
      </c>
      <c r="O395" s="1" t="s">
        <v>861</v>
      </c>
      <c r="P395" s="1" t="s">
        <v>866</v>
      </c>
      <c r="Q395" s="2">
        <f>HYPERLINK("https://tidesandcurrents.noaa.gov/stationhome.html?id=8761727", "Station Info")</f>
        <v>0</v>
      </c>
      <c r="R395" s="2">
        <f>HYPERLINK("https://tidesandcurrents.noaa.gov/datums.html?datum=MLLW&amp;units=0&amp;epoch=0&amp;id=8761727", "Datum Info")</f>
        <v>0</v>
      </c>
      <c r="S395" s="2">
        <f>HYPERLINK("https://api.tidesandcurrents.noaa.gov/mdapi/prod/webapi/stations/8761727.json", "More Info")</f>
        <v>0</v>
      </c>
      <c r="T395" s="1">
        <v>10520382</v>
      </c>
      <c r="U395" s="1">
        <v>0</v>
      </c>
      <c r="V395" s="1" t="s">
        <v>869</v>
      </c>
      <c r="W395" s="1" t="s">
        <v>874</v>
      </c>
      <c r="AJ395" s="1">
        <v>-999999</v>
      </c>
      <c r="AK395" s="1">
        <v>-999999</v>
      </c>
      <c r="AY395" s="2">
        <f>HYPERLINK("https://vdatum.noaa.gov/vdatumweb/api/convert?s_x=-89.9733&amp;s_y=29.69&amp;s_z=0.0&amp;region=contiguous&amp;s_h_frame=NAD83_2011&amp;s_coor=geo&amp;s_v_frame=NAVD88&amp;s_v_unit=us_ft&amp;t_h_frame=NAD83_2011&amp;t_coor=geo&amp;t_v_frame=MLLW&amp;t_v_unit=us_ft", "Missing")</f>
        <v>0</v>
      </c>
      <c r="AZ395" s="2">
        <f>HYPERLINK("https://vdatum.noaa.gov/vdatumweb/api/convert?s_x=-89.9733&amp;s_y=29.69&amp;s_z=0.0&amp;region=contiguous&amp;s_h_frame=NAD83_2011&amp;s_coor=geo&amp;s_v_frame=NAVD88&amp;s_v_unit=us_ft&amp;t_h_frame=NAD83_2011&amp;t_coor=geo&amp;t_v_frame=MHHW&amp;t_v_unit=us_ft", "Missing")</f>
        <v>0</v>
      </c>
    </row>
    <row r="396" spans="1:52">
      <c r="A396" s="1" t="s">
        <v>420</v>
      </c>
      <c r="B396" s="1" t="s">
        <v>630</v>
      </c>
      <c r="C396" s="1" t="s">
        <v>649</v>
      </c>
      <c r="D396" s="1" t="s">
        <v>654</v>
      </c>
      <c r="L396" s="1">
        <v>-90.1133</v>
      </c>
      <c r="M396" s="1">
        <v>30.02722</v>
      </c>
      <c r="N396" s="1">
        <v>8761927</v>
      </c>
      <c r="O396" s="1" t="s">
        <v>860</v>
      </c>
      <c r="P396" s="1" t="s">
        <v>866</v>
      </c>
      <c r="Q396" s="2">
        <f>HYPERLINK("https://tidesandcurrents.noaa.gov/stationhome.html?id=8761927", "Station Info")</f>
        <v>0</v>
      </c>
      <c r="R396" s="2">
        <f>HYPERLINK("https://tidesandcurrents.noaa.gov/datums.html?datum=MLLW&amp;units=0&amp;epoch=0&amp;id=8761927", "Datum Info")</f>
        <v>0</v>
      </c>
      <c r="S396" s="2">
        <f>HYPERLINK("https://api.tidesandcurrents.noaa.gov/mdapi/prod/webapi/stations/8761927.json", "More Info")</f>
        <v>0</v>
      </c>
      <c r="T396" s="1">
        <v>8301386</v>
      </c>
      <c r="U396" s="1">
        <v>0</v>
      </c>
      <c r="V396" s="1" t="s">
        <v>869</v>
      </c>
      <c r="W396" s="1" t="s">
        <v>874</v>
      </c>
      <c r="X396" s="1" t="s">
        <v>886</v>
      </c>
      <c r="Y396" s="1">
        <v>0.54</v>
      </c>
      <c r="Z396" s="1">
        <v>0.54</v>
      </c>
      <c r="AA396" s="1">
        <v>0.27</v>
      </c>
      <c r="AB396" s="1">
        <v>0.27</v>
      </c>
      <c r="AC396" s="1">
        <v>0.27</v>
      </c>
      <c r="AD396" s="1">
        <v>-0.01</v>
      </c>
      <c r="AE396" s="1">
        <v>0</v>
      </c>
      <c r="AF396" s="1">
        <v>0.23</v>
      </c>
      <c r="AG396" s="1">
        <v>-4.3</v>
      </c>
      <c r="AH396" s="1" t="s">
        <v>1261</v>
      </c>
      <c r="AI396" s="1" t="s">
        <v>1524</v>
      </c>
      <c r="AJ396" s="1">
        <v>0.032</v>
      </c>
      <c r="AK396" s="1">
        <v>-0.48</v>
      </c>
      <c r="AY396" s="2">
        <f>HYPERLINK("https://vdatum.noaa.gov/vdatumweb/api/convert?s_x=-90.1133&amp;s_y=30.02722&amp;s_z=0.0&amp;region=contiguous&amp;s_h_frame=NAD83_2011&amp;s_coor=geo&amp;s_v_frame=NAVD88&amp;s_v_unit=us_ft&amp;t_h_frame=NAD83_2011&amp;t_coor=geo&amp;t_v_frame=MLLW&amp;t_v_unit=us_ft", "NAVD88 to MLLW")</f>
        <v>0</v>
      </c>
      <c r="AZ396" s="2">
        <f>HYPERLINK("https://vdatum.noaa.gov/vdatumweb/api/convert?s_x=-90.1133&amp;s_y=30.02722&amp;s_z=0.0&amp;region=contiguous&amp;s_h_frame=NAD83_2011&amp;s_coor=geo&amp;s_v_frame=NAVD88&amp;s_v_unit=us_ft&amp;t_h_frame=NAD83_2011&amp;t_coor=geo&amp;t_v_frame=MHHW&amp;t_v_unit=us_ft", "NAVD88 to MHHW")</f>
        <v>0</v>
      </c>
    </row>
    <row r="397" spans="1:52">
      <c r="A397" s="1" t="s">
        <v>421</v>
      </c>
      <c r="B397" s="1" t="s">
        <v>630</v>
      </c>
      <c r="C397" s="1" t="s">
        <v>649</v>
      </c>
      <c r="D397" s="1" t="s">
        <v>654</v>
      </c>
      <c r="E397" s="1" t="s">
        <v>769</v>
      </c>
      <c r="F397" s="1" t="s">
        <v>848</v>
      </c>
      <c r="G397" s="1" t="s">
        <v>856</v>
      </c>
      <c r="L397" s="1">
        <v>-90.13549999999999</v>
      </c>
      <c r="M397" s="1">
        <v>29.9329</v>
      </c>
      <c r="N397" s="1">
        <v>8761955</v>
      </c>
      <c r="O397" s="1" t="s">
        <v>861</v>
      </c>
      <c r="P397" s="1" t="s">
        <v>866</v>
      </c>
      <c r="Q397" s="2">
        <f>HYPERLINK("https://tidesandcurrents.noaa.gov/stationhome.html?id=8761955", "Station Info")</f>
        <v>0</v>
      </c>
      <c r="R397" s="2">
        <f>HYPERLINK("https://tidesandcurrents.noaa.gov/datums.html?datum=NAVD88&amp;units=0&amp;epoch=0&amp;id=8761955", "Datum Info")</f>
        <v>0</v>
      </c>
      <c r="S397" s="2">
        <f>HYPERLINK("https://api.tidesandcurrents.noaa.gov/mdapi/prod/webapi/stations/8761955.json", "More Info")</f>
        <v>0</v>
      </c>
      <c r="T397" s="1">
        <v>9642847</v>
      </c>
      <c r="U397" s="1">
        <v>0</v>
      </c>
      <c r="V397" s="1" t="s">
        <v>869</v>
      </c>
      <c r="W397" s="1" t="s">
        <v>874</v>
      </c>
      <c r="X397" s="1" t="s">
        <v>887</v>
      </c>
      <c r="AB397" s="1">
        <v>5.82</v>
      </c>
      <c r="AF397" s="1">
        <v>0</v>
      </c>
      <c r="AG397" s="1">
        <v>0.45</v>
      </c>
      <c r="AH397" s="1" t="s">
        <v>1262</v>
      </c>
      <c r="AJ397" s="1">
        <v>-999999</v>
      </c>
      <c r="AK397" s="1">
        <v>-999999</v>
      </c>
      <c r="AY397" s="2">
        <f>HYPERLINK("https://vdatum.noaa.gov/vdatumweb/api/convert?s_x=-90.1355&amp;s_y=29.9329&amp;s_z=0.0&amp;region=contiguous&amp;s_h_frame=NAD83_2011&amp;s_coor=geo&amp;s_v_frame=NAVD88&amp;s_v_unit=us_ft&amp;t_h_frame=NAD83_2011&amp;t_coor=geo&amp;t_v_frame=MLLW&amp;t_v_unit=us_ft", "Missing")</f>
        <v>0</v>
      </c>
      <c r="AZ397" s="2">
        <f>HYPERLINK("https://vdatum.noaa.gov/vdatumweb/api/convert?s_x=-90.1355&amp;s_y=29.9329&amp;s_z=0.0&amp;region=contiguous&amp;s_h_frame=NAD83_2011&amp;s_coor=geo&amp;s_v_frame=NAVD88&amp;s_v_unit=us_ft&amp;t_h_frame=NAD83_2011&amp;t_coor=geo&amp;t_v_frame=MHHW&amp;t_v_unit=us_ft", "Missing")</f>
        <v>0</v>
      </c>
    </row>
    <row r="398" spans="1:52">
      <c r="A398" s="1" t="s">
        <v>422</v>
      </c>
      <c r="B398" s="1" t="s">
        <v>630</v>
      </c>
      <c r="C398" s="1" t="s">
        <v>649</v>
      </c>
      <c r="D398" s="1" t="s">
        <v>654</v>
      </c>
      <c r="E398" s="1" t="s">
        <v>766</v>
      </c>
      <c r="F398" s="1" t="s">
        <v>848</v>
      </c>
      <c r="G398" s="1" t="s">
        <v>856</v>
      </c>
      <c r="H398" s="1" t="s">
        <v>1834</v>
      </c>
      <c r="I398" s="1" t="s">
        <v>1857</v>
      </c>
      <c r="J398" s="1" t="s">
        <v>1986</v>
      </c>
      <c r="K398" s="1" t="s">
        <v>2134</v>
      </c>
      <c r="L398" s="1">
        <v>-90.16</v>
      </c>
      <c r="M398" s="1">
        <v>30.3783</v>
      </c>
      <c r="N398" s="1">
        <v>8761993</v>
      </c>
      <c r="O398" s="1" t="s">
        <v>861</v>
      </c>
      <c r="P398" s="1" t="s">
        <v>866</v>
      </c>
      <c r="Q398" s="2">
        <f>HYPERLINK("https://tidesandcurrents.noaa.gov/stationhome.html?id=8761993", "Station Info")</f>
        <v>0</v>
      </c>
      <c r="R398" s="2">
        <f>HYPERLINK("https://tidesandcurrents.noaa.gov/datums.html?datum=MLLW&amp;units=0&amp;epoch=0&amp;id=8761993", "Datum Info")</f>
        <v>0</v>
      </c>
      <c r="S398" s="2">
        <f>HYPERLINK("https://api.tidesandcurrents.noaa.gov/mdapi/prod/webapi/stations/8761993.json", "More Info")</f>
        <v>0</v>
      </c>
      <c r="T398" s="1">
        <v>7440692</v>
      </c>
      <c r="U398" s="1">
        <v>0</v>
      </c>
      <c r="V398" s="1" t="s">
        <v>869</v>
      </c>
      <c r="W398" s="1" t="s">
        <v>874</v>
      </c>
      <c r="X398" s="1" t="s">
        <v>886</v>
      </c>
      <c r="Y398" s="1">
        <v>0.5600000000000001</v>
      </c>
      <c r="Z398" s="1">
        <v>0.5600000000000001</v>
      </c>
      <c r="AA398" s="1">
        <v>0.27</v>
      </c>
      <c r="AB398" s="1">
        <v>0.28</v>
      </c>
      <c r="AC398" s="1">
        <v>0.28</v>
      </c>
      <c r="AD398" s="1">
        <v>-0.02</v>
      </c>
      <c r="AE398" s="1">
        <v>0</v>
      </c>
      <c r="AF398" s="1" t="s">
        <v>1036</v>
      </c>
      <c r="AG398" s="1">
        <v>-2.84</v>
      </c>
      <c r="AH398" s="1" t="s">
        <v>1263</v>
      </c>
      <c r="AI398" s="1" t="s">
        <v>1525</v>
      </c>
      <c r="AJ398" s="1">
        <v>-0.109</v>
      </c>
      <c r="AK398" s="1">
        <v>-0.68</v>
      </c>
      <c r="AL398" s="1" t="s">
        <v>887</v>
      </c>
      <c r="AS398" s="1">
        <v>0</v>
      </c>
      <c r="AT398" s="1">
        <v>0</v>
      </c>
      <c r="AU398" s="1">
        <v>0</v>
      </c>
      <c r="AV398" s="1">
        <v>0</v>
      </c>
      <c r="AW398" s="1" t="s">
        <v>1744</v>
      </c>
      <c r="AX398" s="2">
        <f>HYPERLINK("https://water.weather.gov/ahps2/hydrograph.php?wfo=lix&amp;gage=msvl1", "AHPS Data")</f>
        <v>0</v>
      </c>
      <c r="AY398" s="2">
        <f>HYPERLINK("https://vdatum.noaa.gov/vdatumweb/api/convert?s_x=-90.16&amp;s_y=30.3783&amp;s_z=0.0&amp;region=contiguous&amp;s_h_frame=NAD83_2011&amp;s_coor=geo&amp;s_v_frame=NAVD88&amp;s_v_unit=us_ft&amp;t_h_frame=NAD83_2011&amp;t_coor=geo&amp;t_v_frame=MLLW&amp;t_v_unit=us_ft", "NAVD88 to MLLW")</f>
        <v>0</v>
      </c>
      <c r="AZ398" s="2">
        <f>HYPERLINK("https://vdatum.noaa.gov/vdatumweb/api/convert?s_x=-90.16&amp;s_y=30.3783&amp;s_z=0.0&amp;region=contiguous&amp;s_h_frame=NAD83_2011&amp;s_coor=geo&amp;s_v_frame=NAVD88&amp;s_v_unit=us_ft&amp;t_h_frame=NAD83_2011&amp;t_coor=geo&amp;t_v_frame=MHHW&amp;t_v_unit=us_ft", "NAVD88 to MHHW")</f>
        <v>0</v>
      </c>
    </row>
    <row r="399" spans="1:52">
      <c r="A399" s="1" t="s">
        <v>423</v>
      </c>
      <c r="B399" s="1" t="s">
        <v>630</v>
      </c>
      <c r="C399" s="1" t="s">
        <v>649</v>
      </c>
      <c r="D399" s="1" t="s">
        <v>654</v>
      </c>
      <c r="E399" s="1" t="s">
        <v>770</v>
      </c>
      <c r="F399" s="1" t="s">
        <v>848</v>
      </c>
      <c r="G399" s="1" t="s">
        <v>856</v>
      </c>
      <c r="L399" s="1">
        <v>-90.1992</v>
      </c>
      <c r="M399" s="1">
        <v>29.11417</v>
      </c>
      <c r="N399" s="1">
        <v>8762075</v>
      </c>
      <c r="O399" s="1" t="s">
        <v>860</v>
      </c>
      <c r="P399" s="1" t="s">
        <v>866</v>
      </c>
      <c r="Q399" s="2">
        <f>HYPERLINK("https://tidesandcurrents.noaa.gov/stationhome.html?id=8762075", "Station Info")</f>
        <v>0</v>
      </c>
      <c r="R399" s="2">
        <f>HYPERLINK("https://tidesandcurrents.noaa.gov/datums.html?datum=MLLW&amp;units=0&amp;epoch=0&amp;id=8762075", "Datum Info")</f>
        <v>0</v>
      </c>
      <c r="S399" s="2">
        <f>HYPERLINK("https://api.tidesandcurrents.noaa.gov/mdapi/prod/webapi/stations/8762075.json", "More Info")</f>
        <v>0</v>
      </c>
      <c r="T399" s="1">
        <v>3547884</v>
      </c>
      <c r="U399" s="1">
        <v>0</v>
      </c>
      <c r="V399" s="1" t="s">
        <v>869</v>
      </c>
      <c r="W399" s="1" t="s">
        <v>874</v>
      </c>
      <c r="X399" s="1" t="s">
        <v>886</v>
      </c>
      <c r="Y399" s="1">
        <v>1.21</v>
      </c>
      <c r="Z399" s="1">
        <v>1.2</v>
      </c>
      <c r="AA399" s="1">
        <v>0.61</v>
      </c>
      <c r="AB399" s="1">
        <v>0.63</v>
      </c>
      <c r="AC399" s="1">
        <v>0.61</v>
      </c>
      <c r="AD399" s="1">
        <v>0.02</v>
      </c>
      <c r="AE399" s="1">
        <v>0</v>
      </c>
      <c r="AG399" s="1">
        <v>-29.91</v>
      </c>
      <c r="AJ399" s="1">
        <v>-999999</v>
      </c>
      <c r="AK399" s="1">
        <v>-999999</v>
      </c>
      <c r="AY399" s="2">
        <f>HYPERLINK("https://vdatum.noaa.gov/vdatumweb/api/convert?s_x=-90.1992&amp;s_y=29.11417&amp;s_z=0.0&amp;region=contiguous&amp;s_h_frame=NAD83_2011&amp;s_coor=geo&amp;s_v_frame=NAVD88&amp;s_v_unit=us_ft&amp;t_h_frame=NAD83_2011&amp;t_coor=geo&amp;t_v_frame=MLLW&amp;t_v_unit=us_ft", "Missing")</f>
        <v>0</v>
      </c>
      <c r="AZ399" s="2">
        <f>HYPERLINK("https://vdatum.noaa.gov/vdatumweb/api/convert?s_x=-90.1992&amp;s_y=29.11417&amp;s_z=0.0&amp;region=contiguous&amp;s_h_frame=NAD83_2011&amp;s_coor=geo&amp;s_v_frame=NAVD88&amp;s_v_unit=us_ft&amp;t_h_frame=NAD83_2011&amp;t_coor=geo&amp;t_v_frame=MHHW&amp;t_v_unit=us_ft", "Missing")</f>
        <v>0</v>
      </c>
    </row>
    <row r="400" spans="1:52">
      <c r="A400" s="1" t="s">
        <v>424</v>
      </c>
      <c r="B400" s="1" t="s">
        <v>630</v>
      </c>
      <c r="C400" s="1" t="s">
        <v>649</v>
      </c>
      <c r="D400" s="1" t="s">
        <v>654</v>
      </c>
      <c r="E400" s="1" t="s">
        <v>771</v>
      </c>
      <c r="F400" s="1" t="s">
        <v>848</v>
      </c>
      <c r="G400" s="1" t="s">
        <v>856</v>
      </c>
      <c r="L400" s="1">
        <v>-90.36799999999999</v>
      </c>
      <c r="M400" s="1">
        <v>30.0503</v>
      </c>
      <c r="N400" s="1">
        <v>8762372</v>
      </c>
      <c r="O400" s="1" t="s">
        <v>860</v>
      </c>
      <c r="P400" s="1" t="s">
        <v>866</v>
      </c>
      <c r="Q400" s="2">
        <f>HYPERLINK("https://tidesandcurrents.noaa.gov/stationhome.html?id=8762372", "Station Info")</f>
        <v>0</v>
      </c>
      <c r="R400" s="2">
        <f>HYPERLINK("https://tidesandcurrents.noaa.gov/datums.html?datum=MLLW&amp;units=0&amp;epoch=0&amp;id=8762372", "Datum Info")</f>
        <v>0</v>
      </c>
      <c r="S400" s="2">
        <f>HYPERLINK("https://api.tidesandcurrents.noaa.gov/mdapi/prod/webapi/stations/8762372.json", "More Info")</f>
        <v>0</v>
      </c>
      <c r="T400" s="1">
        <v>8720289</v>
      </c>
      <c r="U400" s="1">
        <v>-0.91</v>
      </c>
      <c r="V400" s="1" t="s">
        <v>869</v>
      </c>
      <c r="W400" s="1" t="s">
        <v>874</v>
      </c>
      <c r="X400" s="1" t="s">
        <v>886</v>
      </c>
      <c r="Y400" s="1">
        <v>0.46</v>
      </c>
      <c r="Z400" s="1">
        <v>0.46</v>
      </c>
      <c r="AA400" s="1">
        <v>0.23</v>
      </c>
      <c r="AB400" s="1">
        <v>0.25</v>
      </c>
      <c r="AC400" s="1">
        <v>0.23</v>
      </c>
      <c r="AD400" s="1">
        <v>0.01</v>
      </c>
      <c r="AE400" s="1">
        <v>0</v>
      </c>
      <c r="AG400" s="1">
        <v>-32.51</v>
      </c>
      <c r="AJ400" s="1">
        <v>-999999</v>
      </c>
      <c r="AK400" s="1">
        <v>-999999</v>
      </c>
      <c r="AY400" s="2">
        <f>HYPERLINK("https://vdatum.noaa.gov/vdatumweb/api/convert?s_x=-90.368&amp;s_y=30.0503&amp;s_z=0.0&amp;region=contiguous&amp;s_h_frame=NAD83_2011&amp;s_coor=geo&amp;s_v_frame=NAVD88&amp;s_v_unit=us_ft&amp;t_h_frame=NAD83_2011&amp;t_coor=geo&amp;t_v_frame=MLLW&amp;t_v_unit=us_ft", "Missing")</f>
        <v>0</v>
      </c>
      <c r="AZ400" s="2">
        <f>HYPERLINK("https://vdatum.noaa.gov/vdatumweb/api/convert?s_x=-90.368&amp;s_y=30.0503&amp;s_z=0.0&amp;region=contiguous&amp;s_h_frame=NAD83_2011&amp;s_coor=geo&amp;s_v_frame=NAVD88&amp;s_v_unit=us_ft&amp;t_h_frame=NAD83_2011&amp;t_coor=geo&amp;t_v_frame=MHHW&amp;t_v_unit=us_ft", "Missing")</f>
        <v>0</v>
      </c>
    </row>
    <row r="401" spans="1:52">
      <c r="A401" s="1" t="s">
        <v>425</v>
      </c>
      <c r="B401" s="1" t="s">
        <v>630</v>
      </c>
      <c r="C401" s="1" t="s">
        <v>649</v>
      </c>
      <c r="D401" s="1" t="s">
        <v>654</v>
      </c>
      <c r="E401" s="1" t="s">
        <v>770</v>
      </c>
      <c r="F401" s="1" t="s">
        <v>848</v>
      </c>
      <c r="G401" s="1" t="s">
        <v>856</v>
      </c>
      <c r="L401" s="1">
        <v>-90.44670000000001</v>
      </c>
      <c r="M401" s="1">
        <v>29.4167</v>
      </c>
      <c r="N401" s="1">
        <v>8762525</v>
      </c>
      <c r="O401" s="1" t="s">
        <v>860</v>
      </c>
      <c r="P401" s="1" t="s">
        <v>866</v>
      </c>
      <c r="Q401" s="2">
        <f>HYPERLINK("https://tidesandcurrents.noaa.gov/stationhome.html?id=8762525", "Station Info")</f>
        <v>0</v>
      </c>
      <c r="R401" s="2">
        <f>HYPERLINK("https://tidesandcurrents.noaa.gov/datums.html?datum=MLLW&amp;units=0&amp;epoch=0&amp;id=8762525", "Datum Info")</f>
        <v>0</v>
      </c>
      <c r="S401" s="2">
        <f>HYPERLINK("https://api.tidesandcurrents.noaa.gov/mdapi/prod/webapi/stations/8762525.json", "More Info")</f>
        <v>0</v>
      </c>
      <c r="T401" s="1">
        <v>9825333</v>
      </c>
      <c r="U401" s="1">
        <v>0</v>
      </c>
      <c r="V401" s="1" t="s">
        <v>869</v>
      </c>
      <c r="W401" s="1" t="s">
        <v>874</v>
      </c>
      <c r="AJ401" s="1">
        <v>-999999</v>
      </c>
      <c r="AK401" s="1">
        <v>-999999</v>
      </c>
      <c r="AY401" s="2">
        <f>HYPERLINK("https://vdatum.noaa.gov/vdatumweb/api/convert?s_x=-90.4467&amp;s_y=29.4167&amp;s_z=0.0&amp;region=contiguous&amp;s_h_frame=NAD83_2011&amp;s_coor=geo&amp;s_v_frame=NAVD88&amp;s_v_unit=us_ft&amp;t_h_frame=NAD83_2011&amp;t_coor=geo&amp;t_v_frame=MLLW&amp;t_v_unit=us_ft", "Missing")</f>
        <v>0</v>
      </c>
      <c r="AZ401" s="2">
        <f>HYPERLINK("https://vdatum.noaa.gov/vdatumweb/api/convert?s_x=-90.4467&amp;s_y=29.4167&amp;s_z=0.0&amp;region=contiguous&amp;s_h_frame=NAD83_2011&amp;s_coor=geo&amp;s_v_frame=NAVD88&amp;s_v_unit=us_ft&amp;t_h_frame=NAD83_2011&amp;t_coor=geo&amp;t_v_frame=MHHW&amp;t_v_unit=us_ft", "Missing")</f>
        <v>0</v>
      </c>
    </row>
    <row r="402" spans="1:52">
      <c r="A402" s="1" t="s">
        <v>426</v>
      </c>
      <c r="B402" s="1" t="s">
        <v>630</v>
      </c>
      <c r="C402" s="1" t="s">
        <v>649</v>
      </c>
      <c r="D402" s="1" t="s">
        <v>654</v>
      </c>
      <c r="E402" s="1" t="s">
        <v>770</v>
      </c>
      <c r="F402" s="1" t="s">
        <v>848</v>
      </c>
      <c r="G402" s="1" t="s">
        <v>856</v>
      </c>
      <c r="L402" s="1">
        <v>-90.4717</v>
      </c>
      <c r="M402" s="1">
        <v>29.4567</v>
      </c>
      <c r="N402" s="1">
        <v>8762571</v>
      </c>
      <c r="O402" s="1" t="s">
        <v>860</v>
      </c>
      <c r="P402" s="1" t="s">
        <v>866</v>
      </c>
      <c r="Q402" s="2">
        <f>HYPERLINK("https://tidesandcurrents.noaa.gov/stationhome.html?id=8762571", "Station Info")</f>
        <v>0</v>
      </c>
      <c r="R402" s="2">
        <f>HYPERLINK("https://tidesandcurrents.noaa.gov/datums.html?datum=MLLW&amp;units=0&amp;epoch=0&amp;id=8762571", "Datum Info")</f>
        <v>0</v>
      </c>
      <c r="S402" s="2">
        <f>HYPERLINK("https://api.tidesandcurrents.noaa.gov/mdapi/prod/webapi/stations/8762571.json", "More Info")</f>
        <v>0</v>
      </c>
      <c r="T402" s="1">
        <v>9989157</v>
      </c>
      <c r="U402" s="1">
        <v>0</v>
      </c>
      <c r="V402" s="1" t="s">
        <v>869</v>
      </c>
      <c r="W402" s="1" t="s">
        <v>874</v>
      </c>
      <c r="AJ402" s="1">
        <v>-999999</v>
      </c>
      <c r="AK402" s="1">
        <v>-999999</v>
      </c>
      <c r="AY402" s="2">
        <f>HYPERLINK("https://vdatum.noaa.gov/vdatumweb/api/convert?s_x=-90.4717&amp;s_y=29.4567&amp;s_z=0.0&amp;region=contiguous&amp;s_h_frame=NAD83_2011&amp;s_coor=geo&amp;s_v_frame=NAVD88&amp;s_v_unit=us_ft&amp;t_h_frame=NAD83_2011&amp;t_coor=geo&amp;t_v_frame=MLLW&amp;t_v_unit=us_ft", "Missing")</f>
        <v>0</v>
      </c>
      <c r="AZ402" s="2">
        <f>HYPERLINK("https://vdatum.noaa.gov/vdatumweb/api/convert?s_x=-90.4717&amp;s_y=29.4567&amp;s_z=0.0&amp;region=contiguous&amp;s_h_frame=NAD83_2011&amp;s_coor=geo&amp;s_v_frame=NAVD88&amp;s_v_unit=us_ft&amp;t_h_frame=NAD83_2011&amp;t_coor=geo&amp;t_v_frame=MHHW&amp;t_v_unit=us_ft", "Missing")</f>
        <v>0</v>
      </c>
    </row>
    <row r="403" spans="1:52">
      <c r="A403" s="1" t="s">
        <v>427</v>
      </c>
      <c r="B403" s="1" t="s">
        <v>630</v>
      </c>
      <c r="C403" s="1" t="s">
        <v>649</v>
      </c>
      <c r="D403" s="1" t="s">
        <v>654</v>
      </c>
      <c r="E403" s="1" t="s">
        <v>771</v>
      </c>
      <c r="F403" s="1" t="s">
        <v>848</v>
      </c>
      <c r="G403" s="1" t="s">
        <v>856</v>
      </c>
      <c r="L403" s="1">
        <v>-90.4247</v>
      </c>
      <c r="M403" s="1">
        <v>29.9972</v>
      </c>
      <c r="N403" s="1" t="s">
        <v>859</v>
      </c>
      <c r="O403" s="1" t="s">
        <v>861</v>
      </c>
      <c r="P403" s="1" t="s">
        <v>859</v>
      </c>
      <c r="T403" s="1">
        <v>9745919</v>
      </c>
      <c r="U403" s="1">
        <v>0</v>
      </c>
      <c r="V403" s="1" t="s">
        <v>869</v>
      </c>
      <c r="W403" s="1" t="s">
        <v>874</v>
      </c>
      <c r="AJ403" s="1">
        <v>-999999</v>
      </c>
      <c r="AK403" s="1">
        <v>-999999</v>
      </c>
      <c r="AY403" s="2">
        <f>HYPERLINK("https://vdatum.noaa.gov/vdatumweb/api/convert?s_x=-90.4247&amp;s_y=29.9972&amp;s_z=0.0&amp;region=contiguous&amp;s_h_frame=NAD83_2011&amp;s_coor=geo&amp;s_v_frame=NAVD88&amp;s_v_unit=us_ft&amp;t_h_frame=NAD83_2011&amp;t_coor=geo&amp;t_v_frame=MLLW&amp;t_v_unit=us_ft", "Missing")</f>
        <v>0</v>
      </c>
      <c r="AZ403" s="2">
        <f>HYPERLINK("https://vdatum.noaa.gov/vdatumweb/api/convert?s_x=-90.4247&amp;s_y=29.9972&amp;s_z=0.0&amp;region=contiguous&amp;s_h_frame=NAD83_2011&amp;s_coor=geo&amp;s_v_frame=NAVD88&amp;s_v_unit=us_ft&amp;t_h_frame=NAD83_2011&amp;t_coor=geo&amp;t_v_frame=MHHW&amp;t_v_unit=us_ft", "Missing")</f>
        <v>0</v>
      </c>
    </row>
    <row r="404" spans="1:52">
      <c r="A404" s="1" t="s">
        <v>428</v>
      </c>
      <c r="B404" s="1" t="s">
        <v>630</v>
      </c>
      <c r="C404" s="1" t="s">
        <v>649</v>
      </c>
      <c r="D404" s="1" t="s">
        <v>654</v>
      </c>
      <c r="E404" s="1" t="s">
        <v>770</v>
      </c>
      <c r="F404" s="1" t="s">
        <v>848</v>
      </c>
      <c r="G404" s="1" t="s">
        <v>856</v>
      </c>
      <c r="L404" s="1">
        <v>-90.47669999999999</v>
      </c>
      <c r="M404" s="1">
        <v>29.824</v>
      </c>
      <c r="N404" s="1" t="s">
        <v>859</v>
      </c>
      <c r="O404" s="1" t="s">
        <v>861</v>
      </c>
      <c r="P404" s="1" t="s">
        <v>859</v>
      </c>
      <c r="T404" s="1">
        <v>4212986</v>
      </c>
      <c r="U404" s="1">
        <v>0</v>
      </c>
      <c r="V404" s="1" t="s">
        <v>869</v>
      </c>
      <c r="W404" s="1" t="s">
        <v>874</v>
      </c>
      <c r="AJ404" s="1">
        <v>-999999</v>
      </c>
      <c r="AK404" s="1">
        <v>-999999</v>
      </c>
      <c r="AY404" s="2">
        <f>HYPERLINK("https://vdatum.noaa.gov/vdatumweb/api/convert?s_x=-90.4767&amp;s_y=29.824&amp;s_z=0.0&amp;region=contiguous&amp;s_h_frame=NAD83_2011&amp;s_coor=geo&amp;s_v_frame=NAVD88&amp;s_v_unit=us_ft&amp;t_h_frame=NAD83_2011&amp;t_coor=geo&amp;t_v_frame=MLLW&amp;t_v_unit=us_ft", "Missing")</f>
        <v>0</v>
      </c>
      <c r="AZ404" s="2">
        <f>HYPERLINK("https://vdatum.noaa.gov/vdatumweb/api/convert?s_x=-90.4767&amp;s_y=29.824&amp;s_z=0.0&amp;region=contiguous&amp;s_h_frame=NAD83_2011&amp;s_coor=geo&amp;s_v_frame=NAVD88&amp;s_v_unit=us_ft&amp;t_h_frame=NAD83_2011&amp;t_coor=geo&amp;t_v_frame=MHHW&amp;t_v_unit=us_ft", "Missing")</f>
        <v>0</v>
      </c>
    </row>
    <row r="405" spans="1:52">
      <c r="A405" s="1" t="s">
        <v>429</v>
      </c>
      <c r="B405" s="1" t="s">
        <v>630</v>
      </c>
      <c r="C405" s="1" t="s">
        <v>649</v>
      </c>
      <c r="D405" s="1" t="s">
        <v>654</v>
      </c>
      <c r="E405" s="1" t="s">
        <v>758</v>
      </c>
      <c r="F405" s="1" t="s">
        <v>848</v>
      </c>
      <c r="G405" s="1" t="s">
        <v>856</v>
      </c>
      <c r="H405" s="1" t="s">
        <v>1835</v>
      </c>
      <c r="I405" s="1" t="s">
        <v>1857</v>
      </c>
      <c r="J405" s="1" t="s">
        <v>1987</v>
      </c>
      <c r="K405" s="1" t="s">
        <v>2135</v>
      </c>
      <c r="L405" s="1">
        <v>-90.16500000000001</v>
      </c>
      <c r="M405" s="1">
        <v>29.566</v>
      </c>
      <c r="N405" s="1" t="s">
        <v>859</v>
      </c>
      <c r="O405" s="1" t="s">
        <v>861</v>
      </c>
      <c r="P405" s="1" t="s">
        <v>859</v>
      </c>
      <c r="T405" s="1">
        <v>10380127</v>
      </c>
      <c r="U405" s="1">
        <v>0</v>
      </c>
      <c r="V405" s="1" t="s">
        <v>869</v>
      </c>
      <c r="W405" s="1" t="s">
        <v>874</v>
      </c>
      <c r="AJ405" s="1">
        <v>-0.167</v>
      </c>
      <c r="AK405" s="1">
        <v>-0.6840000000000001</v>
      </c>
      <c r="AS405" s="1">
        <v>0</v>
      </c>
      <c r="AT405" s="1">
        <v>0</v>
      </c>
      <c r="AU405" s="1">
        <v>0</v>
      </c>
      <c r="AV405" s="1">
        <v>0</v>
      </c>
      <c r="AW405" s="1" t="s">
        <v>1744</v>
      </c>
      <c r="AX405" s="2">
        <f>HYPERLINK("https://water.weather.gov/ahps2/hydrograph.php?wfo=lix&amp;gage=bppl1", "AHPS Data")</f>
        <v>0</v>
      </c>
      <c r="AY405" s="2">
        <f>HYPERLINK("https://vdatum.noaa.gov/vdatumweb/api/convert?s_x=-90.165&amp;s_y=29.566&amp;s_z=0.0&amp;region=contiguous&amp;s_h_frame=NAD83_2011&amp;s_coor=geo&amp;s_v_frame=NAVD88&amp;s_v_unit=us_ft&amp;t_h_frame=NAD83_2011&amp;t_coor=geo&amp;t_v_frame=MLLW&amp;t_v_unit=us_ft", "NAVD88 to MLLW")</f>
        <v>0</v>
      </c>
      <c r="AZ405" s="2">
        <f>HYPERLINK("https://vdatum.noaa.gov/vdatumweb/api/convert?s_x=-90.165&amp;s_y=29.566&amp;s_z=0.0&amp;region=contiguous&amp;s_h_frame=NAD83_2011&amp;s_coor=geo&amp;s_v_frame=NAVD88&amp;s_v_unit=us_ft&amp;t_h_frame=NAD83_2011&amp;t_coor=geo&amp;t_v_frame=MHHW&amp;t_v_unit=us_ft", "NAVD88 to MHHW")</f>
        <v>0</v>
      </c>
    </row>
    <row r="406" spans="1:52">
      <c r="A406" s="1" t="s">
        <v>430</v>
      </c>
      <c r="B406" s="1" t="s">
        <v>630</v>
      </c>
      <c r="C406" s="1" t="s">
        <v>649</v>
      </c>
      <c r="D406" s="1" t="s">
        <v>654</v>
      </c>
      <c r="E406" s="1" t="s">
        <v>772</v>
      </c>
      <c r="F406" s="1" t="s">
        <v>848</v>
      </c>
      <c r="G406" s="1" t="s">
        <v>856</v>
      </c>
      <c r="L406" s="1">
        <v>-91.32250000000001</v>
      </c>
      <c r="M406" s="1">
        <v>30.13</v>
      </c>
      <c r="N406" s="1" t="s">
        <v>859</v>
      </c>
      <c r="O406" s="1" t="s">
        <v>861</v>
      </c>
      <c r="P406" s="1" t="s">
        <v>859</v>
      </c>
      <c r="T406" s="1">
        <v>10364168</v>
      </c>
      <c r="U406" s="1">
        <v>0</v>
      </c>
      <c r="V406" s="1" t="s">
        <v>869</v>
      </c>
      <c r="W406" s="1" t="s">
        <v>874</v>
      </c>
      <c r="AJ406" s="1">
        <v>-999999</v>
      </c>
      <c r="AK406" s="1">
        <v>-999999</v>
      </c>
      <c r="AY406" s="2">
        <f>HYPERLINK("https://vdatum.noaa.gov/vdatumweb/api/convert?s_x=-91.3225&amp;s_y=30.13&amp;s_z=0.0&amp;region=contiguous&amp;s_h_frame=NAD83_2011&amp;s_coor=geo&amp;s_v_frame=NAVD88&amp;s_v_unit=us_ft&amp;t_h_frame=NAD83_2011&amp;t_coor=geo&amp;t_v_frame=MLLW&amp;t_v_unit=us_ft", "Missing")</f>
        <v>0</v>
      </c>
      <c r="AZ406" s="2">
        <f>HYPERLINK("https://vdatum.noaa.gov/vdatumweb/api/convert?s_x=-91.3225&amp;s_y=30.13&amp;s_z=0.0&amp;region=contiguous&amp;s_h_frame=NAD83_2011&amp;s_coor=geo&amp;s_v_frame=NAVD88&amp;s_v_unit=us_ft&amp;t_h_frame=NAD83_2011&amp;t_coor=geo&amp;t_v_frame=MHHW&amp;t_v_unit=us_ft", "Missing")</f>
        <v>0</v>
      </c>
    </row>
    <row r="407" spans="1:52">
      <c r="A407" s="1" t="s">
        <v>431</v>
      </c>
      <c r="B407" s="1" t="s">
        <v>630</v>
      </c>
      <c r="C407" s="1" t="s">
        <v>649</v>
      </c>
      <c r="D407" s="1" t="s">
        <v>654</v>
      </c>
      <c r="E407" s="1" t="s">
        <v>773</v>
      </c>
      <c r="F407" s="1" t="s">
        <v>848</v>
      </c>
      <c r="G407" s="1" t="s">
        <v>856</v>
      </c>
      <c r="L407" s="1">
        <v>-90.56861000000001</v>
      </c>
      <c r="M407" s="1">
        <v>30.05556</v>
      </c>
      <c r="N407" s="1" t="s">
        <v>859</v>
      </c>
      <c r="O407" s="1" t="s">
        <v>861</v>
      </c>
      <c r="P407" s="1" t="s">
        <v>859</v>
      </c>
      <c r="T407" s="1">
        <v>9679303</v>
      </c>
      <c r="U407" s="1">
        <v>0</v>
      </c>
      <c r="V407" s="1" t="s">
        <v>869</v>
      </c>
      <c r="W407" s="1" t="s">
        <v>874</v>
      </c>
      <c r="AJ407" s="1">
        <v>-999999</v>
      </c>
      <c r="AK407" s="1">
        <v>-999999</v>
      </c>
      <c r="AY407" s="2">
        <f>HYPERLINK("https://vdatum.noaa.gov/vdatumweb/api/convert?s_x=-90.56861&amp;s_y=30.05556&amp;s_z=0.0&amp;region=contiguous&amp;s_h_frame=NAD83_2011&amp;s_coor=geo&amp;s_v_frame=NAVD88&amp;s_v_unit=us_ft&amp;t_h_frame=NAD83_2011&amp;t_coor=geo&amp;t_v_frame=MLLW&amp;t_v_unit=us_ft", "Missing")</f>
        <v>0</v>
      </c>
      <c r="AZ407" s="2">
        <f>HYPERLINK("https://vdatum.noaa.gov/vdatumweb/api/convert?s_x=-90.56861&amp;s_y=30.05556&amp;s_z=0.0&amp;region=contiguous&amp;s_h_frame=NAD83_2011&amp;s_coor=geo&amp;s_v_frame=NAVD88&amp;s_v_unit=us_ft&amp;t_h_frame=NAD83_2011&amp;t_coor=geo&amp;t_v_frame=MHHW&amp;t_v_unit=us_ft", "Missing")</f>
        <v>0</v>
      </c>
    </row>
    <row r="408" spans="1:52">
      <c r="A408" s="1" t="s">
        <v>432</v>
      </c>
      <c r="B408" s="1" t="s">
        <v>630</v>
      </c>
      <c r="C408" s="1" t="s">
        <v>649</v>
      </c>
      <c r="D408" s="1" t="s">
        <v>654</v>
      </c>
      <c r="E408" s="1" t="s">
        <v>766</v>
      </c>
      <c r="F408" s="1" t="s">
        <v>848</v>
      </c>
      <c r="G408" s="1" t="s">
        <v>856</v>
      </c>
      <c r="L408" s="1">
        <v>-89.7186</v>
      </c>
      <c r="M408" s="1">
        <v>30.2917</v>
      </c>
      <c r="N408" s="1" t="s">
        <v>859</v>
      </c>
      <c r="O408" s="1" t="s">
        <v>861</v>
      </c>
      <c r="P408" s="1" t="s">
        <v>859</v>
      </c>
      <c r="T408" s="1">
        <v>4313192</v>
      </c>
      <c r="U408" s="1">
        <v>0</v>
      </c>
      <c r="V408" s="1" t="s">
        <v>869</v>
      </c>
      <c r="W408" s="1" t="s">
        <v>874</v>
      </c>
      <c r="AJ408" s="1">
        <v>-999999</v>
      </c>
      <c r="AK408" s="1">
        <v>-999999</v>
      </c>
      <c r="AY408" s="2">
        <f>HYPERLINK("https://vdatum.noaa.gov/vdatumweb/api/convert?s_x=-89.7186&amp;s_y=30.2917&amp;s_z=0.0&amp;region=contiguous&amp;s_h_frame=NAD83_2011&amp;s_coor=geo&amp;s_v_frame=NAVD88&amp;s_v_unit=us_ft&amp;t_h_frame=NAD83_2011&amp;t_coor=geo&amp;t_v_frame=MLLW&amp;t_v_unit=us_ft", "Missing")</f>
        <v>0</v>
      </c>
      <c r="AZ408" s="2">
        <f>HYPERLINK("https://vdatum.noaa.gov/vdatumweb/api/convert?s_x=-89.7186&amp;s_y=30.2917&amp;s_z=0.0&amp;region=contiguous&amp;s_h_frame=NAD83_2011&amp;s_coor=geo&amp;s_v_frame=NAVD88&amp;s_v_unit=us_ft&amp;t_h_frame=NAD83_2011&amp;t_coor=geo&amp;t_v_frame=MHHW&amp;t_v_unit=us_ft", "Missing")</f>
        <v>0</v>
      </c>
    </row>
    <row r="409" spans="1:52">
      <c r="A409" s="1" t="s">
        <v>433</v>
      </c>
      <c r="B409" s="1" t="s">
        <v>630</v>
      </c>
      <c r="C409" s="1" t="s">
        <v>649</v>
      </c>
      <c r="D409" s="1" t="s">
        <v>654</v>
      </c>
      <c r="E409" s="1" t="s">
        <v>767</v>
      </c>
      <c r="F409" s="1" t="s">
        <v>848</v>
      </c>
      <c r="G409" s="1" t="s">
        <v>856</v>
      </c>
      <c r="L409" s="1">
        <v>-89.4646</v>
      </c>
      <c r="M409" s="1">
        <v>29.364</v>
      </c>
      <c r="N409" s="1" t="s">
        <v>859</v>
      </c>
      <c r="O409" s="1" t="s">
        <v>860</v>
      </c>
      <c r="P409" s="1" t="s">
        <v>859</v>
      </c>
      <c r="T409" s="1">
        <v>9330252</v>
      </c>
      <c r="U409" s="1">
        <v>0</v>
      </c>
      <c r="V409" s="1" t="s">
        <v>869</v>
      </c>
      <c r="W409" s="1" t="s">
        <v>874</v>
      </c>
      <c r="AJ409" s="1">
        <v>-999999</v>
      </c>
      <c r="AK409" s="1">
        <v>-999999</v>
      </c>
      <c r="AY409" s="2">
        <f>HYPERLINK("https://vdatum.noaa.gov/vdatumweb/api/convert?s_x=-89.4646&amp;s_y=29.364&amp;s_z=0.0&amp;region=contiguous&amp;s_h_frame=NAD83_2011&amp;s_coor=geo&amp;s_v_frame=NAVD88&amp;s_v_unit=us_ft&amp;t_h_frame=NAD83_2011&amp;t_coor=geo&amp;t_v_frame=MLLW&amp;t_v_unit=us_ft", "Missing")</f>
        <v>0</v>
      </c>
      <c r="AZ409" s="2">
        <f>HYPERLINK("https://vdatum.noaa.gov/vdatumweb/api/convert?s_x=-89.4646&amp;s_y=29.364&amp;s_z=0.0&amp;region=contiguous&amp;s_h_frame=NAD83_2011&amp;s_coor=geo&amp;s_v_frame=NAVD88&amp;s_v_unit=us_ft&amp;t_h_frame=NAD83_2011&amp;t_coor=geo&amp;t_v_frame=MHHW&amp;t_v_unit=us_ft", "Missing")</f>
        <v>0</v>
      </c>
    </row>
    <row r="410" spans="1:52">
      <c r="A410" s="1" t="s">
        <v>434</v>
      </c>
      <c r="B410" s="1" t="s">
        <v>630</v>
      </c>
      <c r="C410" s="1" t="s">
        <v>649</v>
      </c>
      <c r="D410" s="1" t="s">
        <v>654</v>
      </c>
      <c r="E410" s="1" t="s">
        <v>774</v>
      </c>
      <c r="F410" s="1" t="s">
        <v>848</v>
      </c>
      <c r="G410" s="1" t="s">
        <v>856</v>
      </c>
      <c r="L410" s="1">
        <v>-90.718</v>
      </c>
      <c r="M410" s="1">
        <v>29.569</v>
      </c>
      <c r="N410" s="1" t="s">
        <v>859</v>
      </c>
      <c r="O410" s="1" t="s">
        <v>860</v>
      </c>
      <c r="P410" s="1" t="s">
        <v>859</v>
      </c>
      <c r="T410" s="1">
        <v>10272392</v>
      </c>
      <c r="U410" s="1">
        <v>0</v>
      </c>
      <c r="V410" s="1" t="s">
        <v>869</v>
      </c>
      <c r="W410" s="1" t="s">
        <v>874</v>
      </c>
      <c r="AJ410" s="1">
        <v>-999999</v>
      </c>
      <c r="AK410" s="1">
        <v>-999999</v>
      </c>
      <c r="AY410" s="2">
        <f>HYPERLINK("https://vdatum.noaa.gov/vdatumweb/api/convert?s_x=-90.718&amp;s_y=29.569&amp;s_z=0.0&amp;region=contiguous&amp;s_h_frame=NAD83_2011&amp;s_coor=geo&amp;s_v_frame=NAVD88&amp;s_v_unit=us_ft&amp;t_h_frame=NAD83_2011&amp;t_coor=geo&amp;t_v_frame=MLLW&amp;t_v_unit=us_ft", "Missing")</f>
        <v>0</v>
      </c>
      <c r="AZ410" s="2">
        <f>HYPERLINK("https://vdatum.noaa.gov/vdatumweb/api/convert?s_x=-90.718&amp;s_y=29.569&amp;s_z=0.0&amp;region=contiguous&amp;s_h_frame=NAD83_2011&amp;s_coor=geo&amp;s_v_frame=NAVD88&amp;s_v_unit=us_ft&amp;t_h_frame=NAD83_2011&amp;t_coor=geo&amp;t_v_frame=MHHW&amp;t_v_unit=us_ft", "Missing")</f>
        <v>0</v>
      </c>
    </row>
    <row r="411" spans="1:52">
      <c r="A411" s="1" t="s">
        <v>435</v>
      </c>
      <c r="B411" s="1" t="s">
        <v>630</v>
      </c>
      <c r="C411" s="1" t="s">
        <v>649</v>
      </c>
      <c r="D411" s="1" t="s">
        <v>654</v>
      </c>
      <c r="L411" s="1">
        <v>-89.2508</v>
      </c>
      <c r="M411" s="1">
        <v>29.14306</v>
      </c>
      <c r="N411" s="1" t="s">
        <v>859</v>
      </c>
      <c r="O411" s="1" t="s">
        <v>861</v>
      </c>
      <c r="P411" s="1" t="s">
        <v>859</v>
      </c>
      <c r="T411" s="1">
        <v>7650200</v>
      </c>
      <c r="U411" s="1">
        <v>0</v>
      </c>
      <c r="V411" s="1" t="s">
        <v>869</v>
      </c>
      <c r="W411" s="1" t="s">
        <v>874</v>
      </c>
      <c r="AJ411" s="1">
        <v>-0.255</v>
      </c>
      <c r="AK411" s="1">
        <v>-1.317</v>
      </c>
      <c r="AY411" s="2">
        <f>HYPERLINK("https://vdatum.noaa.gov/vdatumweb/api/convert?s_x=-89.2508&amp;s_y=29.14306&amp;s_z=0.0&amp;region=contiguous&amp;s_h_frame=NAD83_2011&amp;s_coor=geo&amp;s_v_frame=NAVD88&amp;s_v_unit=us_ft&amp;t_h_frame=NAD83_2011&amp;t_coor=geo&amp;t_v_frame=MLLW&amp;t_v_unit=us_ft", "NAVD88 to MLLW")</f>
        <v>0</v>
      </c>
      <c r="AZ411" s="2">
        <f>HYPERLINK("https://vdatum.noaa.gov/vdatumweb/api/convert?s_x=-89.2508&amp;s_y=29.14306&amp;s_z=0.0&amp;region=contiguous&amp;s_h_frame=NAD83_2011&amp;s_coor=geo&amp;s_v_frame=NAVD88&amp;s_v_unit=us_ft&amp;t_h_frame=NAD83_2011&amp;t_coor=geo&amp;t_v_frame=MHHW&amp;t_v_unit=us_ft", "NAVD88 to MHHW")</f>
        <v>0</v>
      </c>
    </row>
    <row r="412" spans="1:52">
      <c r="A412" s="1" t="s">
        <v>436</v>
      </c>
      <c r="B412" s="1" t="s">
        <v>630</v>
      </c>
      <c r="C412" s="1" t="s">
        <v>649</v>
      </c>
      <c r="D412" s="1" t="s">
        <v>654</v>
      </c>
      <c r="E412" s="1" t="s">
        <v>766</v>
      </c>
      <c r="F412" s="1" t="s">
        <v>848</v>
      </c>
      <c r="G412" s="1" t="s">
        <v>856</v>
      </c>
      <c r="L412" s="1">
        <v>-89.95639</v>
      </c>
      <c r="M412" s="1">
        <v>30.2647</v>
      </c>
      <c r="N412" s="1" t="s">
        <v>859</v>
      </c>
      <c r="O412" s="1" t="s">
        <v>861</v>
      </c>
      <c r="P412" s="1" t="s">
        <v>859</v>
      </c>
      <c r="T412" s="1">
        <v>7733346</v>
      </c>
      <c r="U412" s="1">
        <v>0</v>
      </c>
      <c r="V412" s="1" t="s">
        <v>869</v>
      </c>
      <c r="W412" s="1" t="s">
        <v>874</v>
      </c>
      <c r="AJ412" s="1">
        <v>-0.057</v>
      </c>
      <c r="AK412" s="1">
        <v>-0.5639999999999999</v>
      </c>
      <c r="AY412" s="2">
        <f>HYPERLINK("https://vdatum.noaa.gov/vdatumweb/api/convert?s_x=-89.95639&amp;s_y=30.2647&amp;s_z=0.0&amp;region=contiguous&amp;s_h_frame=NAD83_2011&amp;s_coor=geo&amp;s_v_frame=NAVD88&amp;s_v_unit=us_ft&amp;t_h_frame=NAD83_2011&amp;t_coor=geo&amp;t_v_frame=MLLW&amp;t_v_unit=us_ft", "NAVD88 to MLLW")</f>
        <v>0</v>
      </c>
      <c r="AZ412" s="2">
        <f>HYPERLINK("https://vdatum.noaa.gov/vdatumweb/api/convert?s_x=-89.95639&amp;s_y=30.2647&amp;s_z=0.0&amp;region=contiguous&amp;s_h_frame=NAD83_2011&amp;s_coor=geo&amp;s_v_frame=NAVD88&amp;s_v_unit=us_ft&amp;t_h_frame=NAD83_2011&amp;t_coor=geo&amp;t_v_frame=MHHW&amp;t_v_unit=us_ft", "NAVD88 to MHHW")</f>
        <v>0</v>
      </c>
    </row>
    <row r="413" spans="1:52">
      <c r="A413" s="1" t="s">
        <v>437</v>
      </c>
      <c r="B413" s="1" t="s">
        <v>630</v>
      </c>
      <c r="C413" s="1" t="s">
        <v>649</v>
      </c>
      <c r="D413" s="1" t="s">
        <v>654</v>
      </c>
      <c r="E413" s="1" t="s">
        <v>767</v>
      </c>
      <c r="F413" s="1" t="s">
        <v>848</v>
      </c>
      <c r="G413" s="1" t="s">
        <v>856</v>
      </c>
      <c r="H413" s="1" t="s">
        <v>1836</v>
      </c>
      <c r="I413" s="1" t="s">
        <v>1860</v>
      </c>
      <c r="J413" s="1" t="s">
        <v>1988</v>
      </c>
      <c r="K413" s="1" t="s">
        <v>2136</v>
      </c>
      <c r="L413" s="1">
        <v>-89.9778</v>
      </c>
      <c r="M413" s="1">
        <v>29.8569</v>
      </c>
      <c r="N413" s="1" t="s">
        <v>859</v>
      </c>
      <c r="O413" s="1" t="s">
        <v>861</v>
      </c>
      <c r="P413" s="1" t="s">
        <v>859</v>
      </c>
      <c r="T413" s="1">
        <v>10215042</v>
      </c>
      <c r="U413" s="1">
        <v>0</v>
      </c>
      <c r="V413" s="1" t="s">
        <v>869</v>
      </c>
      <c r="W413" s="1" t="s">
        <v>874</v>
      </c>
      <c r="AJ413" s="1">
        <v>-999999</v>
      </c>
      <c r="AK413" s="1">
        <v>-999999</v>
      </c>
      <c r="AL413" s="1" t="s">
        <v>887</v>
      </c>
      <c r="AS413" s="1">
        <v>0</v>
      </c>
      <c r="AT413" s="1">
        <v>0</v>
      </c>
      <c r="AU413" s="1">
        <v>0</v>
      </c>
      <c r="AV413" s="1">
        <v>0</v>
      </c>
      <c r="AW413" s="1" t="s">
        <v>1744</v>
      </c>
      <c r="AX413" s="2">
        <f>HYPERLINK("https://water.weather.gov/ahps2/hydrograph.php?wfo=lix&amp;gage=mbcl1", "AHPS Data")</f>
        <v>0</v>
      </c>
      <c r="AY413" s="2">
        <f>HYPERLINK("https://vdatum.noaa.gov/vdatumweb/api/convert?s_x=-89.9778&amp;s_y=29.8569&amp;s_z=0.0&amp;region=contiguous&amp;s_h_frame=NAD83_2011&amp;s_coor=geo&amp;s_v_frame=NAVD88&amp;s_v_unit=us_ft&amp;t_h_frame=NAD83_2011&amp;t_coor=geo&amp;t_v_frame=MLLW&amp;t_v_unit=us_ft", "Missing")</f>
        <v>0</v>
      </c>
      <c r="AZ413" s="2">
        <f>HYPERLINK("https://vdatum.noaa.gov/vdatumweb/api/convert?s_x=-89.9778&amp;s_y=29.8569&amp;s_z=0.0&amp;region=contiguous&amp;s_h_frame=NAD83_2011&amp;s_coor=geo&amp;s_v_frame=NAVD88&amp;s_v_unit=us_ft&amp;t_h_frame=NAD83_2011&amp;t_coor=geo&amp;t_v_frame=MHHW&amp;t_v_unit=us_ft", "Missing")</f>
        <v>0</v>
      </c>
    </row>
    <row r="414" spans="1:52">
      <c r="A414" s="1" t="s">
        <v>438</v>
      </c>
      <c r="B414" s="1" t="s">
        <v>630</v>
      </c>
      <c r="C414" s="1" t="s">
        <v>649</v>
      </c>
      <c r="D414" s="1" t="s">
        <v>654</v>
      </c>
      <c r="E414" s="1" t="s">
        <v>761</v>
      </c>
      <c r="F414" s="1" t="s">
        <v>848</v>
      </c>
      <c r="G414" s="1" t="s">
        <v>856</v>
      </c>
      <c r="L414" s="1">
        <v>-91.008</v>
      </c>
      <c r="M414" s="1">
        <v>29.945</v>
      </c>
      <c r="N414" s="1" t="s">
        <v>859</v>
      </c>
      <c r="O414" s="1" t="s">
        <v>860</v>
      </c>
      <c r="P414" s="1" t="s">
        <v>859</v>
      </c>
      <c r="T414" s="1">
        <v>10409628</v>
      </c>
      <c r="U414" s="1">
        <v>0</v>
      </c>
      <c r="V414" s="1" t="s">
        <v>869</v>
      </c>
      <c r="W414" s="1" t="s">
        <v>874</v>
      </c>
      <c r="AJ414" s="1">
        <v>-999999</v>
      </c>
      <c r="AK414" s="1">
        <v>-999999</v>
      </c>
      <c r="AY414" s="2">
        <f>HYPERLINK("https://vdatum.noaa.gov/vdatumweb/api/convert?s_x=-91.008&amp;s_y=29.945&amp;s_z=0.0&amp;region=contiguous&amp;s_h_frame=NAD83_2011&amp;s_coor=geo&amp;s_v_frame=NAVD88&amp;s_v_unit=us_ft&amp;t_h_frame=NAD83_2011&amp;t_coor=geo&amp;t_v_frame=MLLW&amp;t_v_unit=us_ft", "Missing")</f>
        <v>0</v>
      </c>
      <c r="AZ414" s="2">
        <f>HYPERLINK("https://vdatum.noaa.gov/vdatumweb/api/convert?s_x=-91.008&amp;s_y=29.945&amp;s_z=0.0&amp;region=contiguous&amp;s_h_frame=NAD83_2011&amp;s_coor=geo&amp;s_v_frame=NAVD88&amp;s_v_unit=us_ft&amp;t_h_frame=NAD83_2011&amp;t_coor=geo&amp;t_v_frame=MHHW&amp;t_v_unit=us_ft", "Missing")</f>
        <v>0</v>
      </c>
    </row>
    <row r="415" spans="1:52">
      <c r="A415" s="1" t="s">
        <v>439</v>
      </c>
      <c r="B415" s="1" t="s">
        <v>630</v>
      </c>
      <c r="C415" s="1" t="s">
        <v>649</v>
      </c>
      <c r="D415" s="1" t="s">
        <v>654</v>
      </c>
      <c r="E415" s="1" t="s">
        <v>775</v>
      </c>
      <c r="F415" s="1" t="s">
        <v>848</v>
      </c>
      <c r="G415" s="1" t="s">
        <v>856</v>
      </c>
      <c r="L415" s="1">
        <v>-91.66444</v>
      </c>
      <c r="M415" s="1">
        <v>30.96083</v>
      </c>
      <c r="N415" s="1" t="s">
        <v>859</v>
      </c>
      <c r="O415" s="1" t="s">
        <v>861</v>
      </c>
      <c r="P415" s="1" t="s">
        <v>859</v>
      </c>
      <c r="T415" s="1">
        <v>5260975</v>
      </c>
      <c r="U415" s="1">
        <v>0</v>
      </c>
      <c r="V415" s="1" t="s">
        <v>869</v>
      </c>
      <c r="W415" s="1" t="s">
        <v>874</v>
      </c>
      <c r="AJ415" s="1">
        <v>-999999</v>
      </c>
      <c r="AK415" s="1">
        <v>-999999</v>
      </c>
      <c r="AY415" s="2">
        <f>HYPERLINK("https://vdatum.noaa.gov/vdatumweb/api/convert?s_x=-91.66444&amp;s_y=30.96083&amp;s_z=0.0&amp;region=contiguous&amp;s_h_frame=NAD83_2011&amp;s_coor=geo&amp;s_v_frame=NAVD88&amp;s_v_unit=us_ft&amp;t_h_frame=NAD83_2011&amp;t_coor=geo&amp;t_v_frame=MLLW&amp;t_v_unit=us_ft", "Missing")</f>
        <v>0</v>
      </c>
      <c r="AZ415" s="2">
        <f>HYPERLINK("https://vdatum.noaa.gov/vdatumweb/api/convert?s_x=-91.66444&amp;s_y=30.96083&amp;s_z=0.0&amp;region=contiguous&amp;s_h_frame=NAD83_2011&amp;s_coor=geo&amp;s_v_frame=NAVD88&amp;s_v_unit=us_ft&amp;t_h_frame=NAD83_2011&amp;t_coor=geo&amp;t_v_frame=MHHW&amp;t_v_unit=us_ft", "Missing")</f>
        <v>0</v>
      </c>
    </row>
    <row r="416" spans="1:52">
      <c r="A416" s="1" t="s">
        <v>440</v>
      </c>
      <c r="B416" s="1" t="s">
        <v>630</v>
      </c>
      <c r="C416" s="1" t="s">
        <v>649</v>
      </c>
      <c r="D416" s="1" t="s">
        <v>654</v>
      </c>
      <c r="E416" s="1" t="s">
        <v>773</v>
      </c>
      <c r="F416" s="1" t="s">
        <v>848</v>
      </c>
      <c r="G416" s="1" t="s">
        <v>856</v>
      </c>
      <c r="L416" s="1">
        <v>-90.56861000000001</v>
      </c>
      <c r="M416" s="1">
        <v>30.05556</v>
      </c>
      <c r="N416" s="1" t="s">
        <v>859</v>
      </c>
      <c r="O416" s="1" t="s">
        <v>861</v>
      </c>
      <c r="P416" s="1" t="s">
        <v>859</v>
      </c>
      <c r="T416" s="1">
        <v>9679303</v>
      </c>
      <c r="U416" s="1">
        <v>0</v>
      </c>
      <c r="V416" s="1" t="s">
        <v>869</v>
      </c>
      <c r="W416" s="1" t="s">
        <v>874</v>
      </c>
      <c r="AJ416" s="1">
        <v>-999999</v>
      </c>
      <c r="AK416" s="1">
        <v>-999999</v>
      </c>
      <c r="AY416" s="2">
        <f>HYPERLINK("https://vdatum.noaa.gov/vdatumweb/api/convert?s_x=-90.56861&amp;s_y=30.05556&amp;s_z=0.0&amp;region=contiguous&amp;s_h_frame=NAD83_2011&amp;s_coor=geo&amp;s_v_frame=NAVD88&amp;s_v_unit=us_ft&amp;t_h_frame=NAD83_2011&amp;t_coor=geo&amp;t_v_frame=MLLW&amp;t_v_unit=us_ft", "Missing")</f>
        <v>0</v>
      </c>
      <c r="AZ416" s="2">
        <f>HYPERLINK("https://vdatum.noaa.gov/vdatumweb/api/convert?s_x=-90.56861&amp;s_y=30.05556&amp;s_z=0.0&amp;region=contiguous&amp;s_h_frame=NAD83_2011&amp;s_coor=geo&amp;s_v_frame=NAVD88&amp;s_v_unit=us_ft&amp;t_h_frame=NAD83_2011&amp;t_coor=geo&amp;t_v_frame=MHHW&amp;t_v_unit=us_ft", "Missing")</f>
        <v>0</v>
      </c>
    </row>
    <row r="417" spans="1:52">
      <c r="A417" s="1" t="s">
        <v>441</v>
      </c>
      <c r="B417" s="1" t="s">
        <v>630</v>
      </c>
      <c r="C417" s="1" t="s">
        <v>649</v>
      </c>
      <c r="D417" s="1" t="s">
        <v>654</v>
      </c>
      <c r="E417" s="1" t="s">
        <v>776</v>
      </c>
      <c r="F417" s="1" t="s">
        <v>848</v>
      </c>
      <c r="G417" s="1" t="s">
        <v>856</v>
      </c>
      <c r="L417" s="1">
        <v>-91.34417000000001</v>
      </c>
      <c r="M417" s="1">
        <v>30.7028</v>
      </c>
      <c r="N417" s="1" t="s">
        <v>859</v>
      </c>
      <c r="O417" s="1" t="s">
        <v>861</v>
      </c>
      <c r="P417" s="1" t="s">
        <v>859</v>
      </c>
      <c r="T417" s="1">
        <v>5833412</v>
      </c>
      <c r="U417" s="1">
        <v>0</v>
      </c>
      <c r="V417" s="1" t="s">
        <v>869</v>
      </c>
      <c r="W417" s="1" t="s">
        <v>874</v>
      </c>
      <c r="AJ417" s="1">
        <v>-999999</v>
      </c>
      <c r="AK417" s="1">
        <v>-999999</v>
      </c>
      <c r="AY417" s="2">
        <f>HYPERLINK("https://vdatum.noaa.gov/vdatumweb/api/convert?s_x=-91.34417&amp;s_y=30.7028&amp;s_z=0.0&amp;region=contiguous&amp;s_h_frame=NAD83_2011&amp;s_coor=geo&amp;s_v_frame=NAVD88&amp;s_v_unit=us_ft&amp;t_h_frame=NAD83_2011&amp;t_coor=geo&amp;t_v_frame=MLLW&amp;t_v_unit=us_ft", "Missing")</f>
        <v>0</v>
      </c>
      <c r="AZ417" s="2">
        <f>HYPERLINK("https://vdatum.noaa.gov/vdatumweb/api/convert?s_x=-91.34417&amp;s_y=30.7028&amp;s_z=0.0&amp;region=contiguous&amp;s_h_frame=NAD83_2011&amp;s_coor=geo&amp;s_v_frame=NAVD88&amp;s_v_unit=us_ft&amp;t_h_frame=NAD83_2011&amp;t_coor=geo&amp;t_v_frame=MHHW&amp;t_v_unit=us_ft", "Missing")</f>
        <v>0</v>
      </c>
    </row>
    <row r="418" spans="1:52">
      <c r="A418" s="1" t="s">
        <v>442</v>
      </c>
      <c r="B418" s="1" t="s">
        <v>630</v>
      </c>
      <c r="C418" s="1" t="s">
        <v>649</v>
      </c>
      <c r="D418" s="1" t="s">
        <v>654</v>
      </c>
      <c r="E418" s="1" t="s">
        <v>774</v>
      </c>
      <c r="F418" s="1" t="s">
        <v>848</v>
      </c>
      <c r="G418" s="1" t="s">
        <v>856</v>
      </c>
      <c r="L418" s="1">
        <v>-90.62</v>
      </c>
      <c r="M418" s="1">
        <v>29.386</v>
      </c>
      <c r="N418" s="1" t="s">
        <v>859</v>
      </c>
      <c r="O418" s="1" t="s">
        <v>860</v>
      </c>
      <c r="P418" s="1" t="s">
        <v>859</v>
      </c>
      <c r="T418" s="1">
        <v>10192623</v>
      </c>
      <c r="U418" s="1">
        <v>0</v>
      </c>
      <c r="V418" s="1" t="s">
        <v>869</v>
      </c>
      <c r="W418" s="1" t="s">
        <v>874</v>
      </c>
      <c r="AJ418" s="1">
        <v>-999999</v>
      </c>
      <c r="AK418" s="1">
        <v>-999999</v>
      </c>
      <c r="AY418" s="2">
        <f>HYPERLINK("https://vdatum.noaa.gov/vdatumweb/api/convert?s_x=-90.62&amp;s_y=29.386&amp;s_z=0.0&amp;region=contiguous&amp;s_h_frame=NAD83_2011&amp;s_coor=geo&amp;s_v_frame=NAVD88&amp;s_v_unit=us_ft&amp;t_h_frame=NAD83_2011&amp;t_coor=geo&amp;t_v_frame=MLLW&amp;t_v_unit=us_ft", "Missing")</f>
        <v>0</v>
      </c>
      <c r="AZ418" s="2">
        <f>HYPERLINK("https://vdatum.noaa.gov/vdatumweb/api/convert?s_x=-90.62&amp;s_y=29.386&amp;s_z=0.0&amp;region=contiguous&amp;s_h_frame=NAD83_2011&amp;s_coor=geo&amp;s_v_frame=NAVD88&amp;s_v_unit=us_ft&amp;t_h_frame=NAD83_2011&amp;t_coor=geo&amp;t_v_frame=MHHW&amp;t_v_unit=us_ft", "Missing")</f>
        <v>0</v>
      </c>
    </row>
    <row r="419" spans="1:52">
      <c r="A419" s="1" t="s">
        <v>443</v>
      </c>
      <c r="B419" s="1" t="s">
        <v>630</v>
      </c>
      <c r="C419" s="1" t="s">
        <v>649</v>
      </c>
      <c r="D419" s="1" t="s">
        <v>654</v>
      </c>
      <c r="E419" s="1" t="s">
        <v>770</v>
      </c>
      <c r="F419" s="1" t="s">
        <v>848</v>
      </c>
      <c r="G419" s="1" t="s">
        <v>856</v>
      </c>
      <c r="L419" s="1">
        <v>-90.242</v>
      </c>
      <c r="M419" s="1">
        <v>29.334</v>
      </c>
      <c r="N419" s="1" t="s">
        <v>859</v>
      </c>
      <c r="O419" s="1" t="s">
        <v>860</v>
      </c>
      <c r="P419" s="1" t="s">
        <v>859</v>
      </c>
      <c r="T419" s="1">
        <v>9597159</v>
      </c>
      <c r="U419" s="1">
        <v>0</v>
      </c>
      <c r="V419" s="1" t="s">
        <v>869</v>
      </c>
      <c r="W419" s="1" t="s">
        <v>874</v>
      </c>
      <c r="AJ419" s="1">
        <v>-999999</v>
      </c>
      <c r="AK419" s="1">
        <v>-999999</v>
      </c>
      <c r="AY419" s="2">
        <f>HYPERLINK("https://vdatum.noaa.gov/vdatumweb/api/convert?s_x=-90.242&amp;s_y=29.334&amp;s_z=0.0&amp;region=contiguous&amp;s_h_frame=NAD83_2011&amp;s_coor=geo&amp;s_v_frame=NAVD88&amp;s_v_unit=us_ft&amp;t_h_frame=NAD83_2011&amp;t_coor=geo&amp;t_v_frame=MLLW&amp;t_v_unit=us_ft", "Missing")</f>
        <v>0</v>
      </c>
      <c r="AZ419" s="2">
        <f>HYPERLINK("https://vdatum.noaa.gov/vdatumweb/api/convert?s_x=-90.242&amp;s_y=29.334&amp;s_z=0.0&amp;region=contiguous&amp;s_h_frame=NAD83_2011&amp;s_coor=geo&amp;s_v_frame=NAVD88&amp;s_v_unit=us_ft&amp;t_h_frame=NAD83_2011&amp;t_coor=geo&amp;t_v_frame=MHHW&amp;t_v_unit=us_ft", "Missing")</f>
        <v>0</v>
      </c>
    </row>
    <row r="420" spans="1:52">
      <c r="A420" s="1" t="s">
        <v>444</v>
      </c>
      <c r="B420" s="1" t="s">
        <v>630</v>
      </c>
      <c r="C420" s="1" t="s">
        <v>649</v>
      </c>
      <c r="D420" s="1" t="s">
        <v>654</v>
      </c>
      <c r="E420" s="1" t="s">
        <v>766</v>
      </c>
      <c r="F420" s="1" t="s">
        <v>848</v>
      </c>
      <c r="G420" s="1" t="s">
        <v>856</v>
      </c>
      <c r="L420" s="1">
        <v>-89.66889999999999</v>
      </c>
      <c r="M420" s="1">
        <v>30.2308</v>
      </c>
      <c r="N420" s="1" t="s">
        <v>859</v>
      </c>
      <c r="O420" s="1" t="s">
        <v>861</v>
      </c>
      <c r="P420" s="1" t="s">
        <v>859</v>
      </c>
      <c r="T420" s="1">
        <v>9739352</v>
      </c>
      <c r="U420" s="1">
        <v>0</v>
      </c>
      <c r="V420" s="1" t="s">
        <v>869</v>
      </c>
      <c r="W420" s="1" t="s">
        <v>874</v>
      </c>
      <c r="AJ420" s="1">
        <v>-999999</v>
      </c>
      <c r="AK420" s="1">
        <v>-999999</v>
      </c>
      <c r="AY420" s="2">
        <f>HYPERLINK("https://vdatum.noaa.gov/vdatumweb/api/convert?s_x=-89.6689&amp;s_y=30.2308&amp;s_z=0.0&amp;region=contiguous&amp;s_h_frame=NAD83_2011&amp;s_coor=geo&amp;s_v_frame=NAVD88&amp;s_v_unit=us_ft&amp;t_h_frame=NAD83_2011&amp;t_coor=geo&amp;t_v_frame=MLLW&amp;t_v_unit=us_ft", "Missing")</f>
        <v>0</v>
      </c>
      <c r="AZ420" s="2">
        <f>HYPERLINK("https://vdatum.noaa.gov/vdatumweb/api/convert?s_x=-89.6689&amp;s_y=30.2308&amp;s_z=0.0&amp;region=contiguous&amp;s_h_frame=NAD83_2011&amp;s_coor=geo&amp;s_v_frame=NAVD88&amp;s_v_unit=us_ft&amp;t_h_frame=NAD83_2011&amp;t_coor=geo&amp;t_v_frame=MHHW&amp;t_v_unit=us_ft", "Missing")</f>
        <v>0</v>
      </c>
    </row>
    <row r="421" spans="1:52">
      <c r="A421" s="1" t="s">
        <v>445</v>
      </c>
      <c r="B421" s="1" t="s">
        <v>630</v>
      </c>
      <c r="C421" s="1" t="s">
        <v>649</v>
      </c>
      <c r="D421" s="1" t="s">
        <v>654</v>
      </c>
      <c r="E421" s="1" t="s">
        <v>777</v>
      </c>
      <c r="F421" s="1" t="s">
        <v>849</v>
      </c>
      <c r="G421" s="1" t="s">
        <v>856</v>
      </c>
      <c r="H421" s="1" t="s">
        <v>1837</v>
      </c>
      <c r="I421" s="1" t="s">
        <v>1857</v>
      </c>
      <c r="J421" s="1" t="s">
        <v>1989</v>
      </c>
      <c r="K421" s="1" t="s">
        <v>2137</v>
      </c>
      <c r="L421" s="1">
        <v>-88.89335899</v>
      </c>
      <c r="M421" s="1">
        <v>30.47602513</v>
      </c>
      <c r="N421" s="1" t="s">
        <v>2243</v>
      </c>
      <c r="O421" s="1" t="s">
        <v>861</v>
      </c>
      <c r="P421" s="1" t="s">
        <v>867</v>
      </c>
      <c r="Q421" s="2">
        <f>HYPERLINK("https://waterdata.usgs.gov/nwis/nwismap/?site_no=02480590&amp;agency_cd=USGS", "Station Info")</f>
        <v>0</v>
      </c>
      <c r="R421" s="2">
        <f>HYPERLINK("https://waterservices.usgs.gov/nwis/site/?site=02480590&amp;format=rdb", "Datum Info")</f>
        <v>0</v>
      </c>
      <c r="T421" s="1">
        <v>4620938</v>
      </c>
      <c r="U421" s="1">
        <v>-0.27</v>
      </c>
      <c r="V421" s="1" t="s">
        <v>869</v>
      </c>
      <c r="W421" s="1" t="s">
        <v>874</v>
      </c>
      <c r="X421" s="1" t="s">
        <v>887</v>
      </c>
      <c r="AF421" s="1" t="s">
        <v>1037</v>
      </c>
      <c r="AJ421" s="1">
        <v>-999999</v>
      </c>
      <c r="AK421" s="1">
        <v>-999999</v>
      </c>
      <c r="AL421" s="1" t="s">
        <v>887</v>
      </c>
      <c r="AM421" s="1">
        <v>-0.88</v>
      </c>
      <c r="AN421" s="1" t="s">
        <v>1674</v>
      </c>
      <c r="AS421" s="1">
        <v>8</v>
      </c>
      <c r="AT421" s="1">
        <v>8</v>
      </c>
      <c r="AU421" s="1">
        <v>15</v>
      </c>
      <c r="AV421" s="1">
        <v>18</v>
      </c>
      <c r="AW421" s="1" t="s">
        <v>1744</v>
      </c>
      <c r="AX421" s="2">
        <f>HYPERLINK("https://water.weather.gov/ahps2/hydrograph.php?wfo=lix&amp;gage=dibm6", "AHPS Data")</f>
        <v>0</v>
      </c>
      <c r="AY421" s="2">
        <f>HYPERLINK("https://vdatum.noaa.gov/vdatumweb/api/convert?s_x=-88.89335899&amp;s_y=30.47602513&amp;s_z=0.0&amp;region=contiguous&amp;s_h_frame=NAD83_2011&amp;s_coor=geo&amp;s_v_frame=NAVD88&amp;s_v_unit=us_ft&amp;t_h_frame=NAD83_2011&amp;t_coor=geo&amp;t_v_frame=MLLW&amp;t_v_unit=us_ft", "Missing")</f>
        <v>0</v>
      </c>
      <c r="AZ421" s="2">
        <f>HYPERLINK("https://vdatum.noaa.gov/vdatumweb/api/convert?s_x=-88.89335899&amp;s_y=30.47602513&amp;s_z=0.0&amp;region=contiguous&amp;s_h_frame=NAD83_2011&amp;s_coor=geo&amp;s_v_frame=NAVD88&amp;s_v_unit=us_ft&amp;t_h_frame=NAD83_2011&amp;t_coor=geo&amp;t_v_frame=MHHW&amp;t_v_unit=us_ft", "Missing")</f>
        <v>0</v>
      </c>
    </row>
    <row r="422" spans="1:52">
      <c r="A422" s="1" t="s">
        <v>446</v>
      </c>
      <c r="B422" s="1" t="s">
        <v>630</v>
      </c>
      <c r="C422" s="1" t="s">
        <v>649</v>
      </c>
      <c r="D422" s="1" t="s">
        <v>654</v>
      </c>
      <c r="E422" s="1" t="s">
        <v>778</v>
      </c>
      <c r="F422" s="1" t="s">
        <v>849</v>
      </c>
      <c r="G422" s="1" t="s">
        <v>856</v>
      </c>
      <c r="L422" s="1">
        <v>-89.44138344</v>
      </c>
      <c r="M422" s="1">
        <v>30.38721667</v>
      </c>
      <c r="N422" s="1" t="s">
        <v>2244</v>
      </c>
      <c r="O422" s="1" t="s">
        <v>861</v>
      </c>
      <c r="P422" s="1" t="s">
        <v>867</v>
      </c>
      <c r="Q422" s="2">
        <f>HYPERLINK("https://waterdata.usgs.gov/nwis/nwismap/?site_no=02481660&amp;agency_cd=USGS", "Station Info")</f>
        <v>0</v>
      </c>
      <c r="R422" s="2">
        <f>HYPERLINK("https://waterservices.usgs.gov/nwis/site/?site=02481660&amp;format=rdb", "Datum Info")</f>
        <v>0</v>
      </c>
      <c r="T422" s="1">
        <v>4341521</v>
      </c>
      <c r="U422" s="1">
        <v>0</v>
      </c>
      <c r="V422" s="1" t="s">
        <v>869</v>
      </c>
      <c r="W422" s="1" t="s">
        <v>874</v>
      </c>
      <c r="X422" s="1" t="s">
        <v>887</v>
      </c>
      <c r="AF422" s="1" t="s">
        <v>956</v>
      </c>
      <c r="AJ422" s="1">
        <v>-999999</v>
      </c>
      <c r="AK422" s="1">
        <v>-999999</v>
      </c>
      <c r="AY422" s="2">
        <f>HYPERLINK("https://vdatum.noaa.gov/vdatumweb/api/convert?s_x=-89.44138344&amp;s_y=30.38721667&amp;s_z=0.0&amp;region=contiguous&amp;s_h_frame=NAD83_2011&amp;s_coor=geo&amp;s_v_frame=NAVD88&amp;s_v_unit=us_ft&amp;t_h_frame=NAD83_2011&amp;t_coor=geo&amp;t_v_frame=MLLW&amp;t_v_unit=us_ft", "Missing")</f>
        <v>0</v>
      </c>
      <c r="AZ422" s="2">
        <f>HYPERLINK("https://vdatum.noaa.gov/vdatumweb/api/convert?s_x=-89.44138344&amp;s_y=30.38721667&amp;s_z=0.0&amp;region=contiguous&amp;s_h_frame=NAD83_2011&amp;s_coor=geo&amp;s_v_frame=NAVD88&amp;s_v_unit=us_ft&amp;t_h_frame=NAD83_2011&amp;t_coor=geo&amp;t_v_frame=MHHW&amp;t_v_unit=us_ft", "Missing")</f>
        <v>0</v>
      </c>
    </row>
    <row r="423" spans="1:52">
      <c r="A423" s="1" t="s">
        <v>447</v>
      </c>
      <c r="B423" s="1" t="s">
        <v>630</v>
      </c>
      <c r="C423" s="1" t="s">
        <v>649</v>
      </c>
      <c r="D423" s="1" t="s">
        <v>654</v>
      </c>
      <c r="E423" s="1" t="s">
        <v>778</v>
      </c>
      <c r="F423" s="1" t="s">
        <v>849</v>
      </c>
      <c r="G423" s="1" t="s">
        <v>856</v>
      </c>
      <c r="H423" s="1" t="s">
        <v>1838</v>
      </c>
      <c r="I423" s="1" t="s">
        <v>1857</v>
      </c>
      <c r="J423" s="1" t="s">
        <v>1990</v>
      </c>
      <c r="K423" s="1" t="s">
        <v>2138</v>
      </c>
      <c r="L423" s="1">
        <v>-89.6458927</v>
      </c>
      <c r="M423" s="1">
        <v>30.352416</v>
      </c>
      <c r="N423" s="1" t="s">
        <v>2245</v>
      </c>
      <c r="O423" s="1" t="s">
        <v>861</v>
      </c>
      <c r="P423" s="1" t="s">
        <v>867</v>
      </c>
      <c r="Q423" s="2">
        <f>HYPERLINK("https://waterdata.usgs.gov/nwis/nwismap/?site_no=02492620&amp;agency_cd=USGS", "Station Info")</f>
        <v>0</v>
      </c>
      <c r="R423" s="2">
        <f>HYPERLINK("https://waterservices.usgs.gov/nwis/site/?site=02492620&amp;format=rdb", "Datum Info")</f>
        <v>0</v>
      </c>
      <c r="T423" s="1">
        <v>6147937</v>
      </c>
      <c r="U423" s="1">
        <v>0</v>
      </c>
      <c r="V423" s="1" t="s">
        <v>869</v>
      </c>
      <c r="W423" s="1" t="s">
        <v>874</v>
      </c>
      <c r="X423" s="1" t="s">
        <v>887</v>
      </c>
      <c r="AF423" s="1" t="s">
        <v>1025</v>
      </c>
      <c r="AH423" s="1" t="s">
        <v>1264</v>
      </c>
      <c r="AJ423" s="1">
        <v>-999999</v>
      </c>
      <c r="AK423" s="1">
        <v>-999999</v>
      </c>
      <c r="AL423" s="1" t="s">
        <v>887</v>
      </c>
      <c r="AM423" s="1">
        <v>0</v>
      </c>
      <c r="AN423" s="1" t="s">
        <v>1427</v>
      </c>
      <c r="AS423" s="1">
        <v>0</v>
      </c>
      <c r="AT423" s="1">
        <v>0</v>
      </c>
      <c r="AU423" s="1">
        <v>0</v>
      </c>
      <c r="AV423" s="1">
        <v>0</v>
      </c>
      <c r="AW423" s="1" t="s">
        <v>1744</v>
      </c>
      <c r="AX423" s="2">
        <f>HYPERLINK("https://water.weather.gov/ahps2/hydrograph.php?wfo=lix&amp;gage=napm6", "AHPS Data")</f>
        <v>0</v>
      </c>
      <c r="AY423" s="2">
        <f>HYPERLINK("https://vdatum.noaa.gov/vdatumweb/api/convert?s_x=-89.6458927&amp;s_y=30.352416&amp;s_z=0.0&amp;region=contiguous&amp;s_h_frame=NAD83_2011&amp;s_coor=geo&amp;s_v_frame=NAVD88&amp;s_v_unit=us_ft&amp;t_h_frame=NAD83_2011&amp;t_coor=geo&amp;t_v_frame=MLLW&amp;t_v_unit=us_ft", "Missing")</f>
        <v>0</v>
      </c>
      <c r="AZ423" s="2">
        <f>HYPERLINK("https://vdatum.noaa.gov/vdatumweb/api/convert?s_x=-89.6458927&amp;s_y=30.352416&amp;s_z=0.0&amp;region=contiguous&amp;s_h_frame=NAD83_2011&amp;s_coor=geo&amp;s_v_frame=NAVD88&amp;s_v_unit=us_ft&amp;t_h_frame=NAD83_2011&amp;t_coor=geo&amp;t_v_frame=MHHW&amp;t_v_unit=us_ft", "Missing")</f>
        <v>0</v>
      </c>
    </row>
    <row r="424" spans="1:52">
      <c r="A424" s="1" t="s">
        <v>448</v>
      </c>
      <c r="B424" s="1" t="s">
        <v>630</v>
      </c>
      <c r="C424" s="1" t="s">
        <v>649</v>
      </c>
      <c r="D424" s="1" t="s">
        <v>654</v>
      </c>
      <c r="E424" s="1" t="s">
        <v>767</v>
      </c>
      <c r="F424" s="1" t="s">
        <v>848</v>
      </c>
      <c r="G424" s="1" t="s">
        <v>856</v>
      </c>
      <c r="L424" s="1">
        <v>-89.3500536</v>
      </c>
      <c r="M424" s="1">
        <v>29.2741095</v>
      </c>
      <c r="N424" s="1" t="s">
        <v>2246</v>
      </c>
      <c r="O424" s="1" t="s">
        <v>861</v>
      </c>
      <c r="P424" s="1" t="s">
        <v>867</v>
      </c>
      <c r="Q424" s="2">
        <f>HYPERLINK("https://waterdata.usgs.gov/nwis/nwismap/?site_no=07374550&amp;agency_cd=USGS", "Station Info")</f>
        <v>0</v>
      </c>
      <c r="R424" s="2">
        <f>HYPERLINK("https://waterservices.usgs.gov/nwis/site/?site=07374550&amp;format=rdb", "Datum Info")</f>
        <v>0</v>
      </c>
      <c r="T424" s="1">
        <v>9509996</v>
      </c>
      <c r="U424" s="1">
        <v>0</v>
      </c>
      <c r="V424" s="1" t="s">
        <v>869</v>
      </c>
      <c r="W424" s="1" t="s">
        <v>874</v>
      </c>
      <c r="AJ424" s="1">
        <v>-999999</v>
      </c>
      <c r="AK424" s="1">
        <v>-999999</v>
      </c>
      <c r="AY424" s="2">
        <f>HYPERLINK("https://vdatum.noaa.gov/vdatumweb/api/convert?s_x=-89.3500536&amp;s_y=29.2741095&amp;s_z=0.0&amp;region=contiguous&amp;s_h_frame=NAD83_2011&amp;s_coor=geo&amp;s_v_frame=NAVD88&amp;s_v_unit=us_ft&amp;t_h_frame=NAD83_2011&amp;t_coor=geo&amp;t_v_frame=MLLW&amp;t_v_unit=us_ft", "Missing")</f>
        <v>0</v>
      </c>
      <c r="AZ424" s="2">
        <f>HYPERLINK("https://vdatum.noaa.gov/vdatumweb/api/convert?s_x=-89.3500536&amp;s_y=29.2741095&amp;s_z=0.0&amp;region=contiguous&amp;s_h_frame=NAD83_2011&amp;s_coor=geo&amp;s_v_frame=NAVD88&amp;s_v_unit=us_ft&amp;t_h_frame=NAD83_2011&amp;t_coor=geo&amp;t_v_frame=MHHW&amp;t_v_unit=us_ft", "Missing")</f>
        <v>0</v>
      </c>
    </row>
    <row r="425" spans="1:52">
      <c r="A425" s="1" t="s">
        <v>449</v>
      </c>
      <c r="B425" s="1" t="s">
        <v>630</v>
      </c>
      <c r="C425" s="1" t="s">
        <v>649</v>
      </c>
      <c r="D425" s="1" t="s">
        <v>654</v>
      </c>
      <c r="E425" s="1" t="s">
        <v>779</v>
      </c>
      <c r="F425" s="1" t="s">
        <v>848</v>
      </c>
      <c r="G425" s="1" t="s">
        <v>856</v>
      </c>
      <c r="H425" s="1" t="s">
        <v>1839</v>
      </c>
      <c r="I425" s="1" t="s">
        <v>1857</v>
      </c>
      <c r="J425" s="1" t="s">
        <v>1991</v>
      </c>
      <c r="K425" s="1" t="s">
        <v>2139</v>
      </c>
      <c r="L425" s="1">
        <v>-90.33457758999999</v>
      </c>
      <c r="M425" s="1">
        <v>30.44368893</v>
      </c>
      <c r="N425" s="1" t="s">
        <v>2247</v>
      </c>
      <c r="O425" s="1" t="s">
        <v>861</v>
      </c>
      <c r="P425" s="1" t="s">
        <v>867</v>
      </c>
      <c r="Q425" s="2">
        <f>HYPERLINK("https://waterdata.usgs.gov/nwis/nwismap/?site_no=07375650&amp;agency_cd=USGS", "Station Info")</f>
        <v>0</v>
      </c>
      <c r="R425" s="2">
        <f>HYPERLINK("https://waterservices.usgs.gov/nwis/site/?site=07375650&amp;format=rdb", "Datum Info")</f>
        <v>0</v>
      </c>
      <c r="T425" s="1">
        <v>5260974</v>
      </c>
      <c r="U425" s="1">
        <v>-0.82</v>
      </c>
      <c r="V425" s="1" t="s">
        <v>869</v>
      </c>
      <c r="W425" s="1" t="s">
        <v>874</v>
      </c>
      <c r="X425" s="1" t="s">
        <v>887</v>
      </c>
      <c r="AF425" s="1" t="s">
        <v>1038</v>
      </c>
      <c r="AH425" s="1" t="s">
        <v>1265</v>
      </c>
      <c r="AJ425" s="1">
        <v>-999999</v>
      </c>
      <c r="AK425" s="1">
        <v>-999999</v>
      </c>
      <c r="AS425" s="1">
        <v>0</v>
      </c>
      <c r="AT425" s="1">
        <v>0</v>
      </c>
      <c r="AU425" s="1">
        <v>0</v>
      </c>
      <c r="AV425" s="1">
        <v>0</v>
      </c>
      <c r="AW425" s="1" t="s">
        <v>1744</v>
      </c>
      <c r="AX425" s="2">
        <f>HYPERLINK("https://water.weather.gov/ahps2/hydrograph.php?wfo=lix&amp;gage=pntl1", "AHPS Data")</f>
        <v>0</v>
      </c>
      <c r="AY425" s="2">
        <f>HYPERLINK("https://vdatum.noaa.gov/vdatumweb/api/convert?s_x=-90.33457759&amp;s_y=30.44368893&amp;s_z=0.0&amp;region=contiguous&amp;s_h_frame=NAD83_2011&amp;s_coor=geo&amp;s_v_frame=NAVD88&amp;s_v_unit=us_ft&amp;t_h_frame=NAD83_2011&amp;t_coor=geo&amp;t_v_frame=MLLW&amp;t_v_unit=us_ft", "Missing")</f>
        <v>0</v>
      </c>
      <c r="AZ425" s="2">
        <f>HYPERLINK("https://vdatum.noaa.gov/vdatumweb/api/convert?s_x=-90.33457759&amp;s_y=30.44368893&amp;s_z=0.0&amp;region=contiguous&amp;s_h_frame=NAD83_2011&amp;s_coor=geo&amp;s_v_frame=NAVD88&amp;s_v_unit=us_ft&amp;t_h_frame=NAD83_2011&amp;t_coor=geo&amp;t_v_frame=MHHW&amp;t_v_unit=us_ft", "Missing")</f>
        <v>0</v>
      </c>
    </row>
    <row r="426" spans="1:52">
      <c r="A426" s="1" t="s">
        <v>450</v>
      </c>
      <c r="B426" s="1" t="s">
        <v>630</v>
      </c>
      <c r="C426" s="1" t="s">
        <v>649</v>
      </c>
      <c r="D426" s="1" t="s">
        <v>654</v>
      </c>
      <c r="E426" s="1" t="s">
        <v>780</v>
      </c>
      <c r="F426" s="1" t="s">
        <v>848</v>
      </c>
      <c r="G426" s="1" t="s">
        <v>856</v>
      </c>
      <c r="L426" s="1">
        <v>-90.5511111</v>
      </c>
      <c r="M426" s="1">
        <v>30.37655556</v>
      </c>
      <c r="N426" s="1" t="s">
        <v>2248</v>
      </c>
      <c r="O426" s="1" t="s">
        <v>861</v>
      </c>
      <c r="P426" s="1" t="s">
        <v>867</v>
      </c>
      <c r="Q426" s="2">
        <f>HYPERLINK("https://waterdata.usgs.gov/nwis/nwismap/?site_no=07376300&amp;agency_cd=USGS", "Station Info")</f>
        <v>0</v>
      </c>
      <c r="R426" s="2">
        <f>HYPERLINK("https://waterservices.usgs.gov/nwis/site/?site=07376300&amp;format=rdb", "Datum Info")</f>
        <v>0</v>
      </c>
      <c r="T426" s="1">
        <v>9358289</v>
      </c>
      <c r="U426" s="1">
        <v>-0.48</v>
      </c>
      <c r="V426" s="1" t="s">
        <v>869</v>
      </c>
      <c r="W426" s="1" t="s">
        <v>874</v>
      </c>
      <c r="X426" s="1" t="s">
        <v>887</v>
      </c>
      <c r="AF426" s="1" t="s">
        <v>1039</v>
      </c>
      <c r="AH426" s="1" t="s">
        <v>1266</v>
      </c>
      <c r="AJ426" s="1">
        <v>-999999</v>
      </c>
      <c r="AK426" s="1">
        <v>-999999</v>
      </c>
      <c r="AY426" s="2">
        <f>HYPERLINK("https://vdatum.noaa.gov/vdatumweb/api/convert?s_x=-90.5511111&amp;s_y=30.37655556&amp;s_z=0.0&amp;region=contiguous&amp;s_h_frame=NAD83_2011&amp;s_coor=geo&amp;s_v_frame=NAVD88&amp;s_v_unit=us_ft&amp;t_h_frame=NAD83_2011&amp;t_coor=geo&amp;t_v_frame=MLLW&amp;t_v_unit=us_ft", "Missing")</f>
        <v>0</v>
      </c>
      <c r="AZ426" s="2">
        <f>HYPERLINK("https://vdatum.noaa.gov/vdatumweb/api/convert?s_x=-90.5511111&amp;s_y=30.37655556&amp;s_z=0.0&amp;region=contiguous&amp;s_h_frame=NAD83_2011&amp;s_coor=geo&amp;s_v_frame=NAVD88&amp;s_v_unit=us_ft&amp;t_h_frame=NAD83_2011&amp;t_coor=geo&amp;t_v_frame=MHHW&amp;t_v_unit=us_ft", "Missing")</f>
        <v>0</v>
      </c>
    </row>
    <row r="427" spans="1:52">
      <c r="A427" s="1" t="s">
        <v>451</v>
      </c>
      <c r="B427" s="1" t="s">
        <v>630</v>
      </c>
      <c r="C427" s="1" t="s">
        <v>649</v>
      </c>
      <c r="D427" s="1" t="s">
        <v>654</v>
      </c>
      <c r="E427" s="1" t="s">
        <v>780</v>
      </c>
      <c r="F427" s="1" t="s">
        <v>848</v>
      </c>
      <c r="G427" s="1" t="s">
        <v>856</v>
      </c>
      <c r="H427" s="1" t="s">
        <v>1840</v>
      </c>
      <c r="I427" s="1" t="s">
        <v>1857</v>
      </c>
      <c r="J427" s="1" t="s">
        <v>1992</v>
      </c>
      <c r="K427" s="1" t="s">
        <v>2140</v>
      </c>
      <c r="L427" s="1">
        <v>-90.60871643</v>
      </c>
      <c r="M427" s="1">
        <v>30.30768897</v>
      </c>
      <c r="N427" s="1" t="s">
        <v>2249</v>
      </c>
      <c r="O427" s="1" t="s">
        <v>861</v>
      </c>
      <c r="P427" s="1" t="s">
        <v>867</v>
      </c>
      <c r="Q427" s="2">
        <f>HYPERLINK("https://waterdata.usgs.gov/nwis/nwismap/?site_no=07380215&amp;agency_cd=USGS", "Station Info")</f>
        <v>0</v>
      </c>
      <c r="R427" s="2">
        <f>HYPERLINK("https://waterservices.usgs.gov/nwis/site/?site=07380215&amp;format=rdb", "Datum Info")</f>
        <v>0</v>
      </c>
      <c r="T427" s="1">
        <v>9066965</v>
      </c>
      <c r="U427" s="1">
        <v>-0.38</v>
      </c>
      <c r="V427" s="1" t="s">
        <v>869</v>
      </c>
      <c r="W427" s="1" t="s">
        <v>874</v>
      </c>
      <c r="X427" s="1" t="s">
        <v>887</v>
      </c>
      <c r="AF427" s="1" t="s">
        <v>1040</v>
      </c>
      <c r="AH427" s="1" t="s">
        <v>1267</v>
      </c>
      <c r="AJ427" s="1">
        <v>-999999</v>
      </c>
      <c r="AK427" s="1">
        <v>-999999</v>
      </c>
      <c r="AL427" s="1" t="s">
        <v>887</v>
      </c>
      <c r="AM427" s="1">
        <v>0</v>
      </c>
      <c r="AS427" s="1">
        <v>0</v>
      </c>
      <c r="AT427" s="1">
        <v>4</v>
      </c>
      <c r="AU427" s="1">
        <v>5</v>
      </c>
      <c r="AV427" s="1">
        <v>7</v>
      </c>
      <c r="AW427" s="1" t="s">
        <v>1744</v>
      </c>
      <c r="AX427" s="2">
        <f>HYPERLINK("https://water.weather.gov/ahps2/hydrograph.php?wfo=lix&amp;gage=maul1", "AHPS Data")</f>
        <v>0</v>
      </c>
      <c r="AY427" s="2">
        <f>HYPERLINK("https://vdatum.noaa.gov/vdatumweb/api/convert?s_x=-90.60871643&amp;s_y=30.30768897&amp;s_z=0.0&amp;region=contiguous&amp;s_h_frame=NAD83_2011&amp;s_coor=geo&amp;s_v_frame=NAVD88&amp;s_v_unit=us_ft&amp;t_h_frame=NAD83_2011&amp;t_coor=geo&amp;t_v_frame=MLLW&amp;t_v_unit=us_ft", "Missing")</f>
        <v>0</v>
      </c>
      <c r="AZ427" s="2">
        <f>HYPERLINK("https://vdatum.noaa.gov/vdatumweb/api/convert?s_x=-90.60871643&amp;s_y=30.30768897&amp;s_z=0.0&amp;region=contiguous&amp;s_h_frame=NAD83_2011&amp;s_coor=geo&amp;s_v_frame=NAVD88&amp;s_v_unit=us_ft&amp;t_h_frame=NAD83_2011&amp;t_coor=geo&amp;t_v_frame=MHHW&amp;t_v_unit=us_ft", "Missing")</f>
        <v>0</v>
      </c>
    </row>
    <row r="428" spans="1:52">
      <c r="A428" s="1" t="s">
        <v>452</v>
      </c>
      <c r="B428" s="1" t="s">
        <v>630</v>
      </c>
      <c r="C428" s="1" t="s">
        <v>649</v>
      </c>
      <c r="D428" s="1" t="s">
        <v>654</v>
      </c>
      <c r="E428" s="1" t="s">
        <v>774</v>
      </c>
      <c r="F428" s="1" t="s">
        <v>848</v>
      </c>
      <c r="G428" s="1" t="s">
        <v>856</v>
      </c>
      <c r="H428" s="1" t="s">
        <v>1841</v>
      </c>
      <c r="I428" s="1" t="s">
        <v>1857</v>
      </c>
      <c r="J428" s="1" t="s">
        <v>1993</v>
      </c>
      <c r="K428" s="1" t="s">
        <v>2141</v>
      </c>
      <c r="L428" s="1">
        <v>-90.71536164</v>
      </c>
      <c r="M428" s="1">
        <v>29.38299342</v>
      </c>
      <c r="N428" s="1" t="s">
        <v>2250</v>
      </c>
      <c r="O428" s="1" t="s">
        <v>861</v>
      </c>
      <c r="P428" s="1" t="s">
        <v>867</v>
      </c>
      <c r="Q428" s="2">
        <f>HYPERLINK("https://waterdata.usgs.gov/nwis/nwismap/?site_no=07381324&amp;agency_cd=USGS", "Station Info")</f>
        <v>0</v>
      </c>
      <c r="R428" s="2">
        <f>HYPERLINK("https://waterservices.usgs.gov/nwis/site/?site=07381324&amp;format=rdb", "Datum Info")</f>
        <v>0</v>
      </c>
      <c r="T428" s="1">
        <v>10192783</v>
      </c>
      <c r="U428" s="1">
        <v>0</v>
      </c>
      <c r="V428" s="1" t="s">
        <v>869</v>
      </c>
      <c r="W428" s="1" t="s">
        <v>874</v>
      </c>
      <c r="X428" s="1" t="s">
        <v>887</v>
      </c>
      <c r="AF428" s="1" t="s">
        <v>1041</v>
      </c>
      <c r="AJ428" s="1">
        <v>-999999</v>
      </c>
      <c r="AK428" s="1">
        <v>-999999</v>
      </c>
      <c r="AL428" s="1" t="s">
        <v>887</v>
      </c>
      <c r="AS428" s="1">
        <v>0</v>
      </c>
      <c r="AT428" s="1">
        <v>0</v>
      </c>
      <c r="AU428" s="1">
        <v>0</v>
      </c>
      <c r="AV428" s="1">
        <v>0</v>
      </c>
      <c r="AW428" s="1" t="s">
        <v>1744</v>
      </c>
      <c r="AX428" s="2">
        <f>HYPERLINK("https://water.weather.gov/ahps2/hydrograph.php?wfo=lix&amp;gage=dacl1", "AHPS Data")</f>
        <v>0</v>
      </c>
      <c r="AY428" s="2">
        <f>HYPERLINK("https://vdatum.noaa.gov/vdatumweb/api/convert?s_x=-90.71536164&amp;s_y=29.38299342&amp;s_z=0.0&amp;region=contiguous&amp;s_h_frame=NAD83_2011&amp;s_coor=geo&amp;s_v_frame=NAVD88&amp;s_v_unit=us_ft&amp;t_h_frame=NAD83_2011&amp;t_coor=geo&amp;t_v_frame=MLLW&amp;t_v_unit=us_ft", "Missing")</f>
        <v>0</v>
      </c>
      <c r="AZ428" s="2">
        <f>HYPERLINK("https://vdatum.noaa.gov/vdatumweb/api/convert?s_x=-90.71536164&amp;s_y=29.38299342&amp;s_z=0.0&amp;region=contiguous&amp;s_h_frame=NAD83_2011&amp;s_coor=geo&amp;s_v_frame=NAVD88&amp;s_v_unit=us_ft&amp;t_h_frame=NAD83_2011&amp;t_coor=geo&amp;t_v_frame=MHHW&amp;t_v_unit=us_ft", "Missing")</f>
        <v>0</v>
      </c>
    </row>
    <row r="429" spans="1:52">
      <c r="A429" s="1" t="s">
        <v>453</v>
      </c>
      <c r="B429" s="1" t="s">
        <v>630</v>
      </c>
      <c r="C429" s="1" t="s">
        <v>649</v>
      </c>
      <c r="D429" s="1" t="s">
        <v>654</v>
      </c>
      <c r="E429" s="1" t="s">
        <v>781</v>
      </c>
      <c r="F429" s="1" t="s">
        <v>848</v>
      </c>
      <c r="G429" s="1" t="s">
        <v>856</v>
      </c>
      <c r="L429" s="1">
        <v>-91.2104722</v>
      </c>
      <c r="M429" s="1">
        <v>30.4322222</v>
      </c>
      <c r="N429" s="1" t="s">
        <v>2251</v>
      </c>
      <c r="O429" s="1" t="s">
        <v>861</v>
      </c>
      <c r="P429" s="1" t="s">
        <v>867</v>
      </c>
      <c r="Q429" s="2">
        <f>HYPERLINK("https://waterdata.usgs.gov/nwis/nwismap/?site_no=07381412&amp;agency_cd=USGS", "Station Info")</f>
        <v>0</v>
      </c>
      <c r="R429" s="2">
        <f>HYPERLINK("https://waterservices.usgs.gov/nwis/site/?site=07381412&amp;format=rdb", "Datum Info")</f>
        <v>0</v>
      </c>
      <c r="T429" s="1">
        <v>6790151</v>
      </c>
      <c r="U429" s="1">
        <v>-0.17</v>
      </c>
      <c r="V429" s="1" t="s">
        <v>869</v>
      </c>
      <c r="W429" s="1" t="s">
        <v>874</v>
      </c>
      <c r="X429" s="1" t="s">
        <v>887</v>
      </c>
      <c r="AF429" s="1" t="s">
        <v>1042</v>
      </c>
      <c r="AH429" s="1" t="s">
        <v>1268</v>
      </c>
      <c r="AJ429" s="1">
        <v>-999999</v>
      </c>
      <c r="AK429" s="1">
        <v>-999999</v>
      </c>
      <c r="AY429" s="2">
        <f>HYPERLINK("https://vdatum.noaa.gov/vdatumweb/api/convert?s_x=-91.2104722&amp;s_y=30.4322222&amp;s_z=0.0&amp;region=contiguous&amp;s_h_frame=NAD83_2011&amp;s_coor=geo&amp;s_v_frame=NAVD88&amp;s_v_unit=us_ft&amp;t_h_frame=NAD83_2011&amp;t_coor=geo&amp;t_v_frame=MLLW&amp;t_v_unit=us_ft", "Missing")</f>
        <v>0</v>
      </c>
      <c r="AZ429" s="2">
        <f>HYPERLINK("https://vdatum.noaa.gov/vdatumweb/api/convert?s_x=-91.2104722&amp;s_y=30.4322222&amp;s_z=0.0&amp;region=contiguous&amp;s_h_frame=NAD83_2011&amp;s_coor=geo&amp;s_v_frame=NAVD88&amp;s_v_unit=us_ft&amp;t_h_frame=NAD83_2011&amp;t_coor=geo&amp;t_v_frame=MHHW&amp;t_v_unit=us_ft", "Missing")</f>
        <v>0</v>
      </c>
    </row>
    <row r="430" spans="1:52">
      <c r="A430" s="1" t="s">
        <v>454</v>
      </c>
      <c r="B430" s="1" t="s">
        <v>630</v>
      </c>
      <c r="D430" s="1" t="s">
        <v>654</v>
      </c>
      <c r="H430" s="1" t="s">
        <v>1842</v>
      </c>
      <c r="I430" s="1" t="s">
        <v>1857</v>
      </c>
      <c r="J430" s="1" t="s">
        <v>1994</v>
      </c>
      <c r="K430" s="1" t="s">
        <v>2142</v>
      </c>
      <c r="L430" s="1">
        <v>-89.2502724</v>
      </c>
      <c r="M430" s="1">
        <v>30.1227723</v>
      </c>
      <c r="N430" s="1" t="s">
        <v>2252</v>
      </c>
      <c r="O430" s="1" t="s">
        <v>860</v>
      </c>
      <c r="P430" s="1" t="s">
        <v>867</v>
      </c>
      <c r="Q430" s="2">
        <f>HYPERLINK("https://waterdata.usgs.gov/nwis/nwismap/?site_no=300722089150100&amp;agency_cd=USGS", "Station Info")</f>
        <v>0</v>
      </c>
      <c r="R430" s="2">
        <f>HYPERLINK("https://waterservices.usgs.gov/nwis/site/?site=300722089150100&amp;format=rdb", "Datum Info")</f>
        <v>0</v>
      </c>
      <c r="T430" s="1">
        <v>7789655</v>
      </c>
      <c r="U430" s="1">
        <v>-0.3</v>
      </c>
      <c r="V430" s="1" t="s">
        <v>869</v>
      </c>
      <c r="W430" s="1" t="s">
        <v>874</v>
      </c>
      <c r="X430" s="1" t="s">
        <v>887</v>
      </c>
      <c r="AF430" s="1" t="s">
        <v>1043</v>
      </c>
      <c r="AJ430" s="1">
        <v>0.216</v>
      </c>
      <c r="AK430" s="1">
        <v>-1.218</v>
      </c>
      <c r="AL430" s="1" t="s">
        <v>887</v>
      </c>
      <c r="AM430" s="1">
        <v>-0.97</v>
      </c>
      <c r="AS430" s="1">
        <v>0</v>
      </c>
      <c r="AT430" s="1">
        <v>0</v>
      </c>
      <c r="AU430" s="1">
        <v>0</v>
      </c>
      <c r="AV430" s="1">
        <v>0</v>
      </c>
      <c r="AW430" s="1" t="s">
        <v>1744</v>
      </c>
      <c r="AX430" s="2">
        <f>HYPERLINK("https://water.weather.gov/ahps2/hydrograph.php?wfo=lix&amp;gage=grpl1", "AHPS Data")</f>
        <v>0</v>
      </c>
      <c r="AY430" s="2">
        <f>HYPERLINK("https://vdatum.noaa.gov/vdatumweb/api/convert?s_x=-89.2502724&amp;s_y=30.1227723&amp;s_z=0.0&amp;region=contiguous&amp;s_h_frame=NAD83_2011&amp;s_coor=geo&amp;s_v_frame=NAVD88&amp;s_v_unit=us_ft&amp;t_h_frame=NAD83_2011&amp;t_coor=geo&amp;t_v_frame=MLLW&amp;t_v_unit=us_ft", "NAVD88 to MLLW")</f>
        <v>0</v>
      </c>
      <c r="AZ430" s="2">
        <f>HYPERLINK("https://vdatum.noaa.gov/vdatumweb/api/convert?s_x=-89.2502724&amp;s_y=30.1227723&amp;s_z=0.0&amp;region=contiguous&amp;s_h_frame=NAD83_2011&amp;s_coor=geo&amp;s_v_frame=NAVD88&amp;s_v_unit=us_ft&amp;t_h_frame=NAD83_2011&amp;t_coor=geo&amp;t_v_frame=MHHW&amp;t_v_unit=us_ft", "NAVD88 to MHHW")</f>
        <v>0</v>
      </c>
    </row>
    <row r="431" spans="1:52">
      <c r="A431" s="1" t="s">
        <v>455</v>
      </c>
      <c r="B431" s="1" t="s">
        <v>630</v>
      </c>
      <c r="D431" s="1" t="s">
        <v>654</v>
      </c>
      <c r="E431" s="1" t="s">
        <v>766</v>
      </c>
      <c r="F431" s="1" t="s">
        <v>848</v>
      </c>
      <c r="G431" s="1" t="s">
        <v>856</v>
      </c>
      <c r="H431" s="1" t="s">
        <v>1838</v>
      </c>
      <c r="I431" s="1" t="s">
        <v>1857</v>
      </c>
      <c r="J431" s="1" t="s">
        <v>1995</v>
      </c>
      <c r="K431" s="1" t="s">
        <v>2143</v>
      </c>
      <c r="L431" s="1">
        <v>-89.53416122</v>
      </c>
      <c r="M431" s="1">
        <v>30.19471672</v>
      </c>
      <c r="N431" s="1" t="s">
        <v>2253</v>
      </c>
      <c r="O431" s="1" t="s">
        <v>861</v>
      </c>
      <c r="P431" s="1" t="s">
        <v>867</v>
      </c>
      <c r="Q431" s="2">
        <f>HYPERLINK("https://waterdata.usgs.gov/nwis/nwismap/?site_no=301141089320300&amp;agency_cd=USGS", "Station Info")</f>
        <v>0</v>
      </c>
      <c r="R431" s="2">
        <f>HYPERLINK("https://waterservices.usgs.gov/nwis/site/?site=301141089320300&amp;format=rdb", "Datum Info")</f>
        <v>0</v>
      </c>
      <c r="T431" s="1">
        <v>9029099</v>
      </c>
      <c r="U431" s="1">
        <v>-0.1</v>
      </c>
      <c r="V431" s="1" t="s">
        <v>869</v>
      </c>
      <c r="W431" s="1" t="s">
        <v>874</v>
      </c>
      <c r="X431" s="1" t="s">
        <v>887</v>
      </c>
      <c r="AF431" s="1" t="s">
        <v>1044</v>
      </c>
      <c r="AH431" s="1" t="s">
        <v>1269</v>
      </c>
      <c r="AJ431" s="1">
        <v>-999999</v>
      </c>
      <c r="AK431" s="1">
        <v>-999999</v>
      </c>
      <c r="AL431" s="1" t="s">
        <v>887</v>
      </c>
      <c r="AM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 t="s">
        <v>1744</v>
      </c>
      <c r="AX431" s="2">
        <f>HYPERLINK("https://water.weather.gov/ahps2/hydrograph.php?wfo=lix&amp;gage=epcm6", "AHPS Data")</f>
        <v>0</v>
      </c>
      <c r="AY431" s="2">
        <f>HYPERLINK("https://vdatum.noaa.gov/vdatumweb/api/convert?s_x=-89.53416122&amp;s_y=30.19471672&amp;s_z=0.0&amp;region=contiguous&amp;s_h_frame=NAD83_2011&amp;s_coor=geo&amp;s_v_frame=NAVD88&amp;s_v_unit=us_ft&amp;t_h_frame=NAD83_2011&amp;t_coor=geo&amp;t_v_frame=MLLW&amp;t_v_unit=us_ft", "Missing")</f>
        <v>0</v>
      </c>
      <c r="AZ431" s="2">
        <f>HYPERLINK("https://vdatum.noaa.gov/vdatumweb/api/convert?s_x=-89.53416122&amp;s_y=30.19471672&amp;s_z=0.0&amp;region=contiguous&amp;s_h_frame=NAD83_2011&amp;s_coor=geo&amp;s_v_frame=NAVD88&amp;s_v_unit=us_ft&amp;t_h_frame=NAD83_2011&amp;t_coor=geo&amp;t_v_frame=MHHW&amp;t_v_unit=us_ft", "Missing")</f>
        <v>0</v>
      </c>
    </row>
    <row r="432" spans="1:52">
      <c r="A432" s="1" t="s">
        <v>456</v>
      </c>
      <c r="B432" s="1" t="s">
        <v>631</v>
      </c>
      <c r="D432" s="1" t="s">
        <v>654</v>
      </c>
      <c r="L432" s="1">
        <v>-80.0342</v>
      </c>
      <c r="M432" s="1">
        <v>26.61278</v>
      </c>
      <c r="N432" s="1">
        <v>8722670</v>
      </c>
      <c r="O432" s="1" t="s">
        <v>860</v>
      </c>
      <c r="P432" s="1" t="s">
        <v>866</v>
      </c>
      <c r="Q432" s="2">
        <f>HYPERLINK("https://tidesandcurrents.noaa.gov/stationhome.html?id=8722670", "Station Info")</f>
        <v>0</v>
      </c>
      <c r="R432" s="2">
        <f>HYPERLINK("https://tidesandcurrents.noaa.gov/datums.html?datum=MLLW&amp;units=0&amp;epoch=0&amp;id=8722670", "Datum Info")</f>
        <v>0</v>
      </c>
      <c r="S432" s="2">
        <f>HYPERLINK("https://api.tidesandcurrents.noaa.gov/mdapi/prod/webapi/stations/8722670.json", "More Info")</f>
        <v>0</v>
      </c>
      <c r="T432" s="1">
        <v>1645156</v>
      </c>
      <c r="U432" s="1">
        <v>0</v>
      </c>
      <c r="V432" s="1" t="s">
        <v>869</v>
      </c>
      <c r="W432" s="1" t="s">
        <v>874</v>
      </c>
      <c r="X432" s="1" t="s">
        <v>886</v>
      </c>
      <c r="Y432" s="1">
        <v>3.06</v>
      </c>
      <c r="Z432" s="1">
        <v>2.88</v>
      </c>
      <c r="AA432" s="1">
        <v>1.52</v>
      </c>
      <c r="AB432" s="1">
        <v>1.54</v>
      </c>
      <c r="AC432" s="1">
        <v>1.53</v>
      </c>
      <c r="AD432" s="1">
        <v>0.16</v>
      </c>
      <c r="AE432" s="1">
        <v>0</v>
      </c>
      <c r="AF432" s="1">
        <v>2.51</v>
      </c>
      <c r="AG432" s="1">
        <v>-29.99</v>
      </c>
      <c r="AH432" s="1" t="s">
        <v>1270</v>
      </c>
      <c r="AI432" s="1" t="s">
        <v>1526</v>
      </c>
      <c r="AJ432" s="1">
        <v>2.454</v>
      </c>
      <c r="AK432" s="1">
        <v>-0.554</v>
      </c>
      <c r="AY432" s="2">
        <f>HYPERLINK("https://vdatum.noaa.gov/vdatumweb/api/convert?s_x=-80.0342&amp;s_y=26.61278&amp;s_z=0.0&amp;region=contiguous&amp;s_h_frame=NAD83_2011&amp;s_coor=geo&amp;s_v_frame=NAVD88&amp;s_v_unit=us_ft&amp;t_h_frame=NAD83_2011&amp;t_coor=geo&amp;t_v_frame=MLLW&amp;t_v_unit=us_ft", "NAVD88 to MLLW")</f>
        <v>0</v>
      </c>
      <c r="AZ432" s="2">
        <f>HYPERLINK("https://vdatum.noaa.gov/vdatumweb/api/convert?s_x=-80.0342&amp;s_y=26.61278&amp;s_z=0.0&amp;region=contiguous&amp;s_h_frame=NAD83_2011&amp;s_coor=geo&amp;s_v_frame=NAVD88&amp;s_v_unit=us_ft&amp;t_h_frame=NAD83_2011&amp;t_coor=geo&amp;t_v_frame=MHHW&amp;t_v_unit=us_ft", "NAVD88 to MHHW")</f>
        <v>0</v>
      </c>
    </row>
    <row r="433" spans="1:52">
      <c r="A433" s="1" t="s">
        <v>457</v>
      </c>
      <c r="B433" s="1" t="s">
        <v>631</v>
      </c>
      <c r="D433" s="1" t="s">
        <v>654</v>
      </c>
      <c r="L433" s="1">
        <v>-80.1617</v>
      </c>
      <c r="M433" s="1">
        <v>25.73167</v>
      </c>
      <c r="N433" s="1">
        <v>8723214</v>
      </c>
      <c r="O433" s="1" t="s">
        <v>860</v>
      </c>
      <c r="P433" s="1" t="s">
        <v>866</v>
      </c>
      <c r="Q433" s="2">
        <f>HYPERLINK("https://tidesandcurrents.noaa.gov/stationhome.html?id=8723214", "Station Info")</f>
        <v>0</v>
      </c>
      <c r="R433" s="2">
        <f>HYPERLINK("https://tidesandcurrents.noaa.gov/datums.html?datum=MLLW&amp;units=0&amp;epoch=0&amp;id=8723214", "Datum Info")</f>
        <v>0</v>
      </c>
      <c r="S433" s="2">
        <f>HYPERLINK("https://api.tidesandcurrents.noaa.gov/mdapi/prod/webapi/stations/8723214.json", "More Info")</f>
        <v>0</v>
      </c>
      <c r="T433" s="1">
        <v>1989810</v>
      </c>
      <c r="U433" s="1">
        <v>0</v>
      </c>
      <c r="V433" s="1" t="s">
        <v>869</v>
      </c>
      <c r="W433" s="1" t="s">
        <v>874</v>
      </c>
      <c r="X433" s="1" t="s">
        <v>886</v>
      </c>
      <c r="Y433" s="1">
        <v>2.25</v>
      </c>
      <c r="Z433" s="1">
        <v>2.17</v>
      </c>
      <c r="AA433" s="1">
        <v>1.16</v>
      </c>
      <c r="AB433" s="1">
        <v>1.13</v>
      </c>
      <c r="AC433" s="1">
        <v>1.13</v>
      </c>
      <c r="AD433" s="1">
        <v>0.14</v>
      </c>
      <c r="AE433" s="1">
        <v>0</v>
      </c>
      <c r="AF433" s="1">
        <v>2.02</v>
      </c>
      <c r="AG433" s="1">
        <v>-10.13</v>
      </c>
      <c r="AH433" s="1" t="s">
        <v>1271</v>
      </c>
      <c r="AI433" s="1" t="s">
        <v>1527</v>
      </c>
      <c r="AJ433" s="1">
        <v>1.977</v>
      </c>
      <c r="AK433" s="1">
        <v>-0.209</v>
      </c>
      <c r="AY433" s="2">
        <f>HYPERLINK("https://vdatum.noaa.gov/vdatumweb/api/convert?s_x=-80.1617&amp;s_y=25.73167&amp;s_z=0.0&amp;region=contiguous&amp;s_h_frame=NAD83_2011&amp;s_coor=geo&amp;s_v_frame=NAVD88&amp;s_v_unit=us_ft&amp;t_h_frame=NAD83_2011&amp;t_coor=geo&amp;t_v_frame=MLLW&amp;t_v_unit=us_ft", "NAVD88 to MLLW")</f>
        <v>0</v>
      </c>
      <c r="AZ433" s="2">
        <f>HYPERLINK("https://vdatum.noaa.gov/vdatumweb/api/convert?s_x=-80.1617&amp;s_y=25.73167&amp;s_z=0.0&amp;region=contiguous&amp;s_h_frame=NAD83_2011&amp;s_coor=geo&amp;s_v_frame=NAVD88&amp;s_v_unit=us_ft&amp;t_h_frame=NAD83_2011&amp;t_coor=geo&amp;t_v_frame=MHHW&amp;t_v_unit=us_ft", "NAVD88 to MHHW")</f>
        <v>0</v>
      </c>
    </row>
    <row r="434" spans="1:52">
      <c r="A434" s="1" t="s">
        <v>458</v>
      </c>
      <c r="B434" s="1" t="s">
        <v>631</v>
      </c>
      <c r="D434" s="1" t="s">
        <v>654</v>
      </c>
      <c r="L434" s="1">
        <v>-81.8075</v>
      </c>
      <c r="M434" s="1">
        <v>26.13167</v>
      </c>
      <c r="N434" s="1">
        <v>8725110</v>
      </c>
      <c r="O434" s="1" t="s">
        <v>860</v>
      </c>
      <c r="P434" s="1" t="s">
        <v>866</v>
      </c>
      <c r="Q434" s="2">
        <f>HYPERLINK("https://tidesandcurrents.noaa.gov/stationhome.html?id=8725110", "Station Info")</f>
        <v>0</v>
      </c>
      <c r="R434" s="2">
        <f>HYPERLINK("https://tidesandcurrents.noaa.gov/datums.html?datum=MLLW&amp;units=0&amp;epoch=0&amp;id=8725110", "Datum Info")</f>
        <v>0</v>
      </c>
      <c r="S434" s="2">
        <f>HYPERLINK("https://api.tidesandcurrents.noaa.gov/mdapi/prod/webapi/stations/8725110.json", "More Info")</f>
        <v>0</v>
      </c>
      <c r="T434" s="1">
        <v>3075098</v>
      </c>
      <c r="U434" s="1">
        <v>0</v>
      </c>
      <c r="V434" s="1" t="s">
        <v>869</v>
      </c>
      <c r="W434" s="1" t="s">
        <v>874</v>
      </c>
      <c r="X434" s="1" t="s">
        <v>886</v>
      </c>
      <c r="Y434" s="1">
        <v>2.87</v>
      </c>
      <c r="Z434" s="1">
        <v>2.62</v>
      </c>
      <c r="AA434" s="1">
        <v>1.61</v>
      </c>
      <c r="AB434" s="1">
        <v>1.65</v>
      </c>
      <c r="AC434" s="1">
        <v>1.44</v>
      </c>
      <c r="AD434" s="1">
        <v>0.61</v>
      </c>
      <c r="AE434" s="1">
        <v>0</v>
      </c>
      <c r="AF434" s="1">
        <v>2.27</v>
      </c>
      <c r="AG434" s="1">
        <v>-2.14</v>
      </c>
      <c r="AH434" s="1" t="s">
        <v>1272</v>
      </c>
      <c r="AI434" s="1" t="s">
        <v>1528</v>
      </c>
      <c r="AJ434" s="1">
        <v>2.284</v>
      </c>
      <c r="AK434" s="1">
        <v>-0.583</v>
      </c>
      <c r="AY434" s="2">
        <f>HYPERLINK("https://vdatum.noaa.gov/vdatumweb/api/convert?s_x=-81.8075&amp;s_y=26.13167&amp;s_z=0.0&amp;region=contiguous&amp;s_h_frame=NAD83_2011&amp;s_coor=geo&amp;s_v_frame=NAVD88&amp;s_v_unit=us_ft&amp;t_h_frame=NAD83_2011&amp;t_coor=geo&amp;t_v_frame=MLLW&amp;t_v_unit=us_ft", "NAVD88 to MLLW")</f>
        <v>0</v>
      </c>
      <c r="AZ434" s="2">
        <f>HYPERLINK("https://vdatum.noaa.gov/vdatumweb/api/convert?s_x=-81.8075&amp;s_y=26.13167&amp;s_z=0.0&amp;region=contiguous&amp;s_h_frame=NAD83_2011&amp;s_coor=geo&amp;s_v_frame=NAVD88&amp;s_v_unit=us_ft&amp;t_h_frame=NAD83_2011&amp;t_coor=geo&amp;t_v_frame=MHHW&amp;t_v_unit=us_ft", "NAVD88 to MHHW")</f>
        <v>0</v>
      </c>
    </row>
    <row r="435" spans="1:52">
      <c r="A435" s="1" t="s">
        <v>459</v>
      </c>
      <c r="B435" s="1" t="s">
        <v>631</v>
      </c>
      <c r="C435" s="1" t="s">
        <v>645</v>
      </c>
      <c r="D435" s="1" t="s">
        <v>654</v>
      </c>
      <c r="E435" s="1" t="s">
        <v>782</v>
      </c>
      <c r="F435" s="1" t="s">
        <v>847</v>
      </c>
      <c r="G435" s="1" t="s">
        <v>854</v>
      </c>
      <c r="H435" s="1" t="s">
        <v>1843</v>
      </c>
      <c r="I435" s="1" t="s">
        <v>1857</v>
      </c>
      <c r="J435" s="1" t="s">
        <v>1996</v>
      </c>
      <c r="K435" s="1" t="s">
        <v>2144</v>
      </c>
      <c r="L435" s="1">
        <v>-81.5443056</v>
      </c>
      <c r="M435" s="1">
        <v>25.926</v>
      </c>
      <c r="N435" s="1" t="s">
        <v>2254</v>
      </c>
      <c r="O435" s="1" t="s">
        <v>861</v>
      </c>
      <c r="P435" s="1" t="s">
        <v>867</v>
      </c>
      <c r="Q435" s="2">
        <f>HYPERLINK("https://waterdata.usgs.gov/nwis/nwismap/?site_no=255534081324000&amp;agency_cd=USGS", "Station Info")</f>
        <v>0</v>
      </c>
      <c r="R435" s="2">
        <f>HYPERLINK("https://waterservices.usgs.gov/nwis/site/?site=255534081324000&amp;format=rdb", "Datum Info")</f>
        <v>0</v>
      </c>
      <c r="T435" s="1">
        <v>3603700</v>
      </c>
      <c r="U435" s="1">
        <v>-2.17</v>
      </c>
      <c r="V435" s="1" t="s">
        <v>869</v>
      </c>
      <c r="W435" s="1" t="s">
        <v>874</v>
      </c>
      <c r="AJ435" s="1">
        <v>-999999</v>
      </c>
      <c r="AK435" s="1">
        <v>-999999</v>
      </c>
      <c r="AS435" s="1">
        <v>0</v>
      </c>
      <c r="AT435" s="1">
        <v>0</v>
      </c>
      <c r="AU435" s="1">
        <v>0</v>
      </c>
      <c r="AV435" s="1">
        <v>0</v>
      </c>
      <c r="AW435" s="1" t="s">
        <v>1744</v>
      </c>
      <c r="AX435" s="2">
        <f>HYPERLINK("https://water.weather.gov/ahps2/hydrograph.php?wfo=mfl&amp;gage=prgf1", "AHPS Data")</f>
        <v>0</v>
      </c>
      <c r="AY435" s="2">
        <f>HYPERLINK("https://vdatum.noaa.gov/vdatumweb/api/convert?s_x=-81.5443056&amp;s_y=25.926&amp;s_z=0.0&amp;region=contiguous&amp;s_h_frame=NAD83_2011&amp;s_coor=geo&amp;s_v_frame=NAVD88&amp;s_v_unit=us_ft&amp;t_h_frame=NAD83_2011&amp;t_coor=geo&amp;t_v_frame=MLLW&amp;t_v_unit=us_ft", "Missing")</f>
        <v>0</v>
      </c>
      <c r="AZ435" s="2">
        <f>HYPERLINK("https://vdatum.noaa.gov/vdatumweb/api/convert?s_x=-81.5443056&amp;s_y=25.926&amp;s_z=0.0&amp;region=contiguous&amp;s_h_frame=NAD83_2011&amp;s_coor=geo&amp;s_v_frame=NAVD88&amp;s_v_unit=us_ft&amp;t_h_frame=NAD83_2011&amp;t_coor=geo&amp;t_v_frame=MHHW&amp;t_v_unit=us_ft", "Missing")</f>
        <v>0</v>
      </c>
    </row>
    <row r="436" spans="1:52">
      <c r="A436" s="1" t="s">
        <v>460</v>
      </c>
      <c r="B436" s="1" t="s">
        <v>632</v>
      </c>
      <c r="C436" s="1" t="s">
        <v>645</v>
      </c>
      <c r="D436" s="1" t="s">
        <v>654</v>
      </c>
      <c r="L436" s="1">
        <v>-80.59310000000001</v>
      </c>
      <c r="M436" s="1">
        <v>28.41583</v>
      </c>
      <c r="N436" s="1">
        <v>8721604</v>
      </c>
      <c r="O436" s="1" t="s">
        <v>860</v>
      </c>
      <c r="P436" s="1" t="s">
        <v>866</v>
      </c>
      <c r="Q436" s="2">
        <f>HYPERLINK("https://tidesandcurrents.noaa.gov/stationhome.html?id=8721604", "Station Info")</f>
        <v>0</v>
      </c>
      <c r="R436" s="2">
        <f>HYPERLINK("https://tidesandcurrents.noaa.gov/datums.html?datum=MLLW&amp;units=0&amp;epoch=0&amp;id=8721604", "Datum Info")</f>
        <v>0</v>
      </c>
      <c r="S436" s="2">
        <f>HYPERLINK("https://api.tidesandcurrents.noaa.gov/mdapi/prod/webapi/stations/8721604.json", "More Info")</f>
        <v>0</v>
      </c>
      <c r="T436" s="1">
        <v>4222069</v>
      </c>
      <c r="U436" s="1">
        <v>0</v>
      </c>
      <c r="V436" s="1" t="s">
        <v>869</v>
      </c>
      <c r="W436" s="1" t="s">
        <v>874</v>
      </c>
      <c r="X436" s="1" t="s">
        <v>886</v>
      </c>
      <c r="Y436" s="1">
        <v>3.93</v>
      </c>
      <c r="Z436" s="1">
        <v>3.58</v>
      </c>
      <c r="AA436" s="1">
        <v>1.88</v>
      </c>
      <c r="AB436" s="1">
        <v>1.88</v>
      </c>
      <c r="AC436" s="1">
        <v>1.97</v>
      </c>
      <c r="AD436" s="1">
        <v>0.17</v>
      </c>
      <c r="AE436" s="1">
        <v>0</v>
      </c>
      <c r="AF436" s="1">
        <v>2.83</v>
      </c>
      <c r="AG436" s="1">
        <v>-18</v>
      </c>
      <c r="AH436" s="1" t="s">
        <v>1273</v>
      </c>
      <c r="AI436" s="1" t="s">
        <v>1030</v>
      </c>
      <c r="AJ436" s="1">
        <v>2.863</v>
      </c>
      <c r="AK436" s="1">
        <v>-1.052</v>
      </c>
      <c r="AY436" s="2">
        <f>HYPERLINK("https://vdatum.noaa.gov/vdatumweb/api/convert?s_x=-80.5931&amp;s_y=28.41583&amp;s_z=0.0&amp;region=contiguous&amp;s_h_frame=NAD83_2011&amp;s_coor=geo&amp;s_v_frame=NAVD88&amp;s_v_unit=us_ft&amp;t_h_frame=NAD83_2011&amp;t_coor=geo&amp;t_v_frame=MLLW&amp;t_v_unit=us_ft", "NAVD88 to MLLW")</f>
        <v>0</v>
      </c>
      <c r="AZ436" s="2">
        <f>HYPERLINK("https://vdatum.noaa.gov/vdatumweb/api/convert?s_x=-80.5931&amp;s_y=28.41583&amp;s_z=0.0&amp;region=contiguous&amp;s_h_frame=NAD83_2011&amp;s_coor=geo&amp;s_v_frame=NAVD88&amp;s_v_unit=us_ft&amp;t_h_frame=NAD83_2011&amp;t_coor=geo&amp;t_v_frame=MHHW&amp;t_v_unit=us_ft", "NAVD88 to MHHW")</f>
        <v>0</v>
      </c>
    </row>
    <row r="437" spans="1:52">
      <c r="A437" s="1" t="s">
        <v>461</v>
      </c>
      <c r="B437" s="1" t="s">
        <v>632</v>
      </c>
      <c r="C437" s="1" t="s">
        <v>645</v>
      </c>
      <c r="D437" s="1" t="s">
        <v>654</v>
      </c>
      <c r="E437" s="1" t="s">
        <v>783</v>
      </c>
      <c r="F437" s="1" t="s">
        <v>847</v>
      </c>
      <c r="G437" s="1" t="s">
        <v>854</v>
      </c>
      <c r="H437" s="1" t="s">
        <v>1820</v>
      </c>
      <c r="I437" s="1" t="s">
        <v>1857</v>
      </c>
      <c r="J437" s="1" t="s">
        <v>1997</v>
      </c>
      <c r="K437" s="1" t="s">
        <v>2145</v>
      </c>
      <c r="L437" s="1">
        <v>-81.52201253</v>
      </c>
      <c r="M437" s="1">
        <v>29.16691896</v>
      </c>
      <c r="N437" s="1" t="s">
        <v>2255</v>
      </c>
      <c r="O437" s="1" t="s">
        <v>861</v>
      </c>
      <c r="P437" s="1" t="s">
        <v>867</v>
      </c>
      <c r="Q437" s="2">
        <f>HYPERLINK("https://waterdata.usgs.gov/nwis/nwismap/?site_no=02236125&amp;agency_cd=USGS", "Station Info")</f>
        <v>0</v>
      </c>
      <c r="R437" s="2">
        <f>HYPERLINK("https://waterservices.usgs.gov/nwis/site/?site=02236125&amp;format=rdb", "Datum Info")</f>
        <v>0</v>
      </c>
      <c r="T437" s="1">
        <v>3774480</v>
      </c>
      <c r="U437" s="1">
        <v>-0.34</v>
      </c>
      <c r="V437" s="1" t="s">
        <v>869</v>
      </c>
      <c r="W437" s="1" t="s">
        <v>874</v>
      </c>
      <c r="AJ437" s="1">
        <v>-999999</v>
      </c>
      <c r="AK437" s="1">
        <v>-999999</v>
      </c>
      <c r="AL437" s="1" t="s">
        <v>889</v>
      </c>
      <c r="AM437" s="1">
        <v>0</v>
      </c>
      <c r="AO437" s="1" t="s">
        <v>1693</v>
      </c>
      <c r="AR437" s="1" t="s">
        <v>1693</v>
      </c>
      <c r="AS437" s="1">
        <v>2</v>
      </c>
      <c r="AT437" s="1">
        <v>2.3</v>
      </c>
      <c r="AU437" s="1">
        <v>3</v>
      </c>
      <c r="AV437" s="1">
        <v>4</v>
      </c>
      <c r="AW437" s="1" t="s">
        <v>1744</v>
      </c>
      <c r="AX437" s="2">
        <f>HYPERLINK("https://water.weather.gov/ahps2/hydrograph.php?wfo=mlb&amp;gage=astf1", "AHPS Data")</f>
        <v>0</v>
      </c>
      <c r="AY437" s="2">
        <f>HYPERLINK("https://vdatum.noaa.gov/vdatumweb/api/convert?s_x=-81.52201253&amp;s_y=29.16691896&amp;s_z=0.0&amp;region=contiguous&amp;s_h_frame=NAD83_2011&amp;s_coor=geo&amp;s_v_frame=NAVD88&amp;s_v_unit=us_ft&amp;t_h_frame=NAD83_2011&amp;t_coor=geo&amp;t_v_frame=MLLW&amp;t_v_unit=us_ft", "Missing")</f>
        <v>0</v>
      </c>
      <c r="AZ437" s="2">
        <f>HYPERLINK("https://vdatum.noaa.gov/vdatumweb/api/convert?s_x=-81.52201253&amp;s_y=29.16691896&amp;s_z=0.0&amp;region=contiguous&amp;s_h_frame=NAD83_2011&amp;s_coor=geo&amp;s_v_frame=NAVD88&amp;s_v_unit=us_ft&amp;t_h_frame=NAD83_2011&amp;t_coor=geo&amp;t_v_frame=MHHW&amp;t_v_unit=us_ft", "Missing")</f>
        <v>0</v>
      </c>
    </row>
    <row r="438" spans="1:52">
      <c r="A438" s="1" t="s">
        <v>462</v>
      </c>
      <c r="B438" s="1" t="s">
        <v>632</v>
      </c>
      <c r="C438" s="1" t="s">
        <v>645</v>
      </c>
      <c r="D438" s="1" t="s">
        <v>654</v>
      </c>
      <c r="H438" s="1" t="s">
        <v>1811</v>
      </c>
      <c r="I438" s="1" t="s">
        <v>1857</v>
      </c>
      <c r="J438" s="1" t="s">
        <v>1998</v>
      </c>
      <c r="K438" s="1" t="s">
        <v>2146</v>
      </c>
      <c r="L438" s="1">
        <v>-80.42754879</v>
      </c>
      <c r="M438" s="1">
        <v>27.75446779</v>
      </c>
      <c r="N438" s="1" t="s">
        <v>2256</v>
      </c>
      <c r="O438" s="1" t="s">
        <v>861</v>
      </c>
      <c r="P438" s="1" t="s">
        <v>867</v>
      </c>
      <c r="Q438" s="2">
        <f>HYPERLINK("https://waterdata.usgs.gov/nwis/nwismap/?site_no=02251800&amp;agency_cd=USGS", "Station Info")</f>
        <v>0</v>
      </c>
      <c r="R438" s="2">
        <f>HYPERLINK("https://waterservices.usgs.gov/nwis/site/?site=02251800&amp;format=rdb", "Datum Info")</f>
        <v>0</v>
      </c>
      <c r="T438" s="1">
        <v>4222523</v>
      </c>
      <c r="U438" s="1">
        <v>-0.45</v>
      </c>
      <c r="V438" s="1" t="s">
        <v>869</v>
      </c>
      <c r="W438" s="1" t="s">
        <v>874</v>
      </c>
      <c r="AJ438" s="1">
        <v>1.138</v>
      </c>
      <c r="AK438" s="1">
        <v>0.657</v>
      </c>
      <c r="AM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 t="s">
        <v>1744</v>
      </c>
      <c r="AX438" s="2">
        <f>HYPERLINK("https://water.weather.gov/ahps2/hydrograph.php?wfo=mlb&amp;gage=irwf1", "AHPS Data")</f>
        <v>0</v>
      </c>
      <c r="AY438" s="2">
        <f>HYPERLINK("https://vdatum.noaa.gov/vdatumweb/api/convert?s_x=-80.42754879&amp;s_y=27.75446779&amp;s_z=0.0&amp;region=contiguous&amp;s_h_frame=NAD83_2011&amp;s_coor=geo&amp;s_v_frame=NAVD88&amp;s_v_unit=us_ft&amp;t_h_frame=NAD83_2011&amp;t_coor=geo&amp;t_v_frame=MLLW&amp;t_v_unit=us_ft", "NAVD88 to MLLW")</f>
        <v>0</v>
      </c>
      <c r="AZ438" s="2">
        <f>HYPERLINK("https://vdatum.noaa.gov/vdatumweb/api/convert?s_x=-80.42754879&amp;s_y=27.75446779&amp;s_z=0.0&amp;region=contiguous&amp;s_h_frame=NAD83_2011&amp;s_coor=geo&amp;s_v_frame=NAVD88&amp;s_v_unit=us_ft&amp;t_h_frame=NAD83_2011&amp;t_coor=geo&amp;t_v_frame=MHHW&amp;t_v_unit=us_ft", "NAVD88 to MHHW")</f>
        <v>0</v>
      </c>
    </row>
    <row r="439" spans="1:52">
      <c r="A439" s="1" t="s">
        <v>463</v>
      </c>
      <c r="B439" s="1" t="s">
        <v>632</v>
      </c>
      <c r="D439" s="1" t="s">
        <v>654</v>
      </c>
      <c r="H439" s="1" t="s">
        <v>1844</v>
      </c>
      <c r="I439" s="1" t="s">
        <v>1857</v>
      </c>
      <c r="J439" s="1" t="s">
        <v>1999</v>
      </c>
      <c r="K439" s="1" t="s">
        <v>2147</v>
      </c>
      <c r="L439" s="1">
        <v>-80.25878056000001</v>
      </c>
      <c r="M439" s="1">
        <v>27.20479496</v>
      </c>
      <c r="N439" s="1" t="s">
        <v>2257</v>
      </c>
      <c r="O439" s="1" t="s">
        <v>861</v>
      </c>
      <c r="P439" s="1" t="s">
        <v>867</v>
      </c>
      <c r="Q439" s="2">
        <f>HYPERLINK("https://waterdata.usgs.gov/nwis/nwismap/?site_no=02277100&amp;agency_cd=USGS", "Station Info")</f>
        <v>0</v>
      </c>
      <c r="R439" s="2">
        <f>HYPERLINK("https://waterservices.usgs.gov/nwis/site/?site=02277100&amp;format=rdb", "Datum Info")</f>
        <v>0</v>
      </c>
      <c r="T439" s="1">
        <v>6970445</v>
      </c>
      <c r="U439" s="1">
        <v>-0.445</v>
      </c>
      <c r="V439" s="1" t="s">
        <v>869</v>
      </c>
      <c r="W439" s="1" t="s">
        <v>874</v>
      </c>
      <c r="AJ439" s="1">
        <v>1.385</v>
      </c>
      <c r="AK439" s="1">
        <v>0.302</v>
      </c>
      <c r="AS439" s="1">
        <v>0</v>
      </c>
      <c r="AT439" s="1">
        <v>0</v>
      </c>
      <c r="AU439" s="1">
        <v>0</v>
      </c>
      <c r="AV439" s="1">
        <v>0</v>
      </c>
      <c r="AW439" s="1" t="s">
        <v>1744</v>
      </c>
      <c r="AX439" s="2">
        <f>HYPERLINK("https://water.weather.gov/ahps2/hydrograph.php?wfo=mlb&amp;gage=slrf1", "AHPS Data")</f>
        <v>0</v>
      </c>
      <c r="AY439" s="2">
        <f>HYPERLINK("https://vdatum.noaa.gov/vdatumweb/api/convert?s_x=-80.25878056&amp;s_y=27.20479496&amp;s_z=0.0&amp;region=contiguous&amp;s_h_frame=NAD83_2011&amp;s_coor=geo&amp;s_v_frame=NAVD88&amp;s_v_unit=us_ft&amp;t_h_frame=NAD83_2011&amp;t_coor=geo&amp;t_v_frame=MLLW&amp;t_v_unit=us_ft", "NAVD88 to MLLW")</f>
        <v>0</v>
      </c>
      <c r="AZ439" s="2">
        <f>HYPERLINK("https://vdatum.noaa.gov/vdatumweb/api/convert?s_x=-80.25878056&amp;s_y=27.20479496&amp;s_z=0.0&amp;region=contiguous&amp;s_h_frame=NAD83_2011&amp;s_coor=geo&amp;s_v_frame=NAVD88&amp;s_v_unit=us_ft&amp;t_h_frame=NAD83_2011&amp;t_coor=geo&amp;t_v_frame=MHHW&amp;t_v_unit=us_ft", "NAVD88 to MHHW")</f>
        <v>0</v>
      </c>
    </row>
    <row r="440" spans="1:52">
      <c r="A440" s="1" t="s">
        <v>464</v>
      </c>
      <c r="B440" s="1" t="s">
        <v>632</v>
      </c>
      <c r="D440" s="1" t="s">
        <v>654</v>
      </c>
      <c r="H440" s="1" t="s">
        <v>1844</v>
      </c>
      <c r="I440" s="1" t="s">
        <v>1857</v>
      </c>
      <c r="J440" s="1" t="s">
        <v>2000</v>
      </c>
      <c r="K440" s="1" t="s">
        <v>2148</v>
      </c>
      <c r="L440" s="1">
        <v>-80.20744168</v>
      </c>
      <c r="M440" s="1">
        <v>27.19902274</v>
      </c>
      <c r="N440" s="1" t="s">
        <v>2258</v>
      </c>
      <c r="O440" s="1" t="s">
        <v>861</v>
      </c>
      <c r="P440" s="1" t="s">
        <v>867</v>
      </c>
      <c r="Q440" s="2">
        <f>HYPERLINK("https://waterdata.usgs.gov/nwis/nwismap/?site_no=02277110&amp;agency_cd=USGS", "Station Info")</f>
        <v>0</v>
      </c>
      <c r="R440" s="2">
        <f>HYPERLINK("https://waterservices.usgs.gov/nwis/site/?site=02277110&amp;format=rdb", "Datum Info")</f>
        <v>0</v>
      </c>
      <c r="T440" s="1">
        <v>5029974</v>
      </c>
      <c r="U440" s="1">
        <v>-0.44</v>
      </c>
      <c r="V440" s="1" t="s">
        <v>869</v>
      </c>
      <c r="W440" s="1" t="s">
        <v>874</v>
      </c>
      <c r="AJ440" s="1">
        <v>1.541</v>
      </c>
      <c r="AK440" s="1">
        <v>0.507</v>
      </c>
      <c r="AS440" s="1">
        <v>0</v>
      </c>
      <c r="AT440" s="1">
        <v>0</v>
      </c>
      <c r="AU440" s="1">
        <v>0</v>
      </c>
      <c r="AV440" s="1">
        <v>0</v>
      </c>
      <c r="AW440" s="1" t="s">
        <v>1744</v>
      </c>
      <c r="AX440" s="2">
        <f>HYPERLINK("https://water.weather.gov/ahps2/hydrograph.php?wfo=mlb&amp;gage=sptf1", "AHPS Data")</f>
        <v>0</v>
      </c>
      <c r="AY440" s="2">
        <f>HYPERLINK("https://vdatum.noaa.gov/vdatumweb/api/convert?s_x=-80.20744168&amp;s_y=27.19902274&amp;s_z=0.0&amp;region=contiguous&amp;s_h_frame=NAD83_2011&amp;s_coor=geo&amp;s_v_frame=NAVD88&amp;s_v_unit=us_ft&amp;t_h_frame=NAD83_2011&amp;t_coor=geo&amp;t_v_frame=MLLW&amp;t_v_unit=us_ft", "NAVD88 to MLLW")</f>
        <v>0</v>
      </c>
      <c r="AZ440" s="2">
        <f>HYPERLINK("https://vdatum.noaa.gov/vdatumweb/api/convert?s_x=-80.20744168&amp;s_y=27.19902274&amp;s_z=0.0&amp;region=contiguous&amp;s_h_frame=NAD83_2011&amp;s_coor=geo&amp;s_v_frame=NAVD88&amp;s_v_unit=us_ft&amp;t_h_frame=NAD83_2011&amp;t_coor=geo&amp;t_v_frame=MHHW&amp;t_v_unit=us_ft", "NAVD88 to MHHW")</f>
        <v>0</v>
      </c>
    </row>
    <row r="441" spans="1:52">
      <c r="A441" s="1" t="s">
        <v>465</v>
      </c>
      <c r="B441" s="1" t="s">
        <v>632</v>
      </c>
      <c r="C441" s="1" t="s">
        <v>645</v>
      </c>
      <c r="D441" s="1" t="s">
        <v>654</v>
      </c>
      <c r="E441" s="1" t="s">
        <v>784</v>
      </c>
      <c r="F441" s="1" t="s">
        <v>847</v>
      </c>
      <c r="G441" s="1" t="s">
        <v>854</v>
      </c>
      <c r="H441" s="1" t="s">
        <v>1845</v>
      </c>
      <c r="I441" s="1" t="s">
        <v>1857</v>
      </c>
      <c r="J441" s="1" t="s">
        <v>2001</v>
      </c>
      <c r="K441" s="1" t="s">
        <v>2149</v>
      </c>
      <c r="L441" s="1">
        <v>-80.16</v>
      </c>
      <c r="M441" s="1">
        <v>26.98528333</v>
      </c>
      <c r="N441" s="1" t="s">
        <v>2259</v>
      </c>
      <c r="O441" s="1" t="s">
        <v>861</v>
      </c>
      <c r="P441" s="1" t="s">
        <v>867</v>
      </c>
      <c r="Q441" s="2">
        <f>HYPERLINK("https://waterdata.usgs.gov/nwis/nwismap/?site_no=265906080093500&amp;agency_cd=USGS", "Station Info")</f>
        <v>0</v>
      </c>
      <c r="R441" s="2">
        <f>HYPERLINK("https://waterservices.usgs.gov/nwis/site/?site=265906080093500&amp;format=rdb", "Datum Info")</f>
        <v>0</v>
      </c>
      <c r="T441" s="1">
        <v>6259972</v>
      </c>
      <c r="U441" s="1">
        <v>-0.461</v>
      </c>
      <c r="V441" s="1" t="s">
        <v>869</v>
      </c>
      <c r="W441" s="1" t="s">
        <v>874</v>
      </c>
      <c r="AJ441" s="1">
        <v>-999999</v>
      </c>
      <c r="AK441" s="1">
        <v>-999999</v>
      </c>
      <c r="AS441" s="1">
        <v>0</v>
      </c>
      <c r="AT441" s="1">
        <v>0</v>
      </c>
      <c r="AU441" s="1">
        <v>0</v>
      </c>
      <c r="AV441" s="1">
        <v>0</v>
      </c>
      <c r="AW441" s="1" t="s">
        <v>1744</v>
      </c>
      <c r="AX441" s="2">
        <f>HYPERLINK("https://water.weather.gov/ahps2/hydrograph.php?wfo=mlb&amp;gage=lxrf1", "AHPS Data")</f>
        <v>0</v>
      </c>
      <c r="AY441" s="2">
        <f>HYPERLINK("https://vdatum.noaa.gov/vdatumweb/api/convert?s_x=-80.16&amp;s_y=26.98528333&amp;s_z=0.0&amp;region=contiguous&amp;s_h_frame=NAD83_2011&amp;s_coor=geo&amp;s_v_frame=NAVD88&amp;s_v_unit=us_ft&amp;t_h_frame=NAD83_2011&amp;t_coor=geo&amp;t_v_frame=MLLW&amp;t_v_unit=us_ft", "Missing")</f>
        <v>0</v>
      </c>
      <c r="AZ441" s="2">
        <f>HYPERLINK("https://vdatum.noaa.gov/vdatumweb/api/convert?s_x=-80.16&amp;s_y=26.98528333&amp;s_z=0.0&amp;region=contiguous&amp;s_h_frame=NAD83_2011&amp;s_coor=geo&amp;s_v_frame=NAVD88&amp;s_v_unit=us_ft&amp;t_h_frame=NAD83_2011&amp;t_coor=geo&amp;t_v_frame=MHHW&amp;t_v_unit=us_ft", "Missing")</f>
        <v>0</v>
      </c>
    </row>
    <row r="442" spans="1:52">
      <c r="A442" s="1" t="s">
        <v>466</v>
      </c>
      <c r="B442" s="1" t="s">
        <v>633</v>
      </c>
      <c r="C442" s="1" t="s">
        <v>645</v>
      </c>
      <c r="D442" s="1" t="s">
        <v>654</v>
      </c>
      <c r="E442" s="1" t="s">
        <v>785</v>
      </c>
      <c r="F442" s="1" t="s">
        <v>847</v>
      </c>
      <c r="G442" s="1" t="s">
        <v>856</v>
      </c>
      <c r="L442" s="1">
        <v>-87.21120000000001</v>
      </c>
      <c r="M442" s="1">
        <v>30.40439</v>
      </c>
      <c r="N442" s="1">
        <v>8729840</v>
      </c>
      <c r="O442" s="1" t="s">
        <v>865</v>
      </c>
      <c r="P442" s="1" t="s">
        <v>866</v>
      </c>
      <c r="Q442" s="2">
        <f>HYPERLINK("https://tidesandcurrents.noaa.gov/stationhome.html?id=8729840", "Station Info")</f>
        <v>0</v>
      </c>
      <c r="R442" s="2">
        <f>HYPERLINK("https://tidesandcurrents.noaa.gov/datums.html?datum=MLLW&amp;units=0&amp;epoch=0&amp;id=8729840", "Datum Info")</f>
        <v>0</v>
      </c>
      <c r="S442" s="2">
        <f>HYPERLINK("https://api.tidesandcurrents.noaa.gov/mdapi/prod/webapi/stations/8729840.json", "More Info")</f>
        <v>0</v>
      </c>
      <c r="T442" s="1">
        <v>3238423</v>
      </c>
      <c r="U442" s="1">
        <v>0</v>
      </c>
      <c r="V442" s="1" t="s">
        <v>869</v>
      </c>
      <c r="W442" s="1" t="s">
        <v>874</v>
      </c>
      <c r="X442" s="1" t="s">
        <v>886</v>
      </c>
      <c r="Y442" s="1">
        <v>1.26</v>
      </c>
      <c r="Z442" s="1">
        <v>1.22</v>
      </c>
      <c r="AA442" s="1">
        <v>0.63</v>
      </c>
      <c r="AB442" s="1">
        <v>0.62</v>
      </c>
      <c r="AC442" s="1">
        <v>0.63</v>
      </c>
      <c r="AD442" s="1">
        <v>0.03</v>
      </c>
      <c r="AE442" s="1">
        <v>0</v>
      </c>
      <c r="AF442" s="1">
        <v>0.32</v>
      </c>
      <c r="AG442" s="1">
        <v>-8.43</v>
      </c>
      <c r="AH442" s="1" t="s">
        <v>1274</v>
      </c>
      <c r="AI442" s="1" t="s">
        <v>1529</v>
      </c>
      <c r="AJ442" s="1">
        <v>0.324</v>
      </c>
      <c r="AK442" s="1">
        <v>-0.9340000000000001</v>
      </c>
      <c r="AY442" s="2">
        <f>HYPERLINK("https://vdatum.noaa.gov/vdatumweb/api/convert?s_x=-87.2112&amp;s_y=30.40439&amp;s_z=0.0&amp;region=contiguous&amp;s_h_frame=NAD83_2011&amp;s_coor=geo&amp;s_v_frame=NAVD88&amp;s_v_unit=us_ft&amp;t_h_frame=NAD83_2011&amp;t_coor=geo&amp;t_v_frame=MLLW&amp;t_v_unit=us_ft", "NAVD88 to MLLW")</f>
        <v>0</v>
      </c>
      <c r="AZ442" s="2">
        <f>HYPERLINK("https://vdatum.noaa.gov/vdatumweb/api/convert?s_x=-87.2112&amp;s_y=30.40439&amp;s_z=0.0&amp;region=contiguous&amp;s_h_frame=NAD83_2011&amp;s_coor=geo&amp;s_v_frame=NAVD88&amp;s_v_unit=us_ft&amp;t_h_frame=NAD83_2011&amp;t_coor=geo&amp;t_v_frame=MHHW&amp;t_v_unit=us_ft", "NAVD88 to MHHW")</f>
        <v>0</v>
      </c>
    </row>
    <row r="443" spans="1:52">
      <c r="A443" s="1" t="s">
        <v>467</v>
      </c>
      <c r="B443" s="1" t="s">
        <v>633</v>
      </c>
      <c r="C443" s="1" t="s">
        <v>645</v>
      </c>
      <c r="D443" s="1" t="s">
        <v>654</v>
      </c>
      <c r="E443" s="1" t="s">
        <v>786</v>
      </c>
      <c r="F443" s="1" t="s">
        <v>850</v>
      </c>
      <c r="G443" s="1" t="s">
        <v>856</v>
      </c>
      <c r="L443" s="1">
        <v>-87.8254</v>
      </c>
      <c r="M443" s="1">
        <v>30.4169</v>
      </c>
      <c r="N443" s="1">
        <v>8732828</v>
      </c>
      <c r="O443" s="1" t="s">
        <v>865</v>
      </c>
      <c r="P443" s="1" t="s">
        <v>866</v>
      </c>
      <c r="Q443" s="2">
        <f>HYPERLINK("https://tidesandcurrents.noaa.gov/stationhome.html?id=8732828", "Station Info")</f>
        <v>0</v>
      </c>
      <c r="R443" s="2">
        <f>HYPERLINK("https://tidesandcurrents.noaa.gov/datums.html?datum=MLLW&amp;units=0&amp;epoch=0&amp;id=8732828", "Datum Info")</f>
        <v>0</v>
      </c>
      <c r="S443" s="2">
        <f>HYPERLINK("https://api.tidesandcurrents.noaa.gov/mdapi/prod/webapi/stations/8732828.json", "More Info")</f>
        <v>0</v>
      </c>
      <c r="T443" s="1">
        <v>2335212</v>
      </c>
      <c r="U443" s="1">
        <v>0</v>
      </c>
      <c r="V443" s="1" t="s">
        <v>869</v>
      </c>
      <c r="W443" s="1" t="s">
        <v>874</v>
      </c>
      <c r="X443" s="1" t="s">
        <v>886</v>
      </c>
      <c r="Y443" s="1">
        <v>1.61</v>
      </c>
      <c r="Z443" s="1">
        <v>1.49</v>
      </c>
      <c r="AA443" s="1">
        <v>0.8</v>
      </c>
      <c r="AB443" s="1">
        <v>0.8</v>
      </c>
      <c r="AC443" s="1">
        <v>0.8</v>
      </c>
      <c r="AD443" s="1">
        <v>0.11</v>
      </c>
      <c r="AE443" s="1">
        <v>0</v>
      </c>
      <c r="AG443" s="1">
        <v>-30.23</v>
      </c>
      <c r="AJ443" s="1">
        <v>-999999</v>
      </c>
      <c r="AK443" s="1">
        <v>-999999</v>
      </c>
      <c r="AY443" s="2">
        <f>HYPERLINK("https://vdatum.noaa.gov/vdatumweb/api/convert?s_x=-87.8254&amp;s_y=30.4169&amp;s_z=0.0&amp;region=contiguous&amp;s_h_frame=NAD83_2011&amp;s_coor=geo&amp;s_v_frame=NAVD88&amp;s_v_unit=us_ft&amp;t_h_frame=NAD83_2011&amp;t_coor=geo&amp;t_v_frame=MLLW&amp;t_v_unit=us_ft", "Missing")</f>
        <v>0</v>
      </c>
      <c r="AZ443" s="2">
        <f>HYPERLINK("https://vdatum.noaa.gov/vdatumweb/api/convert?s_x=-87.8254&amp;s_y=30.4169&amp;s_z=0.0&amp;region=contiguous&amp;s_h_frame=NAD83_2011&amp;s_coor=geo&amp;s_v_frame=NAVD88&amp;s_v_unit=us_ft&amp;t_h_frame=NAD83_2011&amp;t_coor=geo&amp;t_v_frame=MHHW&amp;t_v_unit=us_ft", "Missing")</f>
        <v>0</v>
      </c>
    </row>
    <row r="444" spans="1:52">
      <c r="A444" s="1" t="s">
        <v>468</v>
      </c>
      <c r="B444" s="1" t="s">
        <v>633</v>
      </c>
      <c r="D444" s="1" t="s">
        <v>654</v>
      </c>
      <c r="L444" s="1">
        <v>-88.075</v>
      </c>
      <c r="M444" s="1">
        <v>30.25</v>
      </c>
      <c r="N444" s="1">
        <v>8735180</v>
      </c>
      <c r="O444" s="1" t="s">
        <v>865</v>
      </c>
      <c r="P444" s="1" t="s">
        <v>866</v>
      </c>
      <c r="Q444" s="2">
        <f>HYPERLINK("https://tidesandcurrents.noaa.gov/stationhome.html?id=8735180", "Station Info")</f>
        <v>0</v>
      </c>
      <c r="R444" s="2">
        <f>HYPERLINK("https://tidesandcurrents.noaa.gov/datums.html?datum=MLLW&amp;units=0&amp;epoch=0&amp;id=8735180", "Datum Info")</f>
        <v>0</v>
      </c>
      <c r="S444" s="2">
        <f>HYPERLINK("https://api.tidesandcurrents.noaa.gov/mdapi/prod/webapi/stations/8735180.json", "More Info")</f>
        <v>0</v>
      </c>
      <c r="T444" s="1">
        <v>3865122</v>
      </c>
      <c r="U444" s="1">
        <v>0</v>
      </c>
      <c r="V444" s="1" t="s">
        <v>869</v>
      </c>
      <c r="W444" s="1" t="s">
        <v>874</v>
      </c>
      <c r="X444" s="1" t="s">
        <v>886</v>
      </c>
      <c r="Y444" s="1">
        <v>1.22</v>
      </c>
      <c r="Z444" s="1">
        <v>1.2</v>
      </c>
      <c r="AA444" s="1">
        <v>0.61</v>
      </c>
      <c r="AB444" s="1">
        <v>0.57</v>
      </c>
      <c r="AC444" s="1">
        <v>0.61</v>
      </c>
      <c r="AD444" s="1">
        <v>0.02</v>
      </c>
      <c r="AE444" s="1">
        <v>0</v>
      </c>
      <c r="AF444" s="1">
        <v>0.52</v>
      </c>
      <c r="AG444" s="1">
        <v>-2.87</v>
      </c>
      <c r="AH444" s="1" t="s">
        <v>1275</v>
      </c>
      <c r="AI444" s="1" t="s">
        <v>1530</v>
      </c>
      <c r="AJ444" s="1">
        <v>0.23</v>
      </c>
      <c r="AK444" s="1">
        <v>-0.974</v>
      </c>
      <c r="AY444" s="2">
        <f>HYPERLINK("https://vdatum.noaa.gov/vdatumweb/api/convert?s_x=-88.075&amp;s_y=30.25&amp;s_z=0.0&amp;region=contiguous&amp;s_h_frame=NAD83_2011&amp;s_coor=geo&amp;s_v_frame=NAVD88&amp;s_v_unit=us_ft&amp;t_h_frame=NAD83_2011&amp;t_coor=geo&amp;t_v_frame=MLLW&amp;t_v_unit=us_ft", "NAVD88 to MLLW")</f>
        <v>0</v>
      </c>
      <c r="AZ444" s="2">
        <f>HYPERLINK("https://vdatum.noaa.gov/vdatumweb/api/convert?s_x=-88.075&amp;s_y=30.25&amp;s_z=0.0&amp;region=contiguous&amp;s_h_frame=NAD83_2011&amp;s_coor=geo&amp;s_v_frame=NAVD88&amp;s_v_unit=us_ft&amp;t_h_frame=NAD83_2011&amp;t_coor=geo&amp;t_v_frame=MHHW&amp;t_v_unit=us_ft", "NAVD88 to MHHW")</f>
        <v>0</v>
      </c>
    </row>
    <row r="445" spans="1:52">
      <c r="A445" s="1" t="s">
        <v>469</v>
      </c>
      <c r="B445" s="1" t="s">
        <v>633</v>
      </c>
      <c r="C445" s="1" t="s">
        <v>645</v>
      </c>
      <c r="D445" s="1" t="s">
        <v>654</v>
      </c>
      <c r="L445" s="1">
        <v>-88.08799999999999</v>
      </c>
      <c r="M445" s="1">
        <v>30.5652</v>
      </c>
      <c r="N445" s="1">
        <v>8735391</v>
      </c>
      <c r="O445" s="1" t="s">
        <v>865</v>
      </c>
      <c r="P445" s="1" t="s">
        <v>866</v>
      </c>
      <c r="Q445" s="2">
        <f>HYPERLINK("https://tidesandcurrents.noaa.gov/stationhome.html?id=8735391", "Station Info")</f>
        <v>0</v>
      </c>
      <c r="R445" s="2">
        <f>HYPERLINK("https://tidesandcurrents.noaa.gov/datums.html?datum=MLLW&amp;units=0&amp;epoch=0&amp;id=8735391", "Datum Info")</f>
        <v>0</v>
      </c>
      <c r="S445" s="2">
        <f>HYPERLINK("https://api.tidesandcurrents.noaa.gov/mdapi/prod/webapi/stations/8735391.json", "More Info")</f>
        <v>0</v>
      </c>
      <c r="T445" s="1">
        <v>7208398</v>
      </c>
      <c r="U445" s="1">
        <v>0.138</v>
      </c>
      <c r="V445" s="1" t="s">
        <v>869</v>
      </c>
      <c r="W445" s="1" t="s">
        <v>874</v>
      </c>
      <c r="X445" s="1" t="s">
        <v>886</v>
      </c>
      <c r="Y445" s="1">
        <v>1.64</v>
      </c>
      <c r="Z445" s="1">
        <v>1.55</v>
      </c>
      <c r="AA445" s="1">
        <v>0.82</v>
      </c>
      <c r="AB445" s="1">
        <v>0.8</v>
      </c>
      <c r="AC445" s="1">
        <v>0.82</v>
      </c>
      <c r="AD445" s="1">
        <v>0.09</v>
      </c>
      <c r="AE445" s="1">
        <v>0</v>
      </c>
      <c r="AF445" s="1" t="s">
        <v>1045</v>
      </c>
      <c r="AG445" s="1">
        <v>-28.94</v>
      </c>
      <c r="AH445" s="1" t="s">
        <v>1276</v>
      </c>
      <c r="AI445" s="1" t="s">
        <v>1531</v>
      </c>
      <c r="AJ445" s="1">
        <v>0.343</v>
      </c>
      <c r="AK445" s="1">
        <v>-1.259</v>
      </c>
      <c r="AY445" s="2">
        <f>HYPERLINK("https://vdatum.noaa.gov/vdatumweb/api/convert?s_x=-88.088&amp;s_y=30.5652&amp;s_z=0.0&amp;region=contiguous&amp;s_h_frame=NAD83_2011&amp;s_coor=geo&amp;s_v_frame=NAVD88&amp;s_v_unit=us_ft&amp;t_h_frame=NAD83_2011&amp;t_coor=geo&amp;t_v_frame=MLLW&amp;t_v_unit=us_ft", "NAVD88 to MLLW")</f>
        <v>0</v>
      </c>
      <c r="AZ445" s="2">
        <f>HYPERLINK("https://vdatum.noaa.gov/vdatumweb/api/convert?s_x=-88.088&amp;s_y=30.5652&amp;s_z=0.0&amp;region=contiguous&amp;s_h_frame=NAD83_2011&amp;s_coor=geo&amp;s_v_frame=NAVD88&amp;s_v_unit=us_ft&amp;t_h_frame=NAD83_2011&amp;t_coor=geo&amp;t_v_frame=MHHW&amp;t_v_unit=us_ft", "NAVD88 to MHHW")</f>
        <v>0</v>
      </c>
    </row>
    <row r="446" spans="1:52">
      <c r="A446" s="1" t="s">
        <v>470</v>
      </c>
      <c r="B446" s="1" t="s">
        <v>633</v>
      </c>
      <c r="C446" s="1" t="s">
        <v>645</v>
      </c>
      <c r="D446" s="1" t="s">
        <v>654</v>
      </c>
      <c r="L446" s="1">
        <v>-88.1139</v>
      </c>
      <c r="M446" s="1">
        <v>30.4437</v>
      </c>
      <c r="N446" s="1">
        <v>8735523</v>
      </c>
      <c r="O446" s="1" t="s">
        <v>865</v>
      </c>
      <c r="P446" s="1" t="s">
        <v>866</v>
      </c>
      <c r="Q446" s="2">
        <f>HYPERLINK("https://tidesandcurrents.noaa.gov/stationhome.html?id=8735523", "Station Info")</f>
        <v>0</v>
      </c>
      <c r="R446" s="2">
        <f>HYPERLINK("https://tidesandcurrents.noaa.gov/datums.html?datum=MLLW&amp;units=0&amp;epoch=0&amp;id=8735523", "Datum Info")</f>
        <v>0</v>
      </c>
      <c r="S446" s="2">
        <f>HYPERLINK("https://api.tidesandcurrents.noaa.gov/mdapi/prod/webapi/stations/8735523.json", "More Info")</f>
        <v>0</v>
      </c>
      <c r="T446" s="1">
        <v>7208449</v>
      </c>
      <c r="U446" s="1">
        <v>0</v>
      </c>
      <c r="V446" s="1" t="s">
        <v>869</v>
      </c>
      <c r="W446" s="1" t="s">
        <v>874</v>
      </c>
      <c r="X446" s="1" t="s">
        <v>886</v>
      </c>
      <c r="Y446" s="1">
        <v>1.47</v>
      </c>
      <c r="Z446" s="1">
        <v>1.42</v>
      </c>
      <c r="AA446" s="1">
        <v>0.74</v>
      </c>
      <c r="AB446" s="1">
        <v>0.73</v>
      </c>
      <c r="AC446" s="1">
        <v>0.74</v>
      </c>
      <c r="AD446" s="1">
        <v>0.07000000000000001</v>
      </c>
      <c r="AE446" s="1">
        <v>0</v>
      </c>
      <c r="AF446" s="1">
        <v>0.65</v>
      </c>
      <c r="AG446" s="1">
        <v>-13.48</v>
      </c>
      <c r="AJ446" s="1">
        <v>-999999</v>
      </c>
      <c r="AK446" s="1">
        <v>-999999</v>
      </c>
      <c r="AY446" s="2">
        <f>HYPERLINK("https://vdatum.noaa.gov/vdatumweb/api/convert?s_x=-88.1139&amp;s_y=30.4437&amp;s_z=0.0&amp;region=contiguous&amp;s_h_frame=NAD83_2011&amp;s_coor=geo&amp;s_v_frame=NAVD88&amp;s_v_unit=us_ft&amp;t_h_frame=NAD83_2011&amp;t_coor=geo&amp;t_v_frame=MLLW&amp;t_v_unit=us_ft", "Missing")</f>
        <v>0</v>
      </c>
      <c r="AZ446" s="2">
        <f>HYPERLINK("https://vdatum.noaa.gov/vdatumweb/api/convert?s_x=-88.1139&amp;s_y=30.4437&amp;s_z=0.0&amp;region=contiguous&amp;s_h_frame=NAD83_2011&amp;s_coor=geo&amp;s_v_frame=NAVD88&amp;s_v_unit=us_ft&amp;t_h_frame=NAD83_2011&amp;t_coor=geo&amp;t_v_frame=MHHW&amp;t_v_unit=us_ft", "Missing")</f>
        <v>0</v>
      </c>
    </row>
    <row r="447" spans="1:52">
      <c r="A447" s="1" t="s">
        <v>471</v>
      </c>
      <c r="B447" s="1" t="s">
        <v>633</v>
      </c>
      <c r="C447" s="1" t="s">
        <v>645</v>
      </c>
      <c r="D447" s="1" t="s">
        <v>654</v>
      </c>
      <c r="E447" s="1" t="s">
        <v>787</v>
      </c>
      <c r="F447" s="1" t="s">
        <v>850</v>
      </c>
      <c r="G447" s="1" t="s">
        <v>856</v>
      </c>
      <c r="L447" s="1">
        <v>-88.0583</v>
      </c>
      <c r="M447" s="1">
        <v>30.6483</v>
      </c>
      <c r="N447" s="1">
        <v>8736897</v>
      </c>
      <c r="O447" s="1" t="s">
        <v>865</v>
      </c>
      <c r="P447" s="1" t="s">
        <v>866</v>
      </c>
      <c r="Q447" s="2">
        <f>HYPERLINK("https://tidesandcurrents.noaa.gov/stationhome.html?id=8736897", "Station Info")</f>
        <v>0</v>
      </c>
      <c r="R447" s="2">
        <f>HYPERLINK("https://tidesandcurrents.noaa.gov/datums.html?datum=MLLW&amp;units=0&amp;epoch=0&amp;id=8736897", "Datum Info")</f>
        <v>0</v>
      </c>
      <c r="S447" s="2">
        <f>HYPERLINK("https://api.tidesandcurrents.noaa.gov/mdapi/prod/webapi/stations/8736897.json", "More Info")</f>
        <v>0</v>
      </c>
      <c r="T447" s="1">
        <v>5263983</v>
      </c>
      <c r="U447" s="1">
        <v>0</v>
      </c>
      <c r="V447" s="1" t="s">
        <v>869</v>
      </c>
      <c r="W447" s="1" t="s">
        <v>874</v>
      </c>
      <c r="X447" s="1" t="s">
        <v>886</v>
      </c>
      <c r="Y447" s="1">
        <v>1.69</v>
      </c>
      <c r="Z447" s="1">
        <v>1.62</v>
      </c>
      <c r="AA447" s="1">
        <v>0.85</v>
      </c>
      <c r="AB447" s="1">
        <v>0.84</v>
      </c>
      <c r="AC447" s="1">
        <v>0.85</v>
      </c>
      <c r="AD447" s="1">
        <v>0.09</v>
      </c>
      <c r="AE447" s="1">
        <v>0</v>
      </c>
      <c r="AF447" s="1">
        <v>0.53</v>
      </c>
      <c r="AG447" s="1">
        <v>-28.63</v>
      </c>
      <c r="AH447" s="1" t="s">
        <v>1277</v>
      </c>
      <c r="AI447" s="1" t="s">
        <v>1267</v>
      </c>
      <c r="AJ447" s="1">
        <v>0.342</v>
      </c>
      <c r="AK447" s="1">
        <v>-1.291</v>
      </c>
      <c r="AY447" s="2">
        <f>HYPERLINK("https://vdatum.noaa.gov/vdatumweb/api/convert?s_x=-88.0583&amp;s_y=30.6483&amp;s_z=0.0&amp;region=contiguous&amp;s_h_frame=NAD83_2011&amp;s_coor=geo&amp;s_v_frame=NAVD88&amp;s_v_unit=us_ft&amp;t_h_frame=NAD83_2011&amp;t_coor=geo&amp;t_v_frame=MLLW&amp;t_v_unit=us_ft", "NAVD88 to MLLW")</f>
        <v>0</v>
      </c>
      <c r="AZ447" s="2">
        <f>HYPERLINK("https://vdatum.noaa.gov/vdatumweb/api/convert?s_x=-88.0583&amp;s_y=30.6483&amp;s_z=0.0&amp;region=contiguous&amp;s_h_frame=NAD83_2011&amp;s_coor=geo&amp;s_v_frame=NAVD88&amp;s_v_unit=us_ft&amp;t_h_frame=NAD83_2011&amp;t_coor=geo&amp;t_v_frame=MHHW&amp;t_v_unit=us_ft", "NAVD88 to MHHW")</f>
        <v>0</v>
      </c>
    </row>
    <row r="448" spans="1:52">
      <c r="A448" s="1" t="s">
        <v>472</v>
      </c>
      <c r="B448" s="1" t="s">
        <v>633</v>
      </c>
      <c r="C448" s="1" t="s">
        <v>645</v>
      </c>
      <c r="D448" s="1" t="s">
        <v>654</v>
      </c>
      <c r="L448" s="1">
        <v>-88.03959999999999</v>
      </c>
      <c r="M448" s="1">
        <v>30.70461</v>
      </c>
      <c r="N448" s="1">
        <v>8737048</v>
      </c>
      <c r="O448" s="1" t="s">
        <v>865</v>
      </c>
      <c r="P448" s="1" t="s">
        <v>866</v>
      </c>
      <c r="Q448" s="2">
        <f>HYPERLINK("https://tidesandcurrents.noaa.gov/stationhome.html?id=8737048", "Station Info")</f>
        <v>0</v>
      </c>
      <c r="R448" s="2">
        <f>HYPERLINK("https://tidesandcurrents.noaa.gov/datums.html?datum=MLLW&amp;units=0&amp;epoch=0&amp;id=8737048", "Datum Info")</f>
        <v>0</v>
      </c>
      <c r="S448" s="2">
        <f>HYPERLINK("https://api.tidesandcurrents.noaa.gov/mdapi/prod/webapi/stations/8737048.json", "More Info")</f>
        <v>0</v>
      </c>
      <c r="T448" s="1">
        <v>6149330</v>
      </c>
      <c r="U448" s="1">
        <v>0</v>
      </c>
      <c r="V448" s="1" t="s">
        <v>869</v>
      </c>
      <c r="W448" s="1" t="s">
        <v>874</v>
      </c>
      <c r="X448" s="1" t="s">
        <v>886</v>
      </c>
      <c r="Y448" s="1">
        <v>1.65</v>
      </c>
      <c r="Z448" s="1">
        <v>1.56</v>
      </c>
      <c r="AA448" s="1">
        <v>0.83</v>
      </c>
      <c r="AB448" s="1">
        <v>0.82</v>
      </c>
      <c r="AC448" s="1">
        <v>0.82</v>
      </c>
      <c r="AD448" s="1">
        <v>0.09</v>
      </c>
      <c r="AE448" s="1">
        <v>0</v>
      </c>
      <c r="AF448" s="1">
        <v>0.49</v>
      </c>
      <c r="AG448" s="1">
        <v>-1.48</v>
      </c>
      <c r="AH448" s="1" t="s">
        <v>1278</v>
      </c>
      <c r="AI448" s="1" t="s">
        <v>1532</v>
      </c>
      <c r="AJ448" s="1">
        <v>0.344</v>
      </c>
      <c r="AK448" s="1">
        <v>-1.288</v>
      </c>
      <c r="AY448" s="2">
        <f>HYPERLINK("https://vdatum.noaa.gov/vdatumweb/api/convert?s_x=-88.0396&amp;s_y=30.70461&amp;s_z=0.0&amp;region=contiguous&amp;s_h_frame=NAD83_2011&amp;s_coor=geo&amp;s_v_frame=NAVD88&amp;s_v_unit=us_ft&amp;t_h_frame=NAD83_2011&amp;t_coor=geo&amp;t_v_frame=MLLW&amp;t_v_unit=us_ft", "NAVD88 to MLLW")</f>
        <v>0</v>
      </c>
      <c r="AZ448" s="2">
        <f>HYPERLINK("https://vdatum.noaa.gov/vdatumweb/api/convert?s_x=-88.0396&amp;s_y=30.70461&amp;s_z=0.0&amp;region=contiguous&amp;s_h_frame=NAD83_2011&amp;s_coor=geo&amp;s_v_frame=NAVD88&amp;s_v_unit=us_ft&amp;t_h_frame=NAD83_2011&amp;t_coor=geo&amp;t_v_frame=MHHW&amp;t_v_unit=us_ft", "NAVD88 to MHHW")</f>
        <v>0</v>
      </c>
    </row>
    <row r="449" spans="1:52">
      <c r="A449" s="1" t="s">
        <v>473</v>
      </c>
      <c r="B449" s="1" t="s">
        <v>633</v>
      </c>
      <c r="C449" s="1" t="s">
        <v>645</v>
      </c>
      <c r="D449" s="1" t="s">
        <v>654</v>
      </c>
      <c r="E449" s="1" t="s">
        <v>787</v>
      </c>
      <c r="F449" s="1" t="s">
        <v>850</v>
      </c>
      <c r="G449" s="1" t="s">
        <v>856</v>
      </c>
      <c r="L449" s="1">
        <v>-88.0736</v>
      </c>
      <c r="M449" s="1">
        <v>30.7819</v>
      </c>
      <c r="N449" s="1">
        <v>8737138</v>
      </c>
      <c r="O449" s="1" t="s">
        <v>865</v>
      </c>
      <c r="P449" s="1" t="s">
        <v>866</v>
      </c>
      <c r="Q449" s="2">
        <f>HYPERLINK("https://tidesandcurrents.noaa.gov/stationhome.html?id=8737138", "Station Info")</f>
        <v>0</v>
      </c>
      <c r="R449" s="2">
        <f>HYPERLINK("https://tidesandcurrents.noaa.gov/datums.html?datum=MLLW&amp;units=0&amp;epoch=0&amp;id=8737138", "Datum Info")</f>
        <v>0</v>
      </c>
      <c r="S449" s="2">
        <f>HYPERLINK("https://api.tidesandcurrents.noaa.gov/mdapi/prod/webapi/stations/8737138.json", "More Info")</f>
        <v>0</v>
      </c>
      <c r="T449" s="1">
        <v>5728088</v>
      </c>
      <c r="U449" s="1">
        <v>0</v>
      </c>
      <c r="V449" s="1" t="s">
        <v>869</v>
      </c>
      <c r="W449" s="1" t="s">
        <v>874</v>
      </c>
      <c r="X449" s="1" t="s">
        <v>886</v>
      </c>
      <c r="Y449" s="1">
        <v>1.72</v>
      </c>
      <c r="Z449" s="1">
        <v>1.62</v>
      </c>
      <c r="AA449" s="1">
        <v>0.87</v>
      </c>
      <c r="AB449" s="1">
        <v>0.86</v>
      </c>
      <c r="AC449" s="1">
        <v>0.86</v>
      </c>
      <c r="AD449" s="1">
        <v>0.12</v>
      </c>
      <c r="AE449" s="1">
        <v>0</v>
      </c>
      <c r="AF449" s="1">
        <v>0.45</v>
      </c>
      <c r="AG449" s="1">
        <v>-24.58</v>
      </c>
      <c r="AJ449" s="1">
        <v>-999999</v>
      </c>
      <c r="AK449" s="1">
        <v>-999999</v>
      </c>
      <c r="AY449" s="2">
        <f>HYPERLINK("https://vdatum.noaa.gov/vdatumweb/api/convert?s_x=-88.0736&amp;s_y=30.7819&amp;s_z=0.0&amp;region=contiguous&amp;s_h_frame=NAD83_2011&amp;s_coor=geo&amp;s_v_frame=NAVD88&amp;s_v_unit=us_ft&amp;t_h_frame=NAD83_2011&amp;t_coor=geo&amp;t_v_frame=MLLW&amp;t_v_unit=us_ft", "Missing")</f>
        <v>0</v>
      </c>
      <c r="AZ449" s="2">
        <f>HYPERLINK("https://vdatum.noaa.gov/vdatumweb/api/convert?s_x=-88.0736&amp;s_y=30.7819&amp;s_z=0.0&amp;region=contiguous&amp;s_h_frame=NAD83_2011&amp;s_coor=geo&amp;s_v_frame=NAVD88&amp;s_v_unit=us_ft&amp;t_h_frame=NAD83_2011&amp;t_coor=geo&amp;t_v_frame=MHHW&amp;t_v_unit=us_ft", "Missing")</f>
        <v>0</v>
      </c>
    </row>
    <row r="450" spans="1:52">
      <c r="A450" s="1" t="s">
        <v>474</v>
      </c>
      <c r="B450" s="1" t="s">
        <v>633</v>
      </c>
      <c r="C450" s="1" t="s">
        <v>649</v>
      </c>
      <c r="D450" s="1" t="s">
        <v>654</v>
      </c>
      <c r="E450" s="1" t="s">
        <v>787</v>
      </c>
      <c r="F450" s="1" t="s">
        <v>850</v>
      </c>
      <c r="G450" s="1" t="s">
        <v>856</v>
      </c>
      <c r="L450" s="1">
        <v>-88.15860000000001</v>
      </c>
      <c r="M450" s="1">
        <v>30.3766</v>
      </c>
      <c r="N450" s="1">
        <v>8738043</v>
      </c>
      <c r="O450" s="1" t="s">
        <v>865</v>
      </c>
      <c r="P450" s="1" t="s">
        <v>866</v>
      </c>
      <c r="Q450" s="2">
        <f>HYPERLINK("https://tidesandcurrents.noaa.gov/stationhome.html?id=8738043", "Station Info")</f>
        <v>0</v>
      </c>
      <c r="R450" s="2">
        <f>HYPERLINK("https://tidesandcurrents.noaa.gov/datums.html?datum=MLLW&amp;units=0&amp;epoch=0&amp;id=8738043", "Datum Info")</f>
        <v>0</v>
      </c>
      <c r="S450" s="2">
        <f>HYPERLINK("https://api.tidesandcurrents.noaa.gov/mdapi/prod/webapi/stations/8738043.json", "More Info")</f>
        <v>0</v>
      </c>
      <c r="T450" s="1">
        <v>6249274</v>
      </c>
      <c r="U450" s="1">
        <v>0</v>
      </c>
      <c r="V450" s="1" t="s">
        <v>869</v>
      </c>
      <c r="W450" s="1" t="s">
        <v>874</v>
      </c>
      <c r="X450" s="1" t="s">
        <v>886</v>
      </c>
      <c r="Y450" s="1">
        <v>1.68</v>
      </c>
      <c r="Z450" s="1">
        <v>1.52</v>
      </c>
      <c r="AA450" s="1">
        <v>0.83</v>
      </c>
      <c r="AB450" s="1">
        <v>0.84</v>
      </c>
      <c r="AC450" s="1">
        <v>0.84</v>
      </c>
      <c r="AD450" s="1">
        <v>0.14</v>
      </c>
      <c r="AE450" s="1">
        <v>0</v>
      </c>
      <c r="AF450" s="1">
        <v>0.77</v>
      </c>
      <c r="AG450" s="1">
        <v>-19.48</v>
      </c>
      <c r="AJ450" s="1">
        <v>-999999</v>
      </c>
      <c r="AK450" s="1">
        <v>-999999</v>
      </c>
      <c r="AY450" s="2">
        <f>HYPERLINK("https://vdatum.noaa.gov/vdatumweb/api/convert?s_x=-88.1586&amp;s_y=30.3766&amp;s_z=0.0&amp;region=contiguous&amp;s_h_frame=NAD83_2011&amp;s_coor=geo&amp;s_v_frame=NAVD88&amp;s_v_unit=us_ft&amp;t_h_frame=NAD83_2011&amp;t_coor=geo&amp;t_v_frame=MLLW&amp;t_v_unit=us_ft", "Missing")</f>
        <v>0</v>
      </c>
      <c r="AZ450" s="2">
        <f>HYPERLINK("https://vdatum.noaa.gov/vdatumweb/api/convert?s_x=-88.1586&amp;s_y=30.3766&amp;s_z=0.0&amp;region=contiguous&amp;s_h_frame=NAD83_2011&amp;s_coor=geo&amp;s_v_frame=NAVD88&amp;s_v_unit=us_ft&amp;t_h_frame=NAD83_2011&amp;t_coor=geo&amp;t_v_frame=MHHW&amp;t_v_unit=us_ft", "Missing")</f>
        <v>0</v>
      </c>
    </row>
    <row r="451" spans="1:52">
      <c r="A451" s="1" t="s">
        <v>475</v>
      </c>
      <c r="B451" s="1" t="s">
        <v>633</v>
      </c>
      <c r="C451" s="1" t="s">
        <v>645</v>
      </c>
      <c r="D451" s="1" t="s">
        <v>654</v>
      </c>
      <c r="H451" s="1" t="s">
        <v>1846</v>
      </c>
      <c r="I451" s="1" t="s">
        <v>1859</v>
      </c>
      <c r="J451" s="1" t="s">
        <v>2002</v>
      </c>
      <c r="K451" s="1" t="s">
        <v>2150</v>
      </c>
      <c r="L451" s="1">
        <v>-87.6866524</v>
      </c>
      <c r="M451" s="1">
        <v>30.27964626</v>
      </c>
      <c r="N451" s="1" t="s">
        <v>2260</v>
      </c>
      <c r="O451" s="1" t="s">
        <v>861</v>
      </c>
      <c r="P451" s="1" t="s">
        <v>867</v>
      </c>
      <c r="Q451" s="2">
        <f>HYPERLINK("https://waterdata.usgs.gov/nwis/nwismap/?site_no=02378185&amp;agency_cd=USGS", "Station Info")</f>
        <v>0</v>
      </c>
      <c r="R451" s="2">
        <f>HYPERLINK("https://waterservices.usgs.gov/nwis/site/?site=02378185&amp;format=rdb", "Datum Info")</f>
        <v>0</v>
      </c>
      <c r="T451" s="1">
        <v>5385357</v>
      </c>
      <c r="U451" s="1">
        <v>0</v>
      </c>
      <c r="V451" s="1" t="s">
        <v>869</v>
      </c>
      <c r="W451" s="1" t="s">
        <v>874</v>
      </c>
      <c r="AJ451" s="1">
        <v>0.261</v>
      </c>
      <c r="AK451" s="1">
        <v>-0.9</v>
      </c>
      <c r="AS451" s="1">
        <v>0</v>
      </c>
      <c r="AT451" s="1">
        <v>3.7</v>
      </c>
      <c r="AU451" s="1">
        <v>4.7</v>
      </c>
      <c r="AV451" s="1">
        <v>7.7</v>
      </c>
      <c r="AW451" s="1" t="s">
        <v>1744</v>
      </c>
      <c r="AX451" s="2">
        <f>HYPERLINK("https://water.weather.gov/ahps2/hydrograph.php?wfo=mob&amp;gage=gsha1", "AHPS Data")</f>
        <v>0</v>
      </c>
      <c r="AY451" s="2">
        <f>HYPERLINK("https://vdatum.noaa.gov/vdatumweb/api/convert?s_x=-87.6866524&amp;s_y=30.27964626&amp;s_z=0.0&amp;region=contiguous&amp;s_h_frame=NAD83_2011&amp;s_coor=geo&amp;s_v_frame=NAVD88&amp;s_v_unit=us_ft&amp;t_h_frame=NAD83_2011&amp;t_coor=geo&amp;t_v_frame=MLLW&amp;t_v_unit=us_ft", "NAVD88 to MLLW")</f>
        <v>0</v>
      </c>
      <c r="AZ451" s="2">
        <f>HYPERLINK("https://vdatum.noaa.gov/vdatumweb/api/convert?s_x=-87.6866524&amp;s_y=30.27964626&amp;s_z=0.0&amp;region=contiguous&amp;s_h_frame=NAD83_2011&amp;s_coor=geo&amp;s_v_frame=NAVD88&amp;s_v_unit=us_ft&amp;t_h_frame=NAD83_2011&amp;t_coor=geo&amp;t_v_frame=MHHW&amp;t_v_unit=us_ft", "NAVD88 to MHHW")</f>
        <v>0</v>
      </c>
    </row>
    <row r="452" spans="1:52">
      <c r="A452" s="1" t="s">
        <v>476</v>
      </c>
      <c r="B452" s="1" t="s">
        <v>634</v>
      </c>
      <c r="D452" s="1" t="s">
        <v>654</v>
      </c>
      <c r="E452" s="1" t="s">
        <v>788</v>
      </c>
      <c r="F452" s="1" t="s">
        <v>653</v>
      </c>
      <c r="G452" s="1" t="s">
        <v>857</v>
      </c>
      <c r="L452" s="1">
        <v>-66.71083</v>
      </c>
      <c r="M452" s="1">
        <v>18.47159</v>
      </c>
      <c r="N452" s="1" t="s">
        <v>859</v>
      </c>
      <c r="O452" s="1" t="s">
        <v>861</v>
      </c>
      <c r="P452" s="1" t="s">
        <v>859</v>
      </c>
      <c r="T452" s="1">
        <v>2532299</v>
      </c>
      <c r="U452" s="1">
        <v>0</v>
      </c>
      <c r="V452" s="1" t="s">
        <v>871</v>
      </c>
      <c r="W452" s="1" t="s">
        <v>876</v>
      </c>
      <c r="AJ452" s="1">
        <v>0.797</v>
      </c>
      <c r="AK452" s="1">
        <v>-0.902</v>
      </c>
      <c r="AY452" s="2">
        <f>HYPERLINK("https://vdatum.noaa.gov/vdatumweb/api/convert?s_x=-66.71083&amp;s_y=18.47159&amp;s_z=0.0&amp;region=prvi&amp;s_h_frame=NAD83_2011&amp;s_coor=geo&amp;s_v_frame=LMSL&amp;s_v_unit=us_ft&amp;t_h_frame=NAD83_2011&amp;t_coor=geo&amp;t_v_frame=MLLW&amp;t_v_unit=us_ft", "NAVD88 to MLLW")</f>
        <v>0</v>
      </c>
      <c r="AZ452" s="2">
        <f>HYPERLINK("https://vdatum.noaa.gov/vdatumweb/api/convert?s_x=-66.71083&amp;s_y=18.47159&amp;s_z=0.0&amp;region=prvi&amp;s_h_frame=NAD83_2011&amp;s_coor=geo&amp;s_v_frame=LMSL&amp;s_v_unit=us_ft&amp;t_h_frame=NAD83_2011&amp;t_coor=geo&amp;t_v_frame=MHHW&amp;t_v_unit=us_ft", "NAVD88 to MHHW")</f>
        <v>0</v>
      </c>
    </row>
    <row r="453" spans="1:52">
      <c r="A453" s="1" t="s">
        <v>477</v>
      </c>
      <c r="B453" s="1" t="s">
        <v>634</v>
      </c>
      <c r="D453" s="1" t="s">
        <v>654</v>
      </c>
      <c r="E453" s="1" t="s">
        <v>789</v>
      </c>
      <c r="F453" s="1" t="s">
        <v>653</v>
      </c>
      <c r="G453" s="1" t="s">
        <v>857</v>
      </c>
      <c r="L453" s="1">
        <v>-66.16246</v>
      </c>
      <c r="M453" s="1">
        <v>18.45036</v>
      </c>
      <c r="N453" s="1" t="s">
        <v>859</v>
      </c>
      <c r="O453" s="1" t="s">
        <v>861</v>
      </c>
      <c r="P453" s="1" t="s">
        <v>859</v>
      </c>
      <c r="T453" s="1">
        <v>564065</v>
      </c>
      <c r="U453" s="1">
        <v>0</v>
      </c>
      <c r="V453" s="1" t="s">
        <v>871</v>
      </c>
      <c r="W453" s="1" t="s">
        <v>876</v>
      </c>
      <c r="AJ453" s="1">
        <v>-999999</v>
      </c>
      <c r="AK453" s="1">
        <v>-999999</v>
      </c>
      <c r="AY453" s="2">
        <f>HYPERLINK("https://vdatum.noaa.gov/vdatumweb/api/convert?s_x=-66.16246&amp;s_y=18.45036&amp;s_z=0.0&amp;region=prvi&amp;s_h_frame=NAD83_2011&amp;s_coor=geo&amp;s_v_frame=LMSL&amp;s_v_unit=us_ft&amp;t_h_frame=NAD83_2011&amp;t_coor=geo&amp;t_v_frame=MLLW&amp;t_v_unit=us_ft", "Missing")</f>
        <v>0</v>
      </c>
      <c r="AZ453" s="2">
        <f>HYPERLINK("https://vdatum.noaa.gov/vdatumweb/api/convert?s_x=-66.16246&amp;s_y=18.45036&amp;s_z=0.0&amp;region=prvi&amp;s_h_frame=NAD83_2011&amp;s_coor=geo&amp;s_v_frame=LMSL&amp;s_v_unit=us_ft&amp;t_h_frame=NAD83_2011&amp;t_coor=geo&amp;t_v_frame=MHHW&amp;t_v_unit=us_ft", "Missing")</f>
        <v>0</v>
      </c>
    </row>
    <row r="454" spans="1:52">
      <c r="A454" s="1" t="s">
        <v>478</v>
      </c>
      <c r="B454" s="1" t="s">
        <v>634</v>
      </c>
      <c r="D454" s="1" t="s">
        <v>654</v>
      </c>
      <c r="E454" s="1" t="s">
        <v>790</v>
      </c>
      <c r="F454" s="1" t="s">
        <v>653</v>
      </c>
      <c r="G454" s="1" t="s">
        <v>857</v>
      </c>
      <c r="L454" s="1">
        <v>-66.25814</v>
      </c>
      <c r="M454" s="1">
        <v>18.45856</v>
      </c>
      <c r="N454" s="1" t="s">
        <v>859</v>
      </c>
      <c r="O454" s="1" t="s">
        <v>861</v>
      </c>
      <c r="P454" s="1" t="s">
        <v>859</v>
      </c>
      <c r="T454" s="1">
        <v>670110</v>
      </c>
      <c r="U454" s="1">
        <v>0</v>
      </c>
      <c r="V454" s="1" t="s">
        <v>871</v>
      </c>
      <c r="W454" s="1" t="s">
        <v>876</v>
      </c>
      <c r="AJ454" s="1">
        <v>-999999</v>
      </c>
      <c r="AK454" s="1">
        <v>-999999</v>
      </c>
      <c r="AY454" s="2">
        <f>HYPERLINK("https://vdatum.noaa.gov/vdatumweb/api/convert?s_x=-66.25814&amp;s_y=18.45856&amp;s_z=0.0&amp;region=prvi&amp;s_h_frame=NAD83_2011&amp;s_coor=geo&amp;s_v_frame=LMSL&amp;s_v_unit=us_ft&amp;t_h_frame=NAD83_2011&amp;t_coor=geo&amp;t_v_frame=MLLW&amp;t_v_unit=us_ft", "Missing")</f>
        <v>0</v>
      </c>
      <c r="AZ454" s="2">
        <f>HYPERLINK("https://vdatum.noaa.gov/vdatumweb/api/convert?s_x=-66.25814&amp;s_y=18.45856&amp;s_z=0.0&amp;region=prvi&amp;s_h_frame=NAD83_2011&amp;s_coor=geo&amp;s_v_frame=LMSL&amp;s_v_unit=us_ft&amp;t_h_frame=NAD83_2011&amp;t_coor=geo&amp;t_v_frame=MHHW&amp;t_v_unit=us_ft", "Missing")</f>
        <v>0</v>
      </c>
    </row>
    <row r="455" spans="1:52">
      <c r="A455" s="1" t="s">
        <v>479</v>
      </c>
      <c r="B455" s="1" t="s">
        <v>634</v>
      </c>
      <c r="D455" s="1" t="s">
        <v>654</v>
      </c>
      <c r="E455" s="1" t="s">
        <v>791</v>
      </c>
      <c r="F455" s="1" t="s">
        <v>653</v>
      </c>
      <c r="G455" s="1" t="s">
        <v>857</v>
      </c>
      <c r="L455" s="1">
        <v>-65.73981999999999</v>
      </c>
      <c r="M455" s="1">
        <v>18.17517</v>
      </c>
      <c r="N455" s="1" t="s">
        <v>859</v>
      </c>
      <c r="O455" s="1" t="s">
        <v>861</v>
      </c>
      <c r="P455" s="1" t="s">
        <v>859</v>
      </c>
      <c r="T455" s="1">
        <v>1955316</v>
      </c>
      <c r="U455" s="1">
        <v>0</v>
      </c>
      <c r="V455" s="1" t="s">
        <v>871</v>
      </c>
      <c r="W455" s="1" t="s">
        <v>876</v>
      </c>
      <c r="AJ455" s="1">
        <v>-999999</v>
      </c>
      <c r="AK455" s="1">
        <v>-999999</v>
      </c>
      <c r="AY455" s="2">
        <f>HYPERLINK("https://vdatum.noaa.gov/vdatumweb/api/convert?s_x=-65.73982&amp;s_y=18.17517&amp;s_z=0.0&amp;region=prvi&amp;s_h_frame=NAD83_2011&amp;s_coor=geo&amp;s_v_frame=LMSL&amp;s_v_unit=us_ft&amp;t_h_frame=NAD83_2011&amp;t_coor=geo&amp;t_v_frame=MLLW&amp;t_v_unit=us_ft", "Missing")</f>
        <v>0</v>
      </c>
      <c r="AZ455" s="2">
        <f>HYPERLINK("https://vdatum.noaa.gov/vdatumweb/api/convert?s_x=-65.73982&amp;s_y=18.17517&amp;s_z=0.0&amp;region=prvi&amp;s_h_frame=NAD83_2011&amp;s_coor=geo&amp;s_v_frame=LMSL&amp;s_v_unit=us_ft&amp;t_h_frame=NAD83_2011&amp;t_coor=geo&amp;t_v_frame=MHHW&amp;t_v_unit=us_ft", "Missing")</f>
        <v>0</v>
      </c>
    </row>
    <row r="456" spans="1:52">
      <c r="A456" s="1" t="s">
        <v>480</v>
      </c>
      <c r="B456" s="1" t="s">
        <v>634</v>
      </c>
      <c r="D456" s="1" t="s">
        <v>654</v>
      </c>
      <c r="L456" s="1">
        <v>-65.88271</v>
      </c>
      <c r="M456" s="1">
        <v>18.434</v>
      </c>
      <c r="N456" s="1" t="s">
        <v>859</v>
      </c>
      <c r="O456" s="1" t="s">
        <v>861</v>
      </c>
      <c r="P456" s="1" t="s">
        <v>859</v>
      </c>
      <c r="T456" s="1">
        <v>453680</v>
      </c>
      <c r="U456" s="1">
        <v>0</v>
      </c>
      <c r="V456" s="1" t="s">
        <v>871</v>
      </c>
      <c r="W456" s="1" t="s">
        <v>876</v>
      </c>
      <c r="AJ456" s="1">
        <v>-999999</v>
      </c>
      <c r="AK456" s="1">
        <v>-999999</v>
      </c>
      <c r="AY456" s="2">
        <f>HYPERLINK("https://vdatum.noaa.gov/vdatumweb/api/convert?s_x=-65.88271&amp;s_y=18.434&amp;s_z=0.0&amp;region=prvi&amp;s_h_frame=NAD83_2011&amp;s_coor=geo&amp;s_v_frame=LMSL&amp;s_v_unit=us_ft&amp;t_h_frame=NAD83_2011&amp;t_coor=geo&amp;t_v_frame=MLLW&amp;t_v_unit=us_ft", "Missing")</f>
        <v>0</v>
      </c>
      <c r="AZ456" s="2">
        <f>HYPERLINK("https://vdatum.noaa.gov/vdatumweb/api/convert?s_x=-65.88271&amp;s_y=18.434&amp;s_z=0.0&amp;region=prvi&amp;s_h_frame=NAD83_2011&amp;s_coor=geo&amp;s_v_frame=LMSL&amp;s_v_unit=us_ft&amp;t_h_frame=NAD83_2011&amp;t_coor=geo&amp;t_v_frame=MHHW&amp;t_v_unit=us_ft", "Missing")</f>
        <v>0</v>
      </c>
    </row>
    <row r="457" spans="1:52">
      <c r="A457" s="1" t="s">
        <v>481</v>
      </c>
      <c r="B457" s="1" t="s">
        <v>634</v>
      </c>
      <c r="D457" s="1" t="s">
        <v>654</v>
      </c>
      <c r="E457" s="1" t="s">
        <v>792</v>
      </c>
      <c r="F457" s="1" t="s">
        <v>653</v>
      </c>
      <c r="G457" s="1" t="s">
        <v>857</v>
      </c>
      <c r="L457" s="1">
        <v>-65.75138</v>
      </c>
      <c r="M457" s="1">
        <v>18.38511</v>
      </c>
      <c r="N457" s="1" t="s">
        <v>859</v>
      </c>
      <c r="O457" s="1" t="s">
        <v>861</v>
      </c>
      <c r="P457" s="1" t="s">
        <v>859</v>
      </c>
      <c r="T457" s="1">
        <v>705497</v>
      </c>
      <c r="U457" s="1">
        <v>0</v>
      </c>
      <c r="V457" s="1" t="s">
        <v>871</v>
      </c>
      <c r="W457" s="1" t="s">
        <v>876</v>
      </c>
      <c r="AJ457" s="1">
        <v>-999999</v>
      </c>
      <c r="AK457" s="1">
        <v>-999999</v>
      </c>
      <c r="AY457" s="2">
        <f>HYPERLINK("https://vdatum.noaa.gov/vdatumweb/api/convert?s_x=-65.75138&amp;s_y=18.38511&amp;s_z=0.0&amp;region=prvi&amp;s_h_frame=NAD83_2011&amp;s_coor=geo&amp;s_v_frame=LMSL&amp;s_v_unit=us_ft&amp;t_h_frame=NAD83_2011&amp;t_coor=geo&amp;t_v_frame=MLLW&amp;t_v_unit=us_ft", "Missing")</f>
        <v>0</v>
      </c>
      <c r="AZ457" s="2">
        <f>HYPERLINK("https://vdatum.noaa.gov/vdatumweb/api/convert?s_x=-65.75138&amp;s_y=18.38511&amp;s_z=0.0&amp;region=prvi&amp;s_h_frame=NAD83_2011&amp;s_coor=geo&amp;s_v_frame=LMSL&amp;s_v_unit=us_ft&amp;t_h_frame=NAD83_2011&amp;t_coor=geo&amp;t_v_frame=MHHW&amp;t_v_unit=us_ft", "Missing")</f>
        <v>0</v>
      </c>
    </row>
    <row r="458" spans="1:52">
      <c r="A458" s="1" t="s">
        <v>482</v>
      </c>
      <c r="B458" s="1" t="s">
        <v>634</v>
      </c>
      <c r="D458" s="1" t="s">
        <v>654</v>
      </c>
      <c r="L458" s="1">
        <v>-66.53424</v>
      </c>
      <c r="M458" s="1">
        <v>18.47962</v>
      </c>
      <c r="N458" s="1" t="s">
        <v>859</v>
      </c>
      <c r="O458" s="1" t="s">
        <v>861</v>
      </c>
      <c r="P458" s="1" t="s">
        <v>859</v>
      </c>
      <c r="T458" s="1">
        <v>2136794</v>
      </c>
      <c r="U458" s="1">
        <v>0</v>
      </c>
      <c r="V458" s="1" t="s">
        <v>871</v>
      </c>
      <c r="W458" s="1" t="s">
        <v>876</v>
      </c>
      <c r="AJ458" s="1">
        <v>0.775</v>
      </c>
      <c r="AK458" s="1">
        <v>-0.868</v>
      </c>
      <c r="AY458" s="2">
        <f>HYPERLINK("https://vdatum.noaa.gov/vdatumweb/api/convert?s_x=-66.53424&amp;s_y=18.47962&amp;s_z=0.0&amp;region=prvi&amp;s_h_frame=NAD83_2011&amp;s_coor=geo&amp;s_v_frame=LMSL&amp;s_v_unit=us_ft&amp;t_h_frame=NAD83_2011&amp;t_coor=geo&amp;t_v_frame=MLLW&amp;t_v_unit=us_ft", "NAVD88 to MLLW")</f>
        <v>0</v>
      </c>
      <c r="AZ458" s="2">
        <f>HYPERLINK("https://vdatum.noaa.gov/vdatumweb/api/convert?s_x=-66.53424&amp;s_y=18.47962&amp;s_z=0.0&amp;region=prvi&amp;s_h_frame=NAD83_2011&amp;s_coor=geo&amp;s_v_frame=LMSL&amp;s_v_unit=us_ft&amp;t_h_frame=NAD83_2011&amp;t_coor=geo&amp;t_v_frame=MHHW&amp;t_v_unit=us_ft", "NAVD88 to MHHW")</f>
        <v>0</v>
      </c>
    </row>
    <row r="459" spans="1:52">
      <c r="A459" s="1" t="s">
        <v>483</v>
      </c>
      <c r="B459" s="1" t="s">
        <v>634</v>
      </c>
      <c r="D459" s="1" t="s">
        <v>654</v>
      </c>
      <c r="L459" s="1">
        <v>-65.72517999999999</v>
      </c>
      <c r="M459" s="1">
        <v>18.18848</v>
      </c>
      <c r="N459" s="1" t="s">
        <v>859</v>
      </c>
      <c r="O459" s="1" t="s">
        <v>861</v>
      </c>
      <c r="P459" s="1" t="s">
        <v>859</v>
      </c>
      <c r="T459" s="1">
        <v>1961476</v>
      </c>
      <c r="U459" s="1">
        <v>0</v>
      </c>
      <c r="V459" s="1" t="s">
        <v>871</v>
      </c>
      <c r="W459" s="1" t="s">
        <v>876</v>
      </c>
      <c r="AJ459" s="1">
        <v>0.38</v>
      </c>
      <c r="AK459" s="1">
        <v>-0.408</v>
      </c>
      <c r="AY459" s="2">
        <f>HYPERLINK("https://vdatum.noaa.gov/vdatumweb/api/convert?s_x=-65.72518&amp;s_y=18.18848&amp;s_z=0.0&amp;region=prvi&amp;s_h_frame=NAD83_2011&amp;s_coor=geo&amp;s_v_frame=LMSL&amp;s_v_unit=us_ft&amp;t_h_frame=NAD83_2011&amp;t_coor=geo&amp;t_v_frame=MLLW&amp;t_v_unit=us_ft", "NAVD88 to MLLW")</f>
        <v>0</v>
      </c>
      <c r="AZ459" s="2">
        <f>HYPERLINK("https://vdatum.noaa.gov/vdatumweb/api/convert?s_x=-65.72518&amp;s_y=18.18848&amp;s_z=0.0&amp;region=prvi&amp;s_h_frame=NAD83_2011&amp;s_coor=geo&amp;s_v_frame=LMSL&amp;s_v_unit=us_ft&amp;t_h_frame=NAD83_2011&amp;t_coor=geo&amp;t_v_frame=MHHW&amp;t_v_unit=us_ft", "NAVD88 to MHHW")</f>
        <v>0</v>
      </c>
    </row>
    <row r="460" spans="1:52">
      <c r="A460" s="1" t="s">
        <v>484</v>
      </c>
      <c r="B460" s="1" t="s">
        <v>634</v>
      </c>
      <c r="D460" s="1" t="s">
        <v>654</v>
      </c>
      <c r="L460" s="1">
        <v>-65.80405</v>
      </c>
      <c r="M460" s="1">
        <v>18.4104</v>
      </c>
      <c r="N460" s="1" t="s">
        <v>859</v>
      </c>
      <c r="O460" s="1" t="s">
        <v>861</v>
      </c>
      <c r="P460" s="1" t="s">
        <v>859</v>
      </c>
      <c r="T460" s="1">
        <v>621409</v>
      </c>
      <c r="U460" s="1">
        <v>0</v>
      </c>
      <c r="V460" s="1" t="s">
        <v>871</v>
      </c>
      <c r="W460" s="1" t="s">
        <v>876</v>
      </c>
      <c r="AJ460" s="1">
        <v>0.757</v>
      </c>
      <c r="AK460" s="1">
        <v>-0.843</v>
      </c>
      <c r="AY460" s="2">
        <f>HYPERLINK("https://vdatum.noaa.gov/vdatumweb/api/convert?s_x=-65.80405&amp;s_y=18.4104&amp;s_z=0.0&amp;region=prvi&amp;s_h_frame=NAD83_2011&amp;s_coor=geo&amp;s_v_frame=LMSL&amp;s_v_unit=us_ft&amp;t_h_frame=NAD83_2011&amp;t_coor=geo&amp;t_v_frame=MLLW&amp;t_v_unit=us_ft", "NAVD88 to MLLW")</f>
        <v>0</v>
      </c>
      <c r="AZ460" s="2">
        <f>HYPERLINK("https://vdatum.noaa.gov/vdatumweb/api/convert?s_x=-65.80405&amp;s_y=18.4104&amp;s_z=0.0&amp;region=prvi&amp;s_h_frame=NAD83_2011&amp;s_coor=geo&amp;s_v_frame=LMSL&amp;s_v_unit=us_ft&amp;t_h_frame=NAD83_2011&amp;t_coor=geo&amp;t_v_frame=MHHW&amp;t_v_unit=us_ft", "NAVD88 to MHHW")</f>
        <v>0</v>
      </c>
    </row>
    <row r="461" spans="1:52">
      <c r="A461" s="1" t="s">
        <v>485</v>
      </c>
      <c r="B461" s="1" t="s">
        <v>634</v>
      </c>
      <c r="D461" s="1" t="s">
        <v>654</v>
      </c>
      <c r="L461" s="1">
        <v>-66.08135</v>
      </c>
      <c r="M461" s="1">
        <v>18.4387</v>
      </c>
      <c r="N461" s="1" t="s">
        <v>859</v>
      </c>
      <c r="O461" s="1" t="s">
        <v>861</v>
      </c>
      <c r="P461" s="1" t="s">
        <v>859</v>
      </c>
      <c r="T461" s="1">
        <v>225647</v>
      </c>
      <c r="U461" s="1">
        <v>0</v>
      </c>
      <c r="V461" s="1" t="s">
        <v>871</v>
      </c>
      <c r="W461" s="1" t="s">
        <v>876</v>
      </c>
      <c r="AJ461" s="1">
        <v>-999999</v>
      </c>
      <c r="AK461" s="1">
        <v>-999999</v>
      </c>
      <c r="AY461" s="2">
        <f>HYPERLINK("https://vdatum.noaa.gov/vdatumweb/api/convert?s_x=-66.08135&amp;s_y=18.4387&amp;s_z=0.0&amp;region=prvi&amp;s_h_frame=NAD83_2011&amp;s_coor=geo&amp;s_v_frame=LMSL&amp;s_v_unit=us_ft&amp;t_h_frame=NAD83_2011&amp;t_coor=geo&amp;t_v_frame=MLLW&amp;t_v_unit=us_ft", "Missing")</f>
        <v>0</v>
      </c>
      <c r="AZ461" s="2">
        <f>HYPERLINK("https://vdatum.noaa.gov/vdatumweb/api/convert?s_x=-66.08135&amp;s_y=18.4387&amp;s_z=0.0&amp;region=prvi&amp;s_h_frame=NAD83_2011&amp;s_coor=geo&amp;s_v_frame=LMSL&amp;s_v_unit=us_ft&amp;t_h_frame=NAD83_2011&amp;t_coor=geo&amp;t_v_frame=MHHW&amp;t_v_unit=us_ft", "Missing")</f>
        <v>0</v>
      </c>
    </row>
    <row r="462" spans="1:52">
      <c r="A462" s="1" t="s">
        <v>486</v>
      </c>
      <c r="B462" s="1" t="s">
        <v>635</v>
      </c>
      <c r="C462" s="1" t="s">
        <v>645</v>
      </c>
      <c r="D462" s="1" t="s">
        <v>654</v>
      </c>
      <c r="L462" s="1">
        <v>-84.9806</v>
      </c>
      <c r="M462" s="1">
        <v>29.72444</v>
      </c>
      <c r="N462" s="1">
        <v>8728690</v>
      </c>
      <c r="O462" s="1" t="s">
        <v>860</v>
      </c>
      <c r="P462" s="1" t="s">
        <v>866</v>
      </c>
      <c r="Q462" s="2">
        <f>HYPERLINK("https://tidesandcurrents.noaa.gov/stationhome.html?id=8728690", "Station Info")</f>
        <v>0</v>
      </c>
      <c r="R462" s="2">
        <f>HYPERLINK("https://tidesandcurrents.noaa.gov/datums.html?datum=MLLW&amp;units=0&amp;epoch=0&amp;id=8728690", "Datum Info")</f>
        <v>0</v>
      </c>
      <c r="S462" s="2">
        <f>HYPERLINK("https://api.tidesandcurrents.noaa.gov/mdapi/prod/webapi/stations/8728690.json", "More Info")</f>
        <v>0</v>
      </c>
      <c r="T462" s="1">
        <v>7209629</v>
      </c>
      <c r="U462" s="1">
        <v>0</v>
      </c>
      <c r="V462" s="1" t="s">
        <v>869</v>
      </c>
      <c r="W462" s="1" t="s">
        <v>874</v>
      </c>
      <c r="X462" s="1" t="s">
        <v>886</v>
      </c>
      <c r="Y462" s="1">
        <v>1.61</v>
      </c>
      <c r="Z462" s="1">
        <v>1.51</v>
      </c>
      <c r="AA462" s="1">
        <v>0.95</v>
      </c>
      <c r="AB462" s="1">
        <v>0.91</v>
      </c>
      <c r="AC462" s="1">
        <v>0.8</v>
      </c>
      <c r="AD462" s="1">
        <v>0.4</v>
      </c>
      <c r="AE462" s="1">
        <v>0</v>
      </c>
      <c r="AF462" s="1">
        <v>0.76</v>
      </c>
      <c r="AG462" s="1">
        <v>-4.29</v>
      </c>
      <c r="AH462" s="1" t="s">
        <v>1279</v>
      </c>
      <c r="AI462" s="1" t="s">
        <v>1376</v>
      </c>
      <c r="AJ462" s="1">
        <v>0.847</v>
      </c>
      <c r="AK462" s="1">
        <v>-0.891</v>
      </c>
      <c r="AY462" s="2">
        <f>HYPERLINK("https://vdatum.noaa.gov/vdatumweb/api/convert?s_x=-84.9806&amp;s_y=29.72444&amp;s_z=0.0&amp;region=contiguous&amp;s_h_frame=NAD83_2011&amp;s_coor=geo&amp;s_v_frame=NAVD88&amp;s_v_unit=us_ft&amp;t_h_frame=NAD83_2011&amp;t_coor=geo&amp;t_v_frame=MLLW&amp;t_v_unit=us_ft", "NAVD88 to MLLW")</f>
        <v>0</v>
      </c>
      <c r="AZ462" s="2">
        <f>HYPERLINK("https://vdatum.noaa.gov/vdatumweb/api/convert?s_x=-84.9806&amp;s_y=29.72444&amp;s_z=0.0&amp;region=contiguous&amp;s_h_frame=NAD83_2011&amp;s_coor=geo&amp;s_v_frame=NAVD88&amp;s_v_unit=us_ft&amp;t_h_frame=NAD83_2011&amp;t_coor=geo&amp;t_v_frame=MHHW&amp;t_v_unit=us_ft", "NAVD88 to MHHW")</f>
        <v>0</v>
      </c>
    </row>
    <row r="463" spans="1:52">
      <c r="A463" s="1" t="s">
        <v>487</v>
      </c>
      <c r="B463" s="1" t="s">
        <v>635</v>
      </c>
      <c r="D463" s="1" t="s">
        <v>654</v>
      </c>
      <c r="L463" s="1">
        <v>-85.7</v>
      </c>
      <c r="M463" s="1">
        <v>30.15228</v>
      </c>
      <c r="N463" s="1">
        <v>8729108</v>
      </c>
      <c r="O463" s="1" t="s">
        <v>860</v>
      </c>
      <c r="P463" s="1" t="s">
        <v>866</v>
      </c>
      <c r="Q463" s="2">
        <f>HYPERLINK("https://tidesandcurrents.noaa.gov/stationhome.html?id=8729108", "Station Info")</f>
        <v>0</v>
      </c>
      <c r="R463" s="2">
        <f>HYPERLINK("https://tidesandcurrents.noaa.gov/datums.html?datum=MLLW&amp;units=0&amp;epoch=0&amp;id=8729108", "Datum Info")</f>
        <v>0</v>
      </c>
      <c r="S463" s="2">
        <f>HYPERLINK("https://api.tidesandcurrents.noaa.gov/mdapi/prod/webapi/stations/8729108.json", "More Info")</f>
        <v>0</v>
      </c>
      <c r="T463" s="1">
        <v>5730282</v>
      </c>
      <c r="U463" s="1">
        <v>0</v>
      </c>
      <c r="V463" s="1" t="s">
        <v>869</v>
      </c>
      <c r="W463" s="1" t="s">
        <v>874</v>
      </c>
      <c r="X463" s="1" t="s">
        <v>886</v>
      </c>
      <c r="Y463" s="1">
        <v>1.34</v>
      </c>
      <c r="Z463" s="1">
        <v>1.3</v>
      </c>
      <c r="AA463" s="1">
        <v>0.68</v>
      </c>
      <c r="AB463" s="1">
        <v>0.67</v>
      </c>
      <c r="AC463" s="1">
        <v>0.68</v>
      </c>
      <c r="AD463" s="1">
        <v>0.05</v>
      </c>
      <c r="AE463" s="1">
        <v>0</v>
      </c>
      <c r="AF463" s="1">
        <v>0.5600000000000001</v>
      </c>
      <c r="AG463" s="1">
        <v>-3.34</v>
      </c>
      <c r="AH463" s="1" t="s">
        <v>1280</v>
      </c>
      <c r="AI463" s="1" t="s">
        <v>1533</v>
      </c>
      <c r="AJ463" s="1">
        <v>0.537</v>
      </c>
      <c r="AK463" s="1">
        <v>-0.806</v>
      </c>
      <c r="AY463" s="2">
        <f>HYPERLINK("https://vdatum.noaa.gov/vdatumweb/api/convert?s_x=-85.7&amp;s_y=30.15228&amp;s_z=0.0&amp;region=contiguous&amp;s_h_frame=NAD83_2011&amp;s_coor=geo&amp;s_v_frame=NAVD88&amp;s_v_unit=us_ft&amp;t_h_frame=NAD83_2011&amp;t_coor=geo&amp;t_v_frame=MLLW&amp;t_v_unit=us_ft", "NAVD88 to MLLW")</f>
        <v>0</v>
      </c>
      <c r="AZ463" s="2">
        <f>HYPERLINK("https://vdatum.noaa.gov/vdatumweb/api/convert?s_x=-85.7&amp;s_y=30.15228&amp;s_z=0.0&amp;region=contiguous&amp;s_h_frame=NAD83_2011&amp;s_coor=geo&amp;s_v_frame=NAVD88&amp;s_v_unit=us_ft&amp;t_h_frame=NAD83_2011&amp;t_coor=geo&amp;t_v_frame=MHHW&amp;t_v_unit=us_ft", "NAVD88 to MHHW")</f>
        <v>0</v>
      </c>
    </row>
    <row r="464" spans="1:52">
      <c r="A464" s="1" t="s">
        <v>488</v>
      </c>
      <c r="B464" s="1" t="s">
        <v>635</v>
      </c>
      <c r="C464" s="1" t="s">
        <v>645</v>
      </c>
      <c r="D464" s="1" t="s">
        <v>654</v>
      </c>
      <c r="E464" s="1" t="s">
        <v>793</v>
      </c>
      <c r="F464" s="1" t="s">
        <v>847</v>
      </c>
      <c r="G464" s="1" t="s">
        <v>854</v>
      </c>
      <c r="L464" s="1">
        <v>-84.5025</v>
      </c>
      <c r="M464" s="1">
        <v>29.988333</v>
      </c>
      <c r="N464" s="1" t="s">
        <v>859</v>
      </c>
      <c r="O464" s="1" t="s">
        <v>861</v>
      </c>
      <c r="P464" s="1" t="s">
        <v>859</v>
      </c>
      <c r="T464" s="1">
        <v>5386590</v>
      </c>
      <c r="U464" s="1">
        <v>0</v>
      </c>
      <c r="V464" s="1" t="s">
        <v>869</v>
      </c>
      <c r="W464" s="1" t="s">
        <v>874</v>
      </c>
      <c r="AJ464" s="1">
        <v>-999999</v>
      </c>
      <c r="AK464" s="1">
        <v>-999999</v>
      </c>
      <c r="AY464" s="2">
        <f>HYPERLINK("https://vdatum.noaa.gov/vdatumweb/api/convert?s_x=-84.5025&amp;s_y=29.988333&amp;s_z=0.0&amp;region=contiguous&amp;s_h_frame=NAD83_2011&amp;s_coor=geo&amp;s_v_frame=NAVD88&amp;s_v_unit=us_ft&amp;t_h_frame=NAD83_2011&amp;t_coor=geo&amp;t_v_frame=MLLW&amp;t_v_unit=us_ft", "Missing")</f>
        <v>0</v>
      </c>
      <c r="AZ464" s="2">
        <f>HYPERLINK("https://vdatum.noaa.gov/vdatumweb/api/convert?s_x=-84.5025&amp;s_y=29.988333&amp;s_z=0.0&amp;region=contiguous&amp;s_h_frame=NAD83_2011&amp;s_coor=geo&amp;s_v_frame=NAVD88&amp;s_v_unit=us_ft&amp;t_h_frame=NAD83_2011&amp;t_coor=geo&amp;t_v_frame=MHHW&amp;t_v_unit=us_ft", "Missing")</f>
        <v>0</v>
      </c>
    </row>
    <row r="465" spans="1:52">
      <c r="A465" s="1" t="s">
        <v>489</v>
      </c>
      <c r="B465" s="1" t="s">
        <v>635</v>
      </c>
      <c r="C465" s="1" t="s">
        <v>645</v>
      </c>
      <c r="D465" s="1" t="s">
        <v>654</v>
      </c>
      <c r="E465" s="1" t="s">
        <v>793</v>
      </c>
      <c r="F465" s="1" t="s">
        <v>847</v>
      </c>
      <c r="G465" s="1" t="s">
        <v>854</v>
      </c>
      <c r="L465" s="1">
        <v>-84.28333000000001</v>
      </c>
      <c r="M465" s="1">
        <v>30.06667</v>
      </c>
      <c r="N465" s="1" t="s">
        <v>859</v>
      </c>
      <c r="O465" s="1" t="s">
        <v>860</v>
      </c>
      <c r="P465" s="1" t="s">
        <v>859</v>
      </c>
      <c r="T465" s="1">
        <v>3903612</v>
      </c>
      <c r="U465" s="1">
        <v>0</v>
      </c>
      <c r="V465" s="1" t="s">
        <v>869</v>
      </c>
      <c r="W465" s="1" t="s">
        <v>874</v>
      </c>
      <c r="AJ465" s="1">
        <v>1.902</v>
      </c>
      <c r="AK465" s="1">
        <v>-1.636</v>
      </c>
      <c r="AY465" s="2">
        <f>HYPERLINK("https://vdatum.noaa.gov/vdatumweb/api/convert?s_x=-84.28333&amp;s_y=30.06667&amp;s_z=0.0&amp;region=contiguous&amp;s_h_frame=NAD83_2011&amp;s_coor=geo&amp;s_v_frame=NAVD88&amp;s_v_unit=us_ft&amp;t_h_frame=NAD83_2011&amp;t_coor=geo&amp;t_v_frame=MLLW&amp;t_v_unit=us_ft", "NAVD88 to MLLW")</f>
        <v>0</v>
      </c>
      <c r="AZ465" s="2">
        <f>HYPERLINK("https://vdatum.noaa.gov/vdatumweb/api/convert?s_x=-84.28333&amp;s_y=30.06667&amp;s_z=0.0&amp;region=contiguous&amp;s_h_frame=NAD83_2011&amp;s_coor=geo&amp;s_v_frame=NAVD88&amp;s_v_unit=us_ft&amp;t_h_frame=NAD83_2011&amp;t_coor=geo&amp;t_v_frame=MHHW&amp;t_v_unit=us_ft", "NAVD88 to MHHW")</f>
        <v>0</v>
      </c>
    </row>
    <row r="466" spans="1:52">
      <c r="A466" s="1" t="s">
        <v>490</v>
      </c>
      <c r="B466" s="1" t="s">
        <v>635</v>
      </c>
      <c r="C466" s="1" t="s">
        <v>645</v>
      </c>
      <c r="D466" s="1" t="s">
        <v>654</v>
      </c>
      <c r="E466" s="1" t="s">
        <v>794</v>
      </c>
      <c r="F466" s="1" t="s">
        <v>847</v>
      </c>
      <c r="G466" s="1" t="s">
        <v>854</v>
      </c>
      <c r="H466" s="1" t="s">
        <v>1847</v>
      </c>
      <c r="I466" s="1" t="s">
        <v>1857</v>
      </c>
      <c r="J466" s="1" t="s">
        <v>2003</v>
      </c>
      <c r="K466" s="1" t="s">
        <v>2151</v>
      </c>
      <c r="L466" s="1">
        <v>-83.08651500000001</v>
      </c>
      <c r="M466" s="1">
        <v>29.33940554</v>
      </c>
      <c r="N466" s="1" t="s">
        <v>2261</v>
      </c>
      <c r="O466" s="1" t="s">
        <v>861</v>
      </c>
      <c r="P466" s="1" t="s">
        <v>867</v>
      </c>
      <c r="Q466" s="2">
        <f>HYPERLINK("https://waterdata.usgs.gov/nwis/nwismap/?site_no=02323592&amp;agency_cd=USGS", "Station Info")</f>
        <v>0</v>
      </c>
      <c r="R466" s="2">
        <f>HYPERLINK("https://waterservices.usgs.gov/nwis/site/?site=02323592&amp;format=rdb", "Datum Info")</f>
        <v>0</v>
      </c>
      <c r="T466" s="1">
        <v>6442692</v>
      </c>
      <c r="U466" s="1">
        <v>-0.185</v>
      </c>
      <c r="V466" s="1" t="s">
        <v>869</v>
      </c>
      <c r="W466" s="1" t="s">
        <v>874</v>
      </c>
      <c r="AJ466" s="1">
        <v>-999999</v>
      </c>
      <c r="AK466" s="1">
        <v>-999999</v>
      </c>
      <c r="AM466" s="1">
        <v>0</v>
      </c>
      <c r="AN466" s="1" t="s">
        <v>1675</v>
      </c>
      <c r="AQ466" s="1" t="s">
        <v>1025</v>
      </c>
      <c r="AS466" s="1">
        <v>0.7</v>
      </c>
      <c r="AT466" s="1">
        <v>1.7</v>
      </c>
      <c r="AU466" s="1">
        <v>3</v>
      </c>
      <c r="AV466" s="1">
        <v>5</v>
      </c>
      <c r="AW466" s="1" t="s">
        <v>1744</v>
      </c>
      <c r="AX466" s="2">
        <f>HYPERLINK("https://water.weather.gov/ahps2/hydrograph.php?wfo=tae&amp;gage=suwf1", "AHPS Data")</f>
        <v>0</v>
      </c>
      <c r="AY466" s="2">
        <f>HYPERLINK("https://vdatum.noaa.gov/vdatumweb/api/convert?s_x=-83.086515&amp;s_y=29.33940554&amp;s_z=0.0&amp;region=contiguous&amp;s_h_frame=NAD83_2011&amp;s_coor=geo&amp;s_v_frame=NAVD88&amp;s_v_unit=us_ft&amp;t_h_frame=NAD83_2011&amp;t_coor=geo&amp;t_v_frame=MLLW&amp;t_v_unit=us_ft", "Missing")</f>
        <v>0</v>
      </c>
      <c r="AZ466" s="2">
        <f>HYPERLINK("https://vdatum.noaa.gov/vdatumweb/api/convert?s_x=-83.086515&amp;s_y=29.33940554&amp;s_z=0.0&amp;region=contiguous&amp;s_h_frame=NAD83_2011&amp;s_coor=geo&amp;s_v_frame=NAVD88&amp;s_v_unit=us_ft&amp;t_h_frame=NAD83_2011&amp;t_coor=geo&amp;t_v_frame=MHHW&amp;t_v_unit=us_ft", "Missing")</f>
        <v>0</v>
      </c>
    </row>
    <row r="467" spans="1:52">
      <c r="A467" s="1" t="s">
        <v>491</v>
      </c>
      <c r="B467" s="1" t="s">
        <v>635</v>
      </c>
      <c r="C467" s="1" t="s">
        <v>645</v>
      </c>
      <c r="D467" s="1" t="s">
        <v>654</v>
      </c>
      <c r="E467" s="1" t="s">
        <v>795</v>
      </c>
      <c r="F467" s="1" t="s">
        <v>847</v>
      </c>
      <c r="G467" s="1" t="s">
        <v>854</v>
      </c>
      <c r="H467" s="1" t="s">
        <v>1848</v>
      </c>
      <c r="I467" s="1" t="s">
        <v>1857</v>
      </c>
      <c r="J467" s="1" t="s">
        <v>2004</v>
      </c>
      <c r="K467" s="1" t="s">
        <v>2152</v>
      </c>
      <c r="L467" s="1">
        <v>-83.37735988999999</v>
      </c>
      <c r="M467" s="1">
        <v>29.6682821</v>
      </c>
      <c r="N467" s="1" t="s">
        <v>2262</v>
      </c>
      <c r="O467" s="1" t="s">
        <v>861</v>
      </c>
      <c r="P467" s="1" t="s">
        <v>867</v>
      </c>
      <c r="Q467" s="2">
        <f>HYPERLINK("https://waterdata.usgs.gov/nwis/nwismap/?site_no=02324170&amp;agency_cd=USGS", "Station Info")</f>
        <v>0</v>
      </c>
      <c r="R467" s="2">
        <f>HYPERLINK("https://waterservices.usgs.gov/nwis/site/?site=02324170&amp;format=rdb", "Datum Info")</f>
        <v>0</v>
      </c>
      <c r="T467" s="1">
        <v>4062727</v>
      </c>
      <c r="U467" s="1">
        <v>0</v>
      </c>
      <c r="V467" s="1" t="s">
        <v>869</v>
      </c>
      <c r="W467" s="1" t="s">
        <v>874</v>
      </c>
      <c r="AJ467" s="1">
        <v>2.141</v>
      </c>
      <c r="AK467" s="1">
        <v>-1.624</v>
      </c>
      <c r="AL467" s="1" t="s">
        <v>887</v>
      </c>
      <c r="AM467" s="1">
        <v>0</v>
      </c>
      <c r="AN467" s="1" t="s">
        <v>1676</v>
      </c>
      <c r="AQ467" s="1" t="s">
        <v>1735</v>
      </c>
      <c r="AS467" s="1">
        <v>1.4</v>
      </c>
      <c r="AT467" s="1">
        <v>2.4</v>
      </c>
      <c r="AU467" s="1">
        <v>4</v>
      </c>
      <c r="AV467" s="1">
        <v>6</v>
      </c>
      <c r="AW467" s="1" t="s">
        <v>1744</v>
      </c>
      <c r="AX467" s="2">
        <f>HYPERLINK("https://water.weather.gov/ahps2/hydrograph.php?wfo=tae&amp;gage=stif1", "AHPS Data")</f>
        <v>0</v>
      </c>
      <c r="AY467" s="2">
        <f>HYPERLINK("https://vdatum.noaa.gov/vdatumweb/api/convert?s_x=-83.37735989&amp;s_y=29.6682821&amp;s_z=0.0&amp;region=contiguous&amp;s_h_frame=NAD83_2011&amp;s_coor=geo&amp;s_v_frame=NAVD88&amp;s_v_unit=us_ft&amp;t_h_frame=NAD83_2011&amp;t_coor=geo&amp;t_v_frame=MLLW&amp;t_v_unit=us_ft", "NAVD88 to MLLW")</f>
        <v>0</v>
      </c>
      <c r="AZ467" s="2">
        <f>HYPERLINK("https://vdatum.noaa.gov/vdatumweb/api/convert?s_x=-83.37735989&amp;s_y=29.6682821&amp;s_z=0.0&amp;region=contiguous&amp;s_h_frame=NAD83_2011&amp;s_coor=geo&amp;s_v_frame=NAVD88&amp;s_v_unit=us_ft&amp;t_h_frame=NAD83_2011&amp;t_coor=geo&amp;t_v_frame=MHHW&amp;t_v_unit=us_ft", "NAVD88 to MHHW")</f>
        <v>0</v>
      </c>
    </row>
    <row r="468" spans="1:52">
      <c r="A468" s="1" t="s">
        <v>492</v>
      </c>
      <c r="B468" s="1" t="s">
        <v>635</v>
      </c>
      <c r="C468" s="1" t="s">
        <v>645</v>
      </c>
      <c r="D468" s="1" t="s">
        <v>654</v>
      </c>
      <c r="E468" s="1" t="s">
        <v>795</v>
      </c>
      <c r="F468" s="1" t="s">
        <v>847</v>
      </c>
      <c r="G468" s="1" t="s">
        <v>854</v>
      </c>
      <c r="H468" s="1" t="s">
        <v>1849</v>
      </c>
      <c r="I468" s="1" t="s">
        <v>1857</v>
      </c>
      <c r="J468" s="1" t="s">
        <v>2005</v>
      </c>
      <c r="K468" s="1" t="s">
        <v>2153</v>
      </c>
      <c r="L468" s="1">
        <v>-83.77765340000001</v>
      </c>
      <c r="M468" s="1">
        <v>30.01132315</v>
      </c>
      <c r="N468" s="1" t="s">
        <v>2263</v>
      </c>
      <c r="O468" s="1" t="s">
        <v>860</v>
      </c>
      <c r="P468" s="1" t="s">
        <v>867</v>
      </c>
      <c r="Q468" s="2">
        <f>HYPERLINK("https://waterdata.usgs.gov/nwis/nwismap/?site_no=02325543&amp;agency_cd=USGS", "Station Info")</f>
        <v>0</v>
      </c>
      <c r="R468" s="2">
        <f>HYPERLINK("https://waterservices.usgs.gov/nwis/site/?site=02325543&amp;format=rdb", "Datum Info")</f>
        <v>0</v>
      </c>
      <c r="T468" s="1">
        <v>2727319</v>
      </c>
      <c r="U468" s="1">
        <v>0</v>
      </c>
      <c r="V468" s="1" t="s">
        <v>869</v>
      </c>
      <c r="W468" s="1" t="s">
        <v>874</v>
      </c>
      <c r="AJ468" s="1">
        <v>1.779</v>
      </c>
      <c r="AK468" s="1">
        <v>-1.846</v>
      </c>
      <c r="AS468" s="1">
        <v>0.8</v>
      </c>
      <c r="AT468" s="1">
        <v>2</v>
      </c>
      <c r="AU468" s="1">
        <v>3.5</v>
      </c>
      <c r="AV468" s="1">
        <v>5</v>
      </c>
      <c r="AW468" s="1" t="s">
        <v>1744</v>
      </c>
      <c r="AX468" s="2">
        <f>HYPERLINK("https://water.weather.gov/ahps2/hydrograph.php?wfo=tae&amp;gage=frhf1", "AHPS Data")</f>
        <v>0</v>
      </c>
      <c r="AY468" s="2">
        <f>HYPERLINK("https://vdatum.noaa.gov/vdatumweb/api/convert?s_x=-83.7776534&amp;s_y=30.01132315&amp;s_z=0.0&amp;region=contiguous&amp;s_h_frame=NAD83_2011&amp;s_coor=geo&amp;s_v_frame=NAVD88&amp;s_v_unit=us_ft&amp;t_h_frame=NAD83_2011&amp;t_coor=geo&amp;t_v_frame=MLLW&amp;t_v_unit=us_ft", "NAVD88 to MLLW")</f>
        <v>0</v>
      </c>
      <c r="AZ468" s="2">
        <f>HYPERLINK("https://vdatum.noaa.gov/vdatumweb/api/convert?s_x=-83.7776534&amp;s_y=30.01132315&amp;s_z=0.0&amp;region=contiguous&amp;s_h_frame=NAD83_2011&amp;s_coor=geo&amp;s_v_frame=NAVD88&amp;s_v_unit=us_ft&amp;t_h_frame=NAD83_2011&amp;t_coor=geo&amp;t_v_frame=MHHW&amp;t_v_unit=us_ft", "NAVD88 to MHHW")</f>
        <v>0</v>
      </c>
    </row>
    <row r="469" spans="1:52">
      <c r="A469" s="1" t="s">
        <v>493</v>
      </c>
      <c r="B469" s="1" t="s">
        <v>635</v>
      </c>
      <c r="C469" s="1" t="s">
        <v>645</v>
      </c>
      <c r="D469" s="1" t="s">
        <v>654</v>
      </c>
      <c r="E469" s="1" t="s">
        <v>795</v>
      </c>
      <c r="F469" s="1" t="s">
        <v>847</v>
      </c>
      <c r="G469" s="1" t="s">
        <v>854</v>
      </c>
      <c r="H469" s="1" t="s">
        <v>1850</v>
      </c>
      <c r="I469" s="1" t="s">
        <v>1857</v>
      </c>
      <c r="J469" s="1" t="s">
        <v>2006</v>
      </c>
      <c r="K469" s="1" t="s">
        <v>2154</v>
      </c>
      <c r="L469" s="1">
        <v>-83.8987028</v>
      </c>
      <c r="M469" s="1">
        <v>30.06811667</v>
      </c>
      <c r="N469" s="1" t="s">
        <v>2264</v>
      </c>
      <c r="O469" s="1" t="s">
        <v>860</v>
      </c>
      <c r="P469" s="1" t="s">
        <v>867</v>
      </c>
      <c r="Q469" s="2">
        <f>HYPERLINK("https://waterdata.usgs.gov/nwis/nwismap/?site_no=02326050&amp;agency_cd=USGS", "Station Info")</f>
        <v>0</v>
      </c>
      <c r="R469" s="2">
        <f>HYPERLINK("https://waterservices.usgs.gov/nwis/site/?site=02326050&amp;format=rdb", "Datum Info")</f>
        <v>0</v>
      </c>
      <c r="T469" s="1">
        <v>2300500</v>
      </c>
      <c r="U469" s="1">
        <v>0</v>
      </c>
      <c r="V469" s="1" t="s">
        <v>869</v>
      </c>
      <c r="W469" s="1" t="s">
        <v>874</v>
      </c>
      <c r="X469" s="1" t="s">
        <v>887</v>
      </c>
      <c r="AF469" s="1" t="s">
        <v>1046</v>
      </c>
      <c r="AJ469" s="1">
        <v>-999999</v>
      </c>
      <c r="AK469" s="1">
        <v>-999999</v>
      </c>
      <c r="AS469" s="1">
        <v>1.2</v>
      </c>
      <c r="AT469" s="1">
        <v>2.3</v>
      </c>
      <c r="AU469" s="1">
        <v>3.5</v>
      </c>
      <c r="AV469" s="1">
        <v>5</v>
      </c>
      <c r="AW469" s="1" t="s">
        <v>1744</v>
      </c>
      <c r="AX469" s="2">
        <f>HYPERLINK("https://water.weather.gov/ahps2/hydrograph.php?wfo=tae&amp;gage=efsf1", "AHPS Data")</f>
        <v>0</v>
      </c>
      <c r="AY469" s="2">
        <f>HYPERLINK("https://vdatum.noaa.gov/vdatumweb/api/convert?s_x=-83.8987028&amp;s_y=30.06811667&amp;s_z=0.0&amp;region=contiguous&amp;s_h_frame=NAD83_2011&amp;s_coor=geo&amp;s_v_frame=NAVD88&amp;s_v_unit=us_ft&amp;t_h_frame=NAD83_2011&amp;t_coor=geo&amp;t_v_frame=MLLW&amp;t_v_unit=us_ft", "Missing")</f>
        <v>0</v>
      </c>
      <c r="AZ469" s="2">
        <f>HYPERLINK("https://vdatum.noaa.gov/vdatumweb/api/convert?s_x=-83.8987028&amp;s_y=30.06811667&amp;s_z=0.0&amp;region=contiguous&amp;s_h_frame=NAD83_2011&amp;s_coor=geo&amp;s_v_frame=NAVD88&amp;s_v_unit=us_ft&amp;t_h_frame=NAD83_2011&amp;t_coor=geo&amp;t_v_frame=MHHW&amp;t_v_unit=us_ft", "Missing")</f>
        <v>0</v>
      </c>
    </row>
    <row r="470" spans="1:52">
      <c r="A470" s="1" t="s">
        <v>494</v>
      </c>
      <c r="B470" s="1" t="s">
        <v>635</v>
      </c>
      <c r="C470" s="1" t="s">
        <v>645</v>
      </c>
      <c r="D470" s="1" t="s">
        <v>654</v>
      </c>
      <c r="E470" s="1" t="s">
        <v>795</v>
      </c>
      <c r="F470" s="1" t="s">
        <v>847</v>
      </c>
      <c r="G470" s="1" t="s">
        <v>854</v>
      </c>
      <c r="H470" s="1" t="s">
        <v>1851</v>
      </c>
      <c r="I470" s="1" t="s">
        <v>1857</v>
      </c>
      <c r="J470" s="1" t="s">
        <v>2007</v>
      </c>
      <c r="K470" s="1" t="s">
        <v>2155</v>
      </c>
      <c r="L470" s="1">
        <v>-83.97976887999999</v>
      </c>
      <c r="M470" s="1">
        <v>30.1123413</v>
      </c>
      <c r="N470" s="1" t="s">
        <v>2265</v>
      </c>
      <c r="O470" s="1" t="s">
        <v>861</v>
      </c>
      <c r="P470" s="1" t="s">
        <v>867</v>
      </c>
      <c r="Q470" s="2">
        <f>HYPERLINK("https://waterdata.usgs.gov/nwis/nwismap/?site_no=02326550&amp;agency_cd=USGS", "Station Info")</f>
        <v>0</v>
      </c>
      <c r="R470" s="2">
        <f>HYPERLINK("https://waterservices.usgs.gov/nwis/site/?site=02326550&amp;format=rdb", "Datum Info")</f>
        <v>0</v>
      </c>
      <c r="T470" s="1">
        <v>3257821</v>
      </c>
      <c r="U470" s="1">
        <v>-1.615</v>
      </c>
      <c r="V470" s="1" t="s">
        <v>869</v>
      </c>
      <c r="W470" s="1" t="s">
        <v>874</v>
      </c>
      <c r="AJ470" s="1">
        <v>-999999</v>
      </c>
      <c r="AK470" s="1">
        <v>-999999</v>
      </c>
      <c r="AM470" s="1">
        <v>0</v>
      </c>
      <c r="AN470" s="1" t="s">
        <v>1677</v>
      </c>
      <c r="AQ470" s="1" t="s">
        <v>1735</v>
      </c>
      <c r="AS470" s="1">
        <v>1.7</v>
      </c>
      <c r="AT470" s="1">
        <v>2.7</v>
      </c>
      <c r="AU470" s="1">
        <v>4.2</v>
      </c>
      <c r="AV470" s="1">
        <v>6.2</v>
      </c>
      <c r="AW470" s="1" t="s">
        <v>1744</v>
      </c>
      <c r="AX470" s="2">
        <f>HYPERLINK("https://water.weather.gov/ahps2/hydrograph.php?wfo=tae&amp;gage=nutf1", "AHPS Data")</f>
        <v>0</v>
      </c>
      <c r="AY470" s="2">
        <f>HYPERLINK("https://vdatum.noaa.gov/vdatumweb/api/convert?s_x=-83.97976888&amp;s_y=30.1123413&amp;s_z=0.0&amp;region=contiguous&amp;s_h_frame=NAD83_2011&amp;s_coor=geo&amp;s_v_frame=NAVD88&amp;s_v_unit=us_ft&amp;t_h_frame=NAD83_2011&amp;t_coor=geo&amp;t_v_frame=MLLW&amp;t_v_unit=us_ft", "Missing")</f>
        <v>0</v>
      </c>
      <c r="AZ470" s="2">
        <f>HYPERLINK("https://vdatum.noaa.gov/vdatumweb/api/convert?s_x=-83.97976888&amp;s_y=30.1123413&amp;s_z=0.0&amp;region=contiguous&amp;s_h_frame=NAD83_2011&amp;s_coor=geo&amp;s_v_frame=NAVD88&amp;s_v_unit=us_ft&amp;t_h_frame=NAD83_2011&amp;t_coor=geo&amp;t_v_frame=MHHW&amp;t_v_unit=us_ft", "Missing")</f>
        <v>0</v>
      </c>
    </row>
    <row r="471" spans="1:52">
      <c r="A471" s="1" t="s">
        <v>495</v>
      </c>
      <c r="B471" s="1" t="s">
        <v>635</v>
      </c>
      <c r="C471" s="1" t="s">
        <v>645</v>
      </c>
      <c r="D471" s="1" t="s">
        <v>654</v>
      </c>
      <c r="H471" s="1" t="s">
        <v>1852</v>
      </c>
      <c r="I471" s="1" t="s">
        <v>1857</v>
      </c>
      <c r="J471" s="1" t="s">
        <v>2008</v>
      </c>
      <c r="K471" s="1" t="s">
        <v>2156</v>
      </c>
      <c r="L471" s="1">
        <v>-84.32739318</v>
      </c>
      <c r="M471" s="1">
        <v>30.07269923</v>
      </c>
      <c r="N471" s="1" t="s">
        <v>2266</v>
      </c>
      <c r="O471" s="1" t="s">
        <v>861</v>
      </c>
      <c r="P471" s="1" t="s">
        <v>867</v>
      </c>
      <c r="Q471" s="2">
        <f>HYPERLINK("https://waterdata.usgs.gov/nwis/nwismap/?site_no=02327031&amp;agency_cd=USGS", "Station Info")</f>
        <v>0</v>
      </c>
      <c r="R471" s="2">
        <f>HYPERLINK("https://waterservices.usgs.gov/nwis/site/?site=02327031&amp;format=rdb", "Datum Info")</f>
        <v>0</v>
      </c>
      <c r="T471" s="1">
        <v>5145607</v>
      </c>
      <c r="U471" s="1">
        <v>0</v>
      </c>
      <c r="V471" s="1" t="s">
        <v>869</v>
      </c>
      <c r="W471" s="1" t="s">
        <v>874</v>
      </c>
      <c r="X471" s="1" t="s">
        <v>887</v>
      </c>
      <c r="AF471" s="1" t="s">
        <v>956</v>
      </c>
      <c r="AJ471" s="1">
        <v>1.938</v>
      </c>
      <c r="AK471" s="1">
        <v>-1.64</v>
      </c>
      <c r="AM471" s="1">
        <v>0</v>
      </c>
      <c r="AN471" s="1" t="s">
        <v>1676</v>
      </c>
      <c r="AQ471" s="1" t="s">
        <v>1025</v>
      </c>
      <c r="AS471" s="1">
        <v>1</v>
      </c>
      <c r="AT471" s="1">
        <v>2</v>
      </c>
      <c r="AU471" s="1">
        <v>4</v>
      </c>
      <c r="AV471" s="1">
        <v>6</v>
      </c>
      <c r="AW471" s="1" t="s">
        <v>1744</v>
      </c>
      <c r="AX471" s="2">
        <f>HYPERLINK("https://water.weather.gov/ahps2/hydrograph.php?wfo=tae&amp;gage=sbif1", "AHPS Data")</f>
        <v>0</v>
      </c>
      <c r="AY471" s="2">
        <f>HYPERLINK("https://vdatum.noaa.gov/vdatumweb/api/convert?s_x=-84.32739318&amp;s_y=30.07269923&amp;s_z=0.0&amp;region=contiguous&amp;s_h_frame=NAD83_2011&amp;s_coor=geo&amp;s_v_frame=NAVD88&amp;s_v_unit=us_ft&amp;t_h_frame=NAD83_2011&amp;t_coor=geo&amp;t_v_frame=MLLW&amp;t_v_unit=us_ft", "NAVD88 to MLLW")</f>
        <v>0</v>
      </c>
      <c r="AZ471" s="2">
        <f>HYPERLINK("https://vdatum.noaa.gov/vdatumweb/api/convert?s_x=-84.32739318&amp;s_y=30.07269923&amp;s_z=0.0&amp;region=contiguous&amp;s_h_frame=NAD83_2011&amp;s_coor=geo&amp;s_v_frame=NAVD88&amp;s_v_unit=us_ft&amp;t_h_frame=NAD83_2011&amp;t_coor=geo&amp;t_v_frame=MHHW&amp;t_v_unit=us_ft", "NAVD88 to MHHW")</f>
        <v>0</v>
      </c>
    </row>
    <row r="472" spans="1:52">
      <c r="A472" s="1" t="s">
        <v>496</v>
      </c>
      <c r="B472" s="1" t="s">
        <v>635</v>
      </c>
      <c r="C472" s="1" t="s">
        <v>645</v>
      </c>
      <c r="D472" s="1" t="s">
        <v>654</v>
      </c>
      <c r="E472" s="1" t="s">
        <v>796</v>
      </c>
      <c r="F472" s="1" t="s">
        <v>847</v>
      </c>
      <c r="G472" s="1" t="s">
        <v>854</v>
      </c>
      <c r="H472" s="1" t="s">
        <v>1853</v>
      </c>
      <c r="I472" s="1" t="s">
        <v>1857</v>
      </c>
      <c r="J472" s="1" t="s">
        <v>2009</v>
      </c>
      <c r="K472" s="1" t="s">
        <v>2157</v>
      </c>
      <c r="L472" s="1">
        <v>-85.0842806</v>
      </c>
      <c r="M472" s="1">
        <v>29.7695111</v>
      </c>
      <c r="N472" s="1" t="s">
        <v>2267</v>
      </c>
      <c r="O472" s="1" t="s">
        <v>861</v>
      </c>
      <c r="P472" s="1" t="s">
        <v>867</v>
      </c>
      <c r="Q472" s="2">
        <f>HYPERLINK("https://waterdata.usgs.gov/nwis/nwismap/?site_no=02359223&amp;agency_cd=USGS", "Station Info")</f>
        <v>0</v>
      </c>
      <c r="R472" s="2">
        <f>HYPERLINK("https://waterservices.usgs.gov/nwis/site/?site=02359223&amp;format=rdb", "Datum Info")</f>
        <v>0</v>
      </c>
      <c r="T472" s="1">
        <v>7046590</v>
      </c>
      <c r="U472" s="1">
        <v>0</v>
      </c>
      <c r="V472" s="1" t="s">
        <v>869</v>
      </c>
      <c r="W472" s="1" t="s">
        <v>874</v>
      </c>
      <c r="AJ472" s="1">
        <v>0.511</v>
      </c>
      <c r="AK472" s="1">
        <v>-0.698</v>
      </c>
      <c r="AS472" s="1">
        <v>0.9</v>
      </c>
      <c r="AT472" s="1">
        <v>2</v>
      </c>
      <c r="AU472" s="1">
        <v>4</v>
      </c>
      <c r="AV472" s="1">
        <v>6</v>
      </c>
      <c r="AW472" s="1" t="s">
        <v>1744</v>
      </c>
      <c r="AX472" s="2">
        <f>HYPERLINK("https://water.weather.gov/ahps2/hydrograph.php?wfo=tae&amp;gage=jraf1", "AHPS Data")</f>
        <v>0</v>
      </c>
      <c r="AY472" s="2">
        <f>HYPERLINK("https://vdatum.noaa.gov/vdatumweb/api/convert?s_x=-85.0842806&amp;s_y=29.7695111&amp;s_z=0.0&amp;region=contiguous&amp;s_h_frame=NAD83_2011&amp;s_coor=geo&amp;s_v_frame=NAVD88&amp;s_v_unit=us_ft&amp;t_h_frame=NAD83_2011&amp;t_coor=geo&amp;t_v_frame=MLLW&amp;t_v_unit=us_ft", "NAVD88 to MLLW")</f>
        <v>0</v>
      </c>
      <c r="AZ472" s="2">
        <f>HYPERLINK("https://vdatum.noaa.gov/vdatumweb/api/convert?s_x=-85.0842806&amp;s_y=29.7695111&amp;s_z=0.0&amp;region=contiguous&amp;s_h_frame=NAD83_2011&amp;s_coor=geo&amp;s_v_frame=NAVD88&amp;s_v_unit=us_ft&amp;t_h_frame=NAD83_2011&amp;t_coor=geo&amp;t_v_frame=MHHW&amp;t_v_unit=us_ft", "NAVD88 to MHHW")</f>
        <v>0</v>
      </c>
    </row>
    <row r="473" spans="1:52">
      <c r="A473" s="1" t="s">
        <v>497</v>
      </c>
      <c r="B473" s="1" t="s">
        <v>636</v>
      </c>
      <c r="D473" s="1" t="s">
        <v>654</v>
      </c>
      <c r="E473" s="1" t="s">
        <v>797</v>
      </c>
      <c r="F473" s="1" t="s">
        <v>847</v>
      </c>
      <c r="G473" s="1" t="s">
        <v>854</v>
      </c>
      <c r="L473" s="1">
        <v>-81.871</v>
      </c>
      <c r="M473" s="1">
        <v>26.648</v>
      </c>
      <c r="N473" s="1">
        <v>8725520</v>
      </c>
      <c r="O473" s="1" t="s">
        <v>860</v>
      </c>
      <c r="P473" s="1" t="s">
        <v>866</v>
      </c>
      <c r="Q473" s="2">
        <f>HYPERLINK("https://tidesandcurrents.noaa.gov/stationhome.html?id=8725520", "Station Info")</f>
        <v>0</v>
      </c>
      <c r="R473" s="2">
        <f>HYPERLINK("https://tidesandcurrents.noaa.gov/datums.html?datum=MLLW&amp;units=0&amp;epoch=0&amp;id=8725520", "Datum Info")</f>
        <v>0</v>
      </c>
      <c r="S473" s="2">
        <f>HYPERLINK("https://api.tidesandcurrents.noaa.gov/mdapi/prod/webapi/stations/8725520.json", "More Info")</f>
        <v>0</v>
      </c>
      <c r="T473" s="1">
        <v>7294356</v>
      </c>
      <c r="U473" s="1">
        <v>0</v>
      </c>
      <c r="V473" s="1" t="s">
        <v>869</v>
      </c>
      <c r="W473" s="1" t="s">
        <v>874</v>
      </c>
      <c r="X473" s="1" t="s">
        <v>886</v>
      </c>
      <c r="Y473" s="1">
        <v>1.32</v>
      </c>
      <c r="Z473" s="1">
        <v>1.1</v>
      </c>
      <c r="AA473" s="1">
        <v>0.63</v>
      </c>
      <c r="AB473" s="1">
        <v>0.63</v>
      </c>
      <c r="AC473" s="1">
        <v>0.66</v>
      </c>
      <c r="AD473" s="1">
        <v>0.15</v>
      </c>
      <c r="AE473" s="1">
        <v>0</v>
      </c>
      <c r="AF473" s="1">
        <v>1.04</v>
      </c>
      <c r="AG473" s="1">
        <v>-4.36</v>
      </c>
      <c r="AH473" s="1" t="s">
        <v>1281</v>
      </c>
      <c r="AI473" s="1" t="s">
        <v>1534</v>
      </c>
      <c r="AJ473" s="1">
        <v>1.044</v>
      </c>
      <c r="AK473" s="1">
        <v>-0.272</v>
      </c>
      <c r="AY473" s="2">
        <f>HYPERLINK("https://vdatum.noaa.gov/vdatumweb/api/convert?s_x=-81.871&amp;s_y=26.648&amp;s_z=0.0&amp;region=contiguous&amp;s_h_frame=NAD83_2011&amp;s_coor=geo&amp;s_v_frame=NAVD88&amp;s_v_unit=us_ft&amp;t_h_frame=NAD83_2011&amp;t_coor=geo&amp;t_v_frame=MLLW&amp;t_v_unit=us_ft", "NAVD88 to MLLW")</f>
        <v>0</v>
      </c>
      <c r="AZ473" s="2">
        <f>HYPERLINK("https://vdatum.noaa.gov/vdatumweb/api/convert?s_x=-81.871&amp;s_y=26.648&amp;s_z=0.0&amp;region=contiguous&amp;s_h_frame=NAD83_2011&amp;s_coor=geo&amp;s_v_frame=NAVD88&amp;s_v_unit=us_ft&amp;t_h_frame=NAD83_2011&amp;t_coor=geo&amp;t_v_frame=MHHW&amp;t_v_unit=us_ft", "NAVD88 to MHHW")</f>
        <v>0</v>
      </c>
    </row>
    <row r="474" spans="1:52">
      <c r="A474" s="1" t="s">
        <v>498</v>
      </c>
      <c r="B474" s="1" t="s">
        <v>636</v>
      </c>
      <c r="C474" s="1" t="s">
        <v>645</v>
      </c>
      <c r="D474" s="1" t="s">
        <v>654</v>
      </c>
      <c r="E474" s="1" t="s">
        <v>798</v>
      </c>
      <c r="F474" s="1" t="s">
        <v>847</v>
      </c>
      <c r="G474" s="1" t="s">
        <v>854</v>
      </c>
      <c r="L474" s="1">
        <v>-82.5625</v>
      </c>
      <c r="M474" s="1">
        <v>27.63833</v>
      </c>
      <c r="N474" s="1">
        <v>8726384</v>
      </c>
      <c r="O474" s="1" t="s">
        <v>860</v>
      </c>
      <c r="P474" s="1" t="s">
        <v>866</v>
      </c>
      <c r="Q474" s="2">
        <f>HYPERLINK("https://tidesandcurrents.noaa.gov/stationhome.html?id=8726384", "Station Info")</f>
        <v>0</v>
      </c>
      <c r="R474" s="2">
        <f>HYPERLINK("https://tidesandcurrents.noaa.gov/datums.html?datum=MLLW&amp;units=0&amp;epoch=0&amp;id=8726384", "Datum Info")</f>
        <v>0</v>
      </c>
      <c r="S474" s="2">
        <f>HYPERLINK("https://api.tidesandcurrents.noaa.gov/mdapi/prod/webapi/stations/8726384.json", "More Info")</f>
        <v>0</v>
      </c>
      <c r="T474" s="1">
        <v>7445394</v>
      </c>
      <c r="U474" s="1">
        <v>0</v>
      </c>
      <c r="V474" s="1" t="s">
        <v>869</v>
      </c>
      <c r="W474" s="1" t="s">
        <v>874</v>
      </c>
      <c r="X474" s="1" t="s">
        <v>886</v>
      </c>
      <c r="Y474" s="1">
        <v>2.17</v>
      </c>
      <c r="Z474" s="1">
        <v>1.91</v>
      </c>
      <c r="AA474" s="1">
        <v>1.14</v>
      </c>
      <c r="AB474" s="1">
        <v>1.16</v>
      </c>
      <c r="AC474" s="1">
        <v>1.09</v>
      </c>
      <c r="AD474" s="1">
        <v>0.36</v>
      </c>
      <c r="AE474" s="1">
        <v>0</v>
      </c>
      <c r="AF474" s="1">
        <v>1.59</v>
      </c>
      <c r="AG474" s="1">
        <v>-0.21</v>
      </c>
      <c r="AH474" s="1" t="s">
        <v>1146</v>
      </c>
      <c r="AI474" s="1" t="s">
        <v>1535</v>
      </c>
      <c r="AJ474" s="1">
        <v>1.551</v>
      </c>
      <c r="AK474" s="1">
        <v>-0.64</v>
      </c>
      <c r="AY474" s="2">
        <f>HYPERLINK("https://vdatum.noaa.gov/vdatumweb/api/convert?s_x=-82.5625&amp;s_y=27.63833&amp;s_z=0.0&amp;region=contiguous&amp;s_h_frame=NAD83_2011&amp;s_coor=geo&amp;s_v_frame=NAVD88&amp;s_v_unit=us_ft&amp;t_h_frame=NAD83_2011&amp;t_coor=geo&amp;t_v_frame=MLLW&amp;t_v_unit=us_ft", "NAVD88 to MLLW")</f>
        <v>0</v>
      </c>
      <c r="AZ474" s="2">
        <f>HYPERLINK("https://vdatum.noaa.gov/vdatumweb/api/convert?s_x=-82.5625&amp;s_y=27.63833&amp;s_z=0.0&amp;region=contiguous&amp;s_h_frame=NAD83_2011&amp;s_coor=geo&amp;s_v_frame=NAVD88&amp;s_v_unit=us_ft&amp;t_h_frame=NAD83_2011&amp;t_coor=geo&amp;t_v_frame=MHHW&amp;t_v_unit=us_ft", "NAVD88 to MHHW")</f>
        <v>0</v>
      </c>
    </row>
    <row r="475" spans="1:52">
      <c r="A475" s="1" t="s">
        <v>499</v>
      </c>
      <c r="B475" s="1" t="s">
        <v>636</v>
      </c>
      <c r="C475" s="1" t="s">
        <v>645</v>
      </c>
      <c r="D475" s="1" t="s">
        <v>654</v>
      </c>
      <c r="E475" s="1" t="s">
        <v>799</v>
      </c>
      <c r="F475" s="1" t="s">
        <v>847</v>
      </c>
      <c r="G475" s="1" t="s">
        <v>854</v>
      </c>
      <c r="L475" s="1">
        <v>-82.62690000000001</v>
      </c>
      <c r="M475" s="1">
        <v>27.76061</v>
      </c>
      <c r="N475" s="1">
        <v>8726520</v>
      </c>
      <c r="O475" s="1" t="s">
        <v>860</v>
      </c>
      <c r="P475" s="1" t="s">
        <v>866</v>
      </c>
      <c r="Q475" s="2">
        <f>HYPERLINK("https://tidesandcurrents.noaa.gov/stationhome.html?id=8726520", "Station Info")</f>
        <v>0</v>
      </c>
      <c r="R475" s="2">
        <f>HYPERLINK("https://tidesandcurrents.noaa.gov/datums.html?datum=MLLW&amp;units=0&amp;epoch=0&amp;id=8726520", "Datum Info")</f>
        <v>0</v>
      </c>
      <c r="S475" s="2">
        <f>HYPERLINK("https://api.tidesandcurrents.noaa.gov/mdapi/prod/webapi/stations/8726520.json", "More Info")</f>
        <v>0</v>
      </c>
      <c r="T475" s="1">
        <v>8625769</v>
      </c>
      <c r="U475" s="1">
        <v>0</v>
      </c>
      <c r="V475" s="1" t="s">
        <v>869</v>
      </c>
      <c r="W475" s="1" t="s">
        <v>874</v>
      </c>
      <c r="X475" s="1" t="s">
        <v>886</v>
      </c>
      <c r="Y475" s="1">
        <v>2.26</v>
      </c>
      <c r="Z475" s="1">
        <v>1.98</v>
      </c>
      <c r="AA475" s="1">
        <v>1.18</v>
      </c>
      <c r="AB475" s="1">
        <v>1.2</v>
      </c>
      <c r="AC475" s="1">
        <v>1.13</v>
      </c>
      <c r="AD475" s="1">
        <v>0.39</v>
      </c>
      <c r="AE475" s="1">
        <v>0</v>
      </c>
      <c r="AF475" s="1">
        <v>1.48</v>
      </c>
      <c r="AG475" s="1">
        <v>-3.37</v>
      </c>
      <c r="AH475" s="1" t="s">
        <v>1282</v>
      </c>
      <c r="AI475" s="1" t="s">
        <v>1536</v>
      </c>
      <c r="AJ475" s="1">
        <v>1.524</v>
      </c>
      <c r="AK475" s="1">
        <v>-0.748</v>
      </c>
      <c r="AY475" s="2">
        <f>HYPERLINK("https://vdatum.noaa.gov/vdatumweb/api/convert?s_x=-82.6269&amp;s_y=27.76061&amp;s_z=0.0&amp;region=contiguous&amp;s_h_frame=NAD83_2011&amp;s_coor=geo&amp;s_v_frame=NAVD88&amp;s_v_unit=us_ft&amp;t_h_frame=NAD83_2011&amp;t_coor=geo&amp;t_v_frame=MLLW&amp;t_v_unit=us_ft", "NAVD88 to MLLW")</f>
        <v>0</v>
      </c>
      <c r="AZ475" s="2">
        <f>HYPERLINK("https://vdatum.noaa.gov/vdatumweb/api/convert?s_x=-82.6269&amp;s_y=27.76061&amp;s_z=0.0&amp;region=contiguous&amp;s_h_frame=NAD83_2011&amp;s_coor=geo&amp;s_v_frame=NAVD88&amp;s_v_unit=us_ft&amp;t_h_frame=NAD83_2011&amp;t_coor=geo&amp;t_v_frame=MHHW&amp;t_v_unit=us_ft", "NAVD88 to MHHW")</f>
        <v>0</v>
      </c>
    </row>
    <row r="476" spans="1:52">
      <c r="A476" s="1" t="s">
        <v>500</v>
      </c>
      <c r="B476" s="1" t="s">
        <v>636</v>
      </c>
      <c r="D476" s="1" t="s">
        <v>654</v>
      </c>
      <c r="L476" s="1">
        <v>-82.5528</v>
      </c>
      <c r="M476" s="1">
        <v>27.85778</v>
      </c>
      <c r="N476" s="1">
        <v>8726607</v>
      </c>
      <c r="O476" s="1" t="s">
        <v>860</v>
      </c>
      <c r="P476" s="1" t="s">
        <v>866</v>
      </c>
      <c r="Q476" s="2">
        <f>HYPERLINK("https://tidesandcurrents.noaa.gov/stationhome.html?id=8726607", "Station Info")</f>
        <v>0</v>
      </c>
      <c r="R476" s="2">
        <f>HYPERLINK("https://tidesandcurrents.noaa.gov/datums.html?datum=MLLW&amp;units=0&amp;epoch=0&amp;id=8726607", "Datum Info")</f>
        <v>0</v>
      </c>
      <c r="S476" s="2">
        <f>HYPERLINK("https://api.tidesandcurrents.noaa.gov/mdapi/prod/webapi/stations/8726607.json", "More Info")</f>
        <v>0</v>
      </c>
      <c r="T476" s="1">
        <v>8417101</v>
      </c>
      <c r="U476" s="1">
        <v>0</v>
      </c>
      <c r="V476" s="1" t="s">
        <v>869</v>
      </c>
      <c r="W476" s="1" t="s">
        <v>874</v>
      </c>
      <c r="X476" s="1" t="s">
        <v>886</v>
      </c>
      <c r="Y476" s="1">
        <v>2.48</v>
      </c>
      <c r="Z476" s="1">
        <v>2.16</v>
      </c>
      <c r="AA476" s="1">
        <v>1.3</v>
      </c>
      <c r="AB476" s="1">
        <v>1.3</v>
      </c>
      <c r="AC476" s="1">
        <v>1.24</v>
      </c>
      <c r="AD476" s="1">
        <v>0.44</v>
      </c>
      <c r="AE476" s="1">
        <v>0</v>
      </c>
      <c r="AF476" s="1">
        <v>1.69</v>
      </c>
      <c r="AG476" s="1">
        <v>-28.27</v>
      </c>
      <c r="AH476" s="1" t="s">
        <v>1283</v>
      </c>
      <c r="AI476" s="1" t="s">
        <v>992</v>
      </c>
      <c r="AJ476" s="1">
        <v>1.571</v>
      </c>
      <c r="AK476" s="1">
        <v>-0.911</v>
      </c>
      <c r="AY476" s="2">
        <f>HYPERLINK("https://vdatum.noaa.gov/vdatumweb/api/convert?s_x=-82.5528&amp;s_y=27.85778&amp;s_z=0.0&amp;region=contiguous&amp;s_h_frame=NAD83_2011&amp;s_coor=geo&amp;s_v_frame=NAVD88&amp;s_v_unit=us_ft&amp;t_h_frame=NAD83_2011&amp;t_coor=geo&amp;t_v_frame=MLLW&amp;t_v_unit=us_ft", "NAVD88 to MLLW")</f>
        <v>0</v>
      </c>
      <c r="AZ476" s="2">
        <f>HYPERLINK("https://vdatum.noaa.gov/vdatumweb/api/convert?s_x=-82.5528&amp;s_y=27.85778&amp;s_z=0.0&amp;region=contiguous&amp;s_h_frame=NAD83_2011&amp;s_coor=geo&amp;s_v_frame=NAVD88&amp;s_v_unit=us_ft&amp;t_h_frame=NAD83_2011&amp;t_coor=geo&amp;t_v_frame=MHHW&amp;t_v_unit=us_ft", "NAVD88 to MHHW")</f>
        <v>0</v>
      </c>
    </row>
    <row r="477" spans="1:52">
      <c r="A477" s="1" t="s">
        <v>501</v>
      </c>
      <c r="B477" s="1" t="s">
        <v>636</v>
      </c>
      <c r="D477" s="1" t="s">
        <v>654</v>
      </c>
      <c r="L477" s="1">
        <v>-82.425</v>
      </c>
      <c r="M477" s="1">
        <v>27.91333</v>
      </c>
      <c r="N477" s="1">
        <v>8726667</v>
      </c>
      <c r="O477" s="1" t="s">
        <v>860</v>
      </c>
      <c r="P477" s="1" t="s">
        <v>866</v>
      </c>
      <c r="Q477" s="2">
        <f>HYPERLINK("https://tidesandcurrents.noaa.gov/stationhome.html?id=8726667", "Station Info")</f>
        <v>0</v>
      </c>
      <c r="R477" s="2">
        <f>HYPERLINK("https://tidesandcurrents.noaa.gov/datums.html?datum=MLLW&amp;units=0&amp;epoch=0&amp;id=8726667", "Datum Info")</f>
        <v>0</v>
      </c>
      <c r="S477" s="2">
        <f>HYPERLINK("https://api.tidesandcurrents.noaa.gov/mdapi/prod/webapi/stations/8726667.json", "More Info")</f>
        <v>0</v>
      </c>
      <c r="T477" s="1">
        <v>7938666</v>
      </c>
      <c r="U477" s="1">
        <v>0</v>
      </c>
      <c r="V477" s="1" t="s">
        <v>869</v>
      </c>
      <c r="W477" s="1" t="s">
        <v>874</v>
      </c>
      <c r="X477" s="1" t="s">
        <v>886</v>
      </c>
      <c r="Y477" s="1">
        <v>2.68</v>
      </c>
      <c r="Z477" s="1">
        <v>2.35</v>
      </c>
      <c r="AA477" s="1">
        <v>1.43</v>
      </c>
      <c r="AB477" s="1">
        <v>1.46</v>
      </c>
      <c r="AC477" s="1">
        <v>1.34</v>
      </c>
      <c r="AD477" s="1">
        <v>0.5</v>
      </c>
      <c r="AE477" s="1">
        <v>0</v>
      </c>
      <c r="AF477" s="1">
        <v>1.69</v>
      </c>
      <c r="AG477" s="1">
        <v>-0.27</v>
      </c>
      <c r="AH477" s="1" t="s">
        <v>1284</v>
      </c>
      <c r="AI477" s="1" t="s">
        <v>1537</v>
      </c>
      <c r="AJ477" s="1">
        <v>1.543</v>
      </c>
      <c r="AK477" s="1">
        <v>-1.15</v>
      </c>
      <c r="AY477" s="2">
        <f>HYPERLINK("https://vdatum.noaa.gov/vdatumweb/api/convert?s_x=-82.425&amp;s_y=27.91333&amp;s_z=0.0&amp;region=contiguous&amp;s_h_frame=NAD83_2011&amp;s_coor=geo&amp;s_v_frame=NAVD88&amp;s_v_unit=us_ft&amp;t_h_frame=NAD83_2011&amp;t_coor=geo&amp;t_v_frame=MLLW&amp;t_v_unit=us_ft", "NAVD88 to MLLW")</f>
        <v>0</v>
      </c>
      <c r="AZ477" s="2">
        <f>HYPERLINK("https://vdatum.noaa.gov/vdatumweb/api/convert?s_x=-82.425&amp;s_y=27.91333&amp;s_z=0.0&amp;region=contiguous&amp;s_h_frame=NAD83_2011&amp;s_coor=geo&amp;s_v_frame=NAVD88&amp;s_v_unit=us_ft&amp;t_h_frame=NAD83_2011&amp;t_coor=geo&amp;t_v_frame=MHHW&amp;t_v_unit=us_ft", "NAVD88 to MHHW")</f>
        <v>0</v>
      </c>
    </row>
    <row r="478" spans="1:52">
      <c r="A478" s="1" t="s">
        <v>502</v>
      </c>
      <c r="B478" s="1" t="s">
        <v>636</v>
      </c>
      <c r="D478" s="1" t="s">
        <v>654</v>
      </c>
      <c r="L478" s="1">
        <v>-82.8317</v>
      </c>
      <c r="M478" s="1">
        <v>27.97831</v>
      </c>
      <c r="N478" s="1">
        <v>8726724</v>
      </c>
      <c r="O478" s="1" t="s">
        <v>860</v>
      </c>
      <c r="P478" s="1" t="s">
        <v>866</v>
      </c>
      <c r="Q478" s="2">
        <f>HYPERLINK("https://tidesandcurrents.noaa.gov/stationhome.html?id=8726724", "Station Info")</f>
        <v>0</v>
      </c>
      <c r="R478" s="2">
        <f>HYPERLINK("https://tidesandcurrents.noaa.gov/datums.html?datum=MLLW&amp;units=0&amp;epoch=0&amp;id=8726724", "Datum Info")</f>
        <v>0</v>
      </c>
      <c r="S478" s="2">
        <f>HYPERLINK("https://api.tidesandcurrents.noaa.gov/mdapi/prod/webapi/stations/8726724.json", "More Info")</f>
        <v>0</v>
      </c>
      <c r="T478" s="1">
        <v>1808739</v>
      </c>
      <c r="U478" s="1">
        <v>0</v>
      </c>
      <c r="V478" s="1" t="s">
        <v>869</v>
      </c>
      <c r="W478" s="1" t="s">
        <v>874</v>
      </c>
      <c r="X478" s="1" t="s">
        <v>886</v>
      </c>
      <c r="Y478" s="1">
        <v>2.74</v>
      </c>
      <c r="Z478" s="1">
        <v>2.4</v>
      </c>
      <c r="AA478" s="1">
        <v>1.46</v>
      </c>
      <c r="AB478" s="1">
        <v>1.47</v>
      </c>
      <c r="AC478" s="1">
        <v>1.37</v>
      </c>
      <c r="AD478" s="1">
        <v>0.51</v>
      </c>
      <c r="AE478" s="1">
        <v>0</v>
      </c>
      <c r="AF478" s="1">
        <v>1.79</v>
      </c>
      <c r="AG478" s="1">
        <v>-1.73</v>
      </c>
      <c r="AH478" s="1" t="s">
        <v>1285</v>
      </c>
      <c r="AI478" s="1" t="s">
        <v>1538</v>
      </c>
      <c r="AJ478" s="1">
        <v>1.788</v>
      </c>
      <c r="AK478" s="1">
        <v>-0.948</v>
      </c>
      <c r="AY478" s="2">
        <f>HYPERLINK("https://vdatum.noaa.gov/vdatumweb/api/convert?s_x=-82.8317&amp;s_y=27.97831&amp;s_z=0.0&amp;region=contiguous&amp;s_h_frame=NAD83_2011&amp;s_coor=geo&amp;s_v_frame=NAVD88&amp;s_v_unit=us_ft&amp;t_h_frame=NAD83_2011&amp;t_coor=geo&amp;t_v_frame=MLLW&amp;t_v_unit=us_ft", "NAVD88 to MLLW")</f>
        <v>0</v>
      </c>
      <c r="AZ478" s="2">
        <f>HYPERLINK("https://vdatum.noaa.gov/vdatumweb/api/convert?s_x=-82.8317&amp;s_y=27.97831&amp;s_z=0.0&amp;region=contiguous&amp;s_h_frame=NAD83_2011&amp;s_coor=geo&amp;s_v_frame=NAVD88&amp;s_v_unit=us_ft&amp;t_h_frame=NAD83_2011&amp;t_coor=geo&amp;t_v_frame=MHHW&amp;t_v_unit=us_ft", "NAVD88 to MHHW")</f>
        <v>0</v>
      </c>
    </row>
    <row r="479" spans="1:52">
      <c r="A479" s="1" t="s">
        <v>503</v>
      </c>
      <c r="B479" s="1" t="s">
        <v>636</v>
      </c>
      <c r="D479" s="1" t="s">
        <v>654</v>
      </c>
      <c r="L479" s="1">
        <v>-83.0317</v>
      </c>
      <c r="M479" s="1">
        <v>29.135</v>
      </c>
      <c r="N479" s="1">
        <v>8727520</v>
      </c>
      <c r="O479" s="1" t="s">
        <v>860</v>
      </c>
      <c r="P479" s="1" t="s">
        <v>866</v>
      </c>
      <c r="Q479" s="2">
        <f>HYPERLINK("https://tidesandcurrents.noaa.gov/stationhome.html?id=8727520", "Station Info")</f>
        <v>0</v>
      </c>
      <c r="R479" s="2">
        <f>HYPERLINK("https://tidesandcurrents.noaa.gov/datums.html?datum=MLLW&amp;units=0&amp;epoch=0&amp;id=8727520", "Datum Info")</f>
        <v>0</v>
      </c>
      <c r="S479" s="2">
        <f>HYPERLINK("https://api.tidesandcurrents.noaa.gov/mdapi/prod/webapi/stations/8727520.json", "More Info")</f>
        <v>0</v>
      </c>
      <c r="T479" s="1">
        <v>3909180</v>
      </c>
      <c r="U479" s="1">
        <v>0</v>
      </c>
      <c r="V479" s="1" t="s">
        <v>869</v>
      </c>
      <c r="W479" s="1" t="s">
        <v>874</v>
      </c>
      <c r="X479" s="1" t="s">
        <v>886</v>
      </c>
      <c r="Y479" s="1">
        <v>3.8</v>
      </c>
      <c r="Z479" s="1">
        <v>3.47</v>
      </c>
      <c r="AA479" s="1">
        <v>2.05</v>
      </c>
      <c r="AB479" s="1">
        <v>2.04</v>
      </c>
      <c r="AC479" s="1">
        <v>1.9</v>
      </c>
      <c r="AD479" s="1">
        <v>0.64</v>
      </c>
      <c r="AE479" s="1">
        <v>0</v>
      </c>
      <c r="AF479" s="1">
        <v>2.26</v>
      </c>
      <c r="AG479" s="1">
        <v>-1.8</v>
      </c>
      <c r="AH479" s="1" t="s">
        <v>1286</v>
      </c>
      <c r="AI479" s="1" t="s">
        <v>1539</v>
      </c>
      <c r="AJ479" s="1">
        <v>2.251</v>
      </c>
      <c r="AK479" s="1">
        <v>-1.548</v>
      </c>
      <c r="AY479" s="2">
        <f>HYPERLINK("https://vdatum.noaa.gov/vdatumweb/api/convert?s_x=-83.0317&amp;s_y=29.135&amp;s_z=0.0&amp;region=contiguous&amp;s_h_frame=NAD83_2011&amp;s_coor=geo&amp;s_v_frame=NAVD88&amp;s_v_unit=us_ft&amp;t_h_frame=NAD83_2011&amp;t_coor=geo&amp;t_v_frame=MLLW&amp;t_v_unit=us_ft", "NAVD88 to MLLW")</f>
        <v>0</v>
      </c>
      <c r="AZ479" s="2">
        <f>HYPERLINK("https://vdatum.noaa.gov/vdatumweb/api/convert?s_x=-83.0317&amp;s_y=29.135&amp;s_z=0.0&amp;region=contiguous&amp;s_h_frame=NAD83_2011&amp;s_coor=geo&amp;s_v_frame=NAVD88&amp;s_v_unit=us_ft&amp;t_h_frame=NAD83_2011&amp;t_coor=geo&amp;t_v_frame=MHHW&amp;t_v_unit=us_ft", "NAVD88 to MHHW")</f>
        <v>0</v>
      </c>
    </row>
    <row r="480" spans="1:52">
      <c r="A480" s="1" t="s">
        <v>504</v>
      </c>
      <c r="B480" s="1" t="s">
        <v>636</v>
      </c>
      <c r="D480" s="1" t="s">
        <v>654</v>
      </c>
      <c r="L480" s="1">
        <v>-82.42140000000001</v>
      </c>
      <c r="M480" s="1">
        <v>27.9231</v>
      </c>
      <c r="N480" s="1" t="s">
        <v>859</v>
      </c>
      <c r="O480" s="1" t="s">
        <v>860</v>
      </c>
      <c r="P480" s="1" t="s">
        <v>859</v>
      </c>
      <c r="T480" s="1">
        <v>8002832</v>
      </c>
      <c r="U480" s="1">
        <v>0</v>
      </c>
      <c r="V480" s="1" t="s">
        <v>869</v>
      </c>
      <c r="W480" s="1" t="s">
        <v>874</v>
      </c>
      <c r="AJ480" s="1">
        <v>1.515</v>
      </c>
      <c r="AK480" s="1">
        <v>-1.182</v>
      </c>
      <c r="AY480" s="2">
        <f>HYPERLINK("https://vdatum.noaa.gov/vdatumweb/api/convert?s_x=-82.4214&amp;s_y=27.9231&amp;s_z=0.0&amp;region=contiguous&amp;s_h_frame=NAD83_2011&amp;s_coor=geo&amp;s_v_frame=NAVD88&amp;s_v_unit=us_ft&amp;t_h_frame=NAD83_2011&amp;t_coor=geo&amp;t_v_frame=MLLW&amp;t_v_unit=us_ft", "NAVD88 to MLLW")</f>
        <v>0</v>
      </c>
      <c r="AZ480" s="2">
        <f>HYPERLINK("https://vdatum.noaa.gov/vdatumweb/api/convert?s_x=-82.4214&amp;s_y=27.9231&amp;s_z=0.0&amp;region=contiguous&amp;s_h_frame=NAD83_2011&amp;s_coor=geo&amp;s_v_frame=NAVD88&amp;s_v_unit=us_ft&amp;t_h_frame=NAD83_2011&amp;t_coor=geo&amp;t_v_frame=MHHW&amp;t_v_unit=us_ft", "NAVD88 to MHHW")</f>
        <v>0</v>
      </c>
    </row>
    <row r="481" spans="1:52">
      <c r="A481" s="1" t="s">
        <v>505</v>
      </c>
      <c r="B481" s="1" t="s">
        <v>636</v>
      </c>
      <c r="C481" s="1" t="s">
        <v>645</v>
      </c>
      <c r="D481" s="1" t="s">
        <v>654</v>
      </c>
      <c r="E481" s="1" t="s">
        <v>800</v>
      </c>
      <c r="F481" s="1" t="s">
        <v>847</v>
      </c>
      <c r="G481" s="1" t="s">
        <v>854</v>
      </c>
      <c r="H481" s="1" t="s">
        <v>1852</v>
      </c>
      <c r="I481" s="1" t="s">
        <v>1857</v>
      </c>
      <c r="J481" s="1" t="s">
        <v>2010</v>
      </c>
      <c r="K481" s="1" t="s">
        <v>2158</v>
      </c>
      <c r="L481" s="1">
        <v>-82.45889</v>
      </c>
      <c r="M481" s="1">
        <v>27.991667</v>
      </c>
      <c r="N481" s="1" t="s">
        <v>859</v>
      </c>
      <c r="O481" s="1" t="s">
        <v>861</v>
      </c>
      <c r="P481" s="1" t="s">
        <v>859</v>
      </c>
      <c r="T481" s="1">
        <v>7667341</v>
      </c>
      <c r="U481" s="1">
        <v>0</v>
      </c>
      <c r="V481" s="1" t="s">
        <v>869</v>
      </c>
      <c r="W481" s="1" t="s">
        <v>874</v>
      </c>
      <c r="AJ481" s="1">
        <v>-999999</v>
      </c>
      <c r="AK481" s="1">
        <v>-999999</v>
      </c>
      <c r="AS481" s="1">
        <v>0</v>
      </c>
      <c r="AT481" s="1">
        <v>0</v>
      </c>
      <c r="AU481" s="1">
        <v>0</v>
      </c>
      <c r="AV481" s="1">
        <v>0</v>
      </c>
      <c r="AW481" s="1" t="s">
        <v>1744</v>
      </c>
      <c r="AX481" s="2">
        <f>HYPERLINK("https://water.weather.gov/ahps2/hydrograph.php?wfo=tbw&amp;gage=hplf1", "AHPS Data")</f>
        <v>0</v>
      </c>
      <c r="AY481" s="2">
        <f>HYPERLINK("https://vdatum.noaa.gov/vdatumweb/api/convert?s_x=-82.45889&amp;s_y=27.991667&amp;s_z=0.0&amp;region=contiguous&amp;s_h_frame=NAD83_2011&amp;s_coor=geo&amp;s_v_frame=NAVD88&amp;s_v_unit=us_ft&amp;t_h_frame=NAD83_2011&amp;t_coor=geo&amp;t_v_frame=MLLW&amp;t_v_unit=us_ft", "Missing")</f>
        <v>0</v>
      </c>
      <c r="AZ481" s="2">
        <f>HYPERLINK("https://vdatum.noaa.gov/vdatumweb/api/convert?s_x=-82.45889&amp;s_y=27.991667&amp;s_z=0.0&amp;region=contiguous&amp;s_h_frame=NAD83_2011&amp;s_coor=geo&amp;s_v_frame=NAVD88&amp;s_v_unit=us_ft&amp;t_h_frame=NAD83_2011&amp;t_coor=geo&amp;t_v_frame=MHHW&amp;t_v_unit=us_ft", "Missing")</f>
        <v>0</v>
      </c>
    </row>
    <row r="482" spans="1:52">
      <c r="A482" s="1" t="s">
        <v>506</v>
      </c>
      <c r="B482" s="1" t="s">
        <v>636</v>
      </c>
      <c r="C482" s="1" t="s">
        <v>645</v>
      </c>
      <c r="D482" s="1" t="s">
        <v>654</v>
      </c>
      <c r="E482" s="1" t="s">
        <v>801</v>
      </c>
      <c r="F482" s="1" t="s">
        <v>847</v>
      </c>
      <c r="G482" s="1" t="s">
        <v>854</v>
      </c>
      <c r="H482" s="1" t="s">
        <v>1852</v>
      </c>
      <c r="I482" s="1" t="s">
        <v>1857</v>
      </c>
      <c r="J482" s="1" t="s">
        <v>2011</v>
      </c>
      <c r="K482" s="1" t="s">
        <v>2159</v>
      </c>
      <c r="L482" s="1">
        <v>-82.29306217</v>
      </c>
      <c r="M482" s="1">
        <v>27.04519129</v>
      </c>
      <c r="N482" s="1" t="s">
        <v>2268</v>
      </c>
      <c r="O482" s="1" t="s">
        <v>861</v>
      </c>
      <c r="P482" s="1" t="s">
        <v>867</v>
      </c>
      <c r="Q482" s="2">
        <f>HYPERLINK("https://waterdata.usgs.gov/nwis/nwismap/?site_no=02299230&amp;agency_cd=USGS", "Station Info")</f>
        <v>0</v>
      </c>
      <c r="R482" s="2">
        <f>HYPERLINK("https://waterservices.usgs.gov/nwis/site/?site=02299230&amp;format=rdb", "Datum Info")</f>
        <v>0</v>
      </c>
      <c r="T482" s="1">
        <v>8418201</v>
      </c>
      <c r="U482" s="1">
        <v>-0.03</v>
      </c>
      <c r="V482" s="1" t="s">
        <v>869</v>
      </c>
      <c r="W482" s="1" t="s">
        <v>874</v>
      </c>
      <c r="X482" s="1" t="s">
        <v>887</v>
      </c>
      <c r="AF482" s="1" t="s">
        <v>1047</v>
      </c>
      <c r="AJ482" s="1">
        <v>-999999</v>
      </c>
      <c r="AK482" s="1">
        <v>-999999</v>
      </c>
      <c r="AL482" s="1" t="s">
        <v>887</v>
      </c>
      <c r="AN482" s="1" t="s">
        <v>1678</v>
      </c>
      <c r="AQ482" s="1" t="s">
        <v>1429</v>
      </c>
      <c r="AS482" s="1">
        <v>0</v>
      </c>
      <c r="AT482" s="1">
        <v>0</v>
      </c>
      <c r="AU482" s="1">
        <v>0</v>
      </c>
      <c r="AV482" s="1">
        <v>0</v>
      </c>
      <c r="AW482" s="1" t="s">
        <v>1744</v>
      </c>
      <c r="AX482" s="2">
        <f>HYPERLINK("https://water.weather.gov/ahps2/hydrograph.php?wfo=tbw&amp;gage=mrnf1", "AHPS Data")</f>
        <v>0</v>
      </c>
      <c r="AY482" s="2">
        <f>HYPERLINK("https://vdatum.noaa.gov/vdatumweb/api/convert?s_x=-82.29306217&amp;s_y=27.04519129&amp;s_z=0.0&amp;region=contiguous&amp;s_h_frame=NAD83_2011&amp;s_coor=geo&amp;s_v_frame=NAVD88&amp;s_v_unit=us_ft&amp;t_h_frame=NAD83_2011&amp;t_coor=geo&amp;t_v_frame=MLLW&amp;t_v_unit=us_ft", "Missing")</f>
        <v>0</v>
      </c>
      <c r="AZ482" s="2">
        <f>HYPERLINK("https://vdatum.noaa.gov/vdatumweb/api/convert?s_x=-82.29306217&amp;s_y=27.04519129&amp;s_z=0.0&amp;region=contiguous&amp;s_h_frame=NAD83_2011&amp;s_coor=geo&amp;s_v_frame=NAVD88&amp;s_v_unit=us_ft&amp;t_h_frame=NAD83_2011&amp;t_coor=geo&amp;t_v_frame=MHHW&amp;t_v_unit=us_ft", "Missing")</f>
        <v>0</v>
      </c>
    </row>
    <row r="483" spans="1:52">
      <c r="A483" s="1" t="s">
        <v>507</v>
      </c>
      <c r="B483" s="1" t="s">
        <v>636</v>
      </c>
      <c r="C483" s="1" t="s">
        <v>645</v>
      </c>
      <c r="D483" s="1" t="s">
        <v>654</v>
      </c>
      <c r="E483" s="1" t="s">
        <v>801</v>
      </c>
      <c r="F483" s="1" t="s">
        <v>847</v>
      </c>
      <c r="G483" s="1" t="s">
        <v>854</v>
      </c>
      <c r="H483" s="1" t="s">
        <v>1852</v>
      </c>
      <c r="I483" s="1" t="s">
        <v>1857</v>
      </c>
      <c r="J483" s="1" t="s">
        <v>2012</v>
      </c>
      <c r="K483" s="1" t="s">
        <v>2160</v>
      </c>
      <c r="L483" s="1">
        <v>-82.43009243</v>
      </c>
      <c r="M483" s="1">
        <v>27.14393748</v>
      </c>
      <c r="N483" s="1" t="s">
        <v>2269</v>
      </c>
      <c r="O483" s="1" t="s">
        <v>861</v>
      </c>
      <c r="P483" s="1" t="s">
        <v>867</v>
      </c>
      <c r="Q483" s="2">
        <f>HYPERLINK("https://waterdata.usgs.gov/nwis/nwismap/?site_no=02299727&amp;agency_cd=USGS", "Station Info")</f>
        <v>0</v>
      </c>
      <c r="R483" s="2">
        <f>HYPERLINK("https://waterservices.usgs.gov/nwis/site/?site=02299727&amp;format=rdb", "Datum Info")</f>
        <v>0</v>
      </c>
      <c r="T483" s="1">
        <v>2916499</v>
      </c>
      <c r="U483" s="1">
        <v>-0.339</v>
      </c>
      <c r="V483" s="1" t="s">
        <v>869</v>
      </c>
      <c r="W483" s="1" t="s">
        <v>874</v>
      </c>
      <c r="X483" s="1" t="s">
        <v>889</v>
      </c>
      <c r="AH483" s="1" t="s">
        <v>956</v>
      </c>
      <c r="AJ483" s="1">
        <v>-999999</v>
      </c>
      <c r="AK483" s="1">
        <v>-999999</v>
      </c>
      <c r="AQ483" s="1" t="s">
        <v>1736</v>
      </c>
      <c r="AS483" s="1">
        <v>0</v>
      </c>
      <c r="AT483" s="1">
        <v>0</v>
      </c>
      <c r="AU483" s="1">
        <v>0</v>
      </c>
      <c r="AV483" s="1">
        <v>0</v>
      </c>
      <c r="AW483" s="1" t="s">
        <v>1744</v>
      </c>
      <c r="AX483" s="2">
        <f>HYPERLINK("https://water.weather.gov/ahps2/hydrograph.php?wfo=tbw&amp;gage=sktf1", "AHPS Data")</f>
        <v>0</v>
      </c>
      <c r="AY483" s="2">
        <f>HYPERLINK("https://vdatum.noaa.gov/vdatumweb/api/convert?s_x=-82.43009243&amp;s_y=27.14393748&amp;s_z=0.0&amp;region=contiguous&amp;s_h_frame=NAD83_2011&amp;s_coor=geo&amp;s_v_frame=NAVD88&amp;s_v_unit=us_ft&amp;t_h_frame=NAD83_2011&amp;t_coor=geo&amp;t_v_frame=MLLW&amp;t_v_unit=us_ft", "Missing")</f>
        <v>0</v>
      </c>
      <c r="AZ483" s="2">
        <f>HYPERLINK("https://vdatum.noaa.gov/vdatumweb/api/convert?s_x=-82.43009243&amp;s_y=27.14393748&amp;s_z=0.0&amp;region=contiguous&amp;s_h_frame=NAD83_2011&amp;s_coor=geo&amp;s_v_frame=NAVD88&amp;s_v_unit=us_ft&amp;t_h_frame=NAD83_2011&amp;t_coor=geo&amp;t_v_frame=MHHW&amp;t_v_unit=us_ft", "Missing")</f>
        <v>0</v>
      </c>
    </row>
    <row r="484" spans="1:52">
      <c r="A484" s="1" t="s">
        <v>508</v>
      </c>
      <c r="B484" s="1" t="s">
        <v>636</v>
      </c>
      <c r="D484" s="1" t="s">
        <v>654</v>
      </c>
      <c r="E484" s="1" t="s">
        <v>801</v>
      </c>
      <c r="F484" s="1" t="s">
        <v>847</v>
      </c>
      <c r="G484" s="1" t="s">
        <v>854</v>
      </c>
      <c r="H484" s="1" t="s">
        <v>1852</v>
      </c>
      <c r="I484" s="1" t="s">
        <v>1857</v>
      </c>
      <c r="J484" s="1" t="s">
        <v>2013</v>
      </c>
      <c r="K484" s="1" t="s">
        <v>2161</v>
      </c>
      <c r="L484" s="1">
        <v>-82.46555222000001</v>
      </c>
      <c r="M484" s="1">
        <v>27.11221723</v>
      </c>
      <c r="N484" s="1" t="s">
        <v>2270</v>
      </c>
      <c r="O484" s="1" t="s">
        <v>861</v>
      </c>
      <c r="P484" s="1" t="s">
        <v>867</v>
      </c>
      <c r="Q484" s="2">
        <f>HYPERLINK("https://waterdata.usgs.gov/nwis/nwismap/?site_no=02299735&amp;agency_cd=USGS", "Station Info")</f>
        <v>0</v>
      </c>
      <c r="R484" s="2">
        <f>HYPERLINK("https://waterservices.usgs.gov/nwis/site/?site=02299735&amp;format=rdb", "Datum Info")</f>
        <v>0</v>
      </c>
      <c r="T484" s="1">
        <v>3075990</v>
      </c>
      <c r="U484" s="1">
        <v>0</v>
      </c>
      <c r="V484" s="1" t="s">
        <v>869</v>
      </c>
      <c r="W484" s="1" t="s">
        <v>874</v>
      </c>
      <c r="X484" s="1" t="s">
        <v>887</v>
      </c>
      <c r="AF484" s="1" t="s">
        <v>956</v>
      </c>
      <c r="AJ484" s="1">
        <v>1.413</v>
      </c>
      <c r="AK484" s="1">
        <v>-0.487</v>
      </c>
      <c r="AN484" s="1" t="s">
        <v>1427</v>
      </c>
      <c r="AQ484" s="1" t="s">
        <v>1737</v>
      </c>
      <c r="AS484" s="1">
        <v>0</v>
      </c>
      <c r="AT484" s="1">
        <v>0</v>
      </c>
      <c r="AU484" s="1">
        <v>0</v>
      </c>
      <c r="AV484" s="1">
        <v>0</v>
      </c>
      <c r="AW484" s="1" t="s">
        <v>1744</v>
      </c>
      <c r="AX484" s="2">
        <f>HYPERLINK("https://water.weather.gov/ahps2/hydrograph.php?wfo=tbw&amp;gage=cnmf1", "AHPS Data")</f>
        <v>0</v>
      </c>
      <c r="AY484" s="2">
        <f>HYPERLINK("https://vdatum.noaa.gov/vdatumweb/api/convert?s_x=-82.46555222&amp;s_y=27.11221723&amp;s_z=0.0&amp;region=contiguous&amp;s_h_frame=NAD83_2011&amp;s_coor=geo&amp;s_v_frame=NAVD88&amp;s_v_unit=us_ft&amp;t_h_frame=NAD83_2011&amp;t_coor=geo&amp;t_v_frame=MLLW&amp;t_v_unit=us_ft", "NAVD88 to MLLW")</f>
        <v>0</v>
      </c>
      <c r="AZ484" s="2">
        <f>HYPERLINK("https://vdatum.noaa.gov/vdatumweb/api/convert?s_x=-82.46555222&amp;s_y=27.11221723&amp;s_z=0.0&amp;region=contiguous&amp;s_h_frame=NAD83_2011&amp;s_coor=geo&amp;s_v_frame=NAVD88&amp;s_v_unit=us_ft&amp;t_h_frame=NAD83_2011&amp;t_coor=geo&amp;t_v_frame=MHHW&amp;t_v_unit=us_ft", "NAVD88 to MHHW")</f>
        <v>0</v>
      </c>
    </row>
    <row r="485" spans="1:52">
      <c r="A485" s="1" t="s">
        <v>509</v>
      </c>
      <c r="B485" s="1" t="s">
        <v>636</v>
      </c>
      <c r="C485" s="1" t="s">
        <v>645</v>
      </c>
      <c r="D485" s="1" t="s">
        <v>654</v>
      </c>
      <c r="E485" s="1" t="s">
        <v>800</v>
      </c>
      <c r="F485" s="1" t="s">
        <v>847</v>
      </c>
      <c r="G485" s="1" t="s">
        <v>854</v>
      </c>
      <c r="H485" s="1" t="s">
        <v>1852</v>
      </c>
      <c r="I485" s="1" t="s">
        <v>1857</v>
      </c>
      <c r="J485" s="1" t="s">
        <v>2014</v>
      </c>
      <c r="K485" s="1" t="s">
        <v>2162</v>
      </c>
      <c r="L485" s="1">
        <v>-82.38425642</v>
      </c>
      <c r="M485" s="1">
        <v>27.85974224</v>
      </c>
      <c r="N485" s="1" t="s">
        <v>2271</v>
      </c>
      <c r="O485" s="1" t="s">
        <v>861</v>
      </c>
      <c r="P485" s="1" t="s">
        <v>867</v>
      </c>
      <c r="Q485" s="2">
        <f>HYPERLINK("https://waterdata.usgs.gov/nwis/nwismap/?site_no=02301721&amp;agency_cd=USGS", "Station Info")</f>
        <v>0</v>
      </c>
      <c r="R485" s="2">
        <f>HYPERLINK("https://waterservices.usgs.gov/nwis/site/?site=02301721&amp;format=rdb", "Datum Info")</f>
        <v>0</v>
      </c>
      <c r="T485" s="1">
        <v>6162388</v>
      </c>
      <c r="U485" s="1">
        <v>-0.27</v>
      </c>
      <c r="V485" s="1" t="s">
        <v>869</v>
      </c>
      <c r="W485" s="1" t="s">
        <v>874</v>
      </c>
      <c r="X485" s="1" t="s">
        <v>887</v>
      </c>
      <c r="AF485" s="1" t="s">
        <v>1048</v>
      </c>
      <c r="AJ485" s="1">
        <v>1.444</v>
      </c>
      <c r="AK485" s="1">
        <v>-0.993</v>
      </c>
      <c r="AN485" s="1" t="s">
        <v>1679</v>
      </c>
      <c r="AQ485" s="1" t="s">
        <v>1738</v>
      </c>
      <c r="AS485" s="1">
        <v>0</v>
      </c>
      <c r="AT485" s="1">
        <v>0</v>
      </c>
      <c r="AU485" s="1">
        <v>0</v>
      </c>
      <c r="AV485" s="1">
        <v>0</v>
      </c>
      <c r="AW485" s="1" t="s">
        <v>1744</v>
      </c>
      <c r="AX485" s="2">
        <f>HYPERLINK("https://water.weather.gov/ahps2/hydrograph.php?wfo=tbw&amp;gage=gbsf1", "AHPS Data")</f>
        <v>0</v>
      </c>
      <c r="AY485" s="2">
        <f>HYPERLINK("https://vdatum.noaa.gov/vdatumweb/api/convert?s_x=-82.38425642&amp;s_y=27.85974224&amp;s_z=0.0&amp;region=contiguous&amp;s_h_frame=NAD83_2011&amp;s_coor=geo&amp;s_v_frame=NAVD88&amp;s_v_unit=us_ft&amp;t_h_frame=NAD83_2011&amp;t_coor=geo&amp;t_v_frame=MLLW&amp;t_v_unit=us_ft", "NAVD88 to MLLW")</f>
        <v>0</v>
      </c>
      <c r="AZ485" s="2">
        <f>HYPERLINK("https://vdatum.noaa.gov/vdatumweb/api/convert?s_x=-82.38425642&amp;s_y=27.85974224&amp;s_z=0.0&amp;region=contiguous&amp;s_h_frame=NAD83_2011&amp;s_coor=geo&amp;s_v_frame=NAVD88&amp;s_v_unit=us_ft&amp;t_h_frame=NAD83_2011&amp;t_coor=geo&amp;t_v_frame=MHHW&amp;t_v_unit=us_ft", "NAVD88 to MHHW")</f>
        <v>0</v>
      </c>
    </row>
    <row r="486" spans="1:52">
      <c r="A486" s="1" t="s">
        <v>510</v>
      </c>
      <c r="B486" s="1" t="s">
        <v>636</v>
      </c>
      <c r="C486" s="1" t="s">
        <v>645</v>
      </c>
      <c r="D486" s="1" t="s">
        <v>654</v>
      </c>
      <c r="E486" s="1" t="s">
        <v>802</v>
      </c>
      <c r="F486" s="1" t="s">
        <v>847</v>
      </c>
      <c r="G486" s="1" t="s">
        <v>854</v>
      </c>
      <c r="H486" s="1" t="s">
        <v>1852</v>
      </c>
      <c r="I486" s="1" t="s">
        <v>1857</v>
      </c>
      <c r="J486" s="1" t="s">
        <v>2015</v>
      </c>
      <c r="K486" s="1" t="s">
        <v>2163</v>
      </c>
      <c r="L486" s="1">
        <v>-82.72259711</v>
      </c>
      <c r="M486" s="1">
        <v>28.25028246</v>
      </c>
      <c r="N486" s="1" t="s">
        <v>2272</v>
      </c>
      <c r="O486" s="1" t="s">
        <v>861</v>
      </c>
      <c r="P486" s="1" t="s">
        <v>867</v>
      </c>
      <c r="Q486" s="2">
        <f>HYPERLINK("https://waterdata.usgs.gov/nwis/nwismap/?site_no=02310308&amp;agency_cd=USGS", "Station Info")</f>
        <v>0</v>
      </c>
      <c r="R486" s="2">
        <f>HYPERLINK("https://waterservices.usgs.gov/nwis/site/?site=02310308&amp;format=rdb", "Datum Info")</f>
        <v>0</v>
      </c>
      <c r="T486" s="1">
        <v>3439151</v>
      </c>
      <c r="U486" s="1">
        <v>0</v>
      </c>
      <c r="V486" s="1" t="s">
        <v>869</v>
      </c>
      <c r="W486" s="1" t="s">
        <v>874</v>
      </c>
      <c r="X486" s="1" t="s">
        <v>887</v>
      </c>
      <c r="AF486" s="1" t="s">
        <v>956</v>
      </c>
      <c r="AJ486" s="1">
        <v>-999999</v>
      </c>
      <c r="AK486" s="1">
        <v>-999999</v>
      </c>
      <c r="AQ486" s="1" t="s">
        <v>1739</v>
      </c>
      <c r="AS486" s="1">
        <v>2</v>
      </c>
      <c r="AT486" s="1">
        <v>3</v>
      </c>
      <c r="AU486" s="1">
        <v>4</v>
      </c>
      <c r="AV486" s="1">
        <v>6</v>
      </c>
      <c r="AW486" s="1" t="s">
        <v>1744</v>
      </c>
      <c r="AX486" s="2">
        <f>HYPERLINK("https://water.weather.gov/ahps2/hydrograph.php?wfo=tbw&amp;gage=pnpf1", "AHPS Data")</f>
        <v>0</v>
      </c>
      <c r="AY486" s="2">
        <f>HYPERLINK("https://vdatum.noaa.gov/vdatumweb/api/convert?s_x=-82.72259711&amp;s_y=28.25028246&amp;s_z=0.0&amp;region=contiguous&amp;s_h_frame=NAD83_2011&amp;s_coor=geo&amp;s_v_frame=NAVD88&amp;s_v_unit=us_ft&amp;t_h_frame=NAD83_2011&amp;t_coor=geo&amp;t_v_frame=MLLW&amp;t_v_unit=us_ft", "Missing")</f>
        <v>0</v>
      </c>
      <c r="AZ486" s="2">
        <f>HYPERLINK("https://vdatum.noaa.gov/vdatumweb/api/convert?s_x=-82.72259711&amp;s_y=28.25028246&amp;s_z=0.0&amp;region=contiguous&amp;s_h_frame=NAD83_2011&amp;s_coor=geo&amp;s_v_frame=NAVD88&amp;s_v_unit=us_ft&amp;t_h_frame=NAD83_2011&amp;t_coor=geo&amp;t_v_frame=MHHW&amp;t_v_unit=us_ft", "Missing")</f>
        <v>0</v>
      </c>
    </row>
    <row r="487" spans="1:52">
      <c r="A487" s="1" t="s">
        <v>511</v>
      </c>
      <c r="B487" s="1" t="s">
        <v>636</v>
      </c>
      <c r="C487" s="1" t="s">
        <v>645</v>
      </c>
      <c r="D487" s="1" t="s">
        <v>654</v>
      </c>
      <c r="E487" s="1" t="s">
        <v>803</v>
      </c>
      <c r="F487" s="1" t="s">
        <v>847</v>
      </c>
      <c r="G487" s="1" t="s">
        <v>854</v>
      </c>
      <c r="H487" s="1" t="s">
        <v>1852</v>
      </c>
      <c r="I487" s="1" t="s">
        <v>1857</v>
      </c>
      <c r="J487" s="1" t="s">
        <v>2016</v>
      </c>
      <c r="K487" s="1" t="s">
        <v>2164</v>
      </c>
      <c r="L487" s="1">
        <v>-82.5767656</v>
      </c>
      <c r="M487" s="1">
        <v>28.71526419</v>
      </c>
      <c r="N487" s="1" t="s">
        <v>2273</v>
      </c>
      <c r="O487" s="1" t="s">
        <v>861</v>
      </c>
      <c r="P487" s="1" t="s">
        <v>867</v>
      </c>
      <c r="Q487" s="2">
        <f>HYPERLINK("https://waterdata.usgs.gov/nwis/nwismap/?site_no=02310650&amp;agency_cd=USGS", "Station Info")</f>
        <v>0</v>
      </c>
      <c r="R487" s="2">
        <f>HYPERLINK("https://waterservices.usgs.gov/nwis/site/?site=02310650&amp;format=rdb", "Datum Info")</f>
        <v>0</v>
      </c>
      <c r="T487" s="1">
        <v>5153444</v>
      </c>
      <c r="U487" s="1">
        <v>-0.343</v>
      </c>
      <c r="V487" s="1" t="s">
        <v>869</v>
      </c>
      <c r="W487" s="1" t="s">
        <v>874</v>
      </c>
      <c r="X487" s="1" t="s">
        <v>889</v>
      </c>
      <c r="AH487" s="1" t="s">
        <v>955</v>
      </c>
      <c r="AJ487" s="1">
        <v>-999999</v>
      </c>
      <c r="AK487" s="1">
        <v>-999999</v>
      </c>
      <c r="AQ487" s="1" t="s">
        <v>1716</v>
      </c>
      <c r="AS487" s="1">
        <v>2</v>
      </c>
      <c r="AT487" s="1">
        <v>3</v>
      </c>
      <c r="AU487" s="1">
        <v>6</v>
      </c>
      <c r="AV487" s="1">
        <v>8</v>
      </c>
      <c r="AW487" s="1" t="s">
        <v>1744</v>
      </c>
      <c r="AX487" s="2">
        <f>HYPERLINK("https://water.weather.gov/ahps2/hydrograph.php?wfo=tbw&amp;gage=chwf1", "AHPS Data")</f>
        <v>0</v>
      </c>
      <c r="AY487" s="2">
        <f>HYPERLINK("https://vdatum.noaa.gov/vdatumweb/api/convert?s_x=-82.5767656&amp;s_y=28.71526419&amp;s_z=0.0&amp;region=contiguous&amp;s_h_frame=NAD83_2011&amp;s_coor=geo&amp;s_v_frame=NAVD88&amp;s_v_unit=us_ft&amp;t_h_frame=NAD83_2011&amp;t_coor=geo&amp;t_v_frame=MLLW&amp;t_v_unit=us_ft", "Missing")</f>
        <v>0</v>
      </c>
      <c r="AZ487" s="2">
        <f>HYPERLINK("https://vdatum.noaa.gov/vdatumweb/api/convert?s_x=-82.5767656&amp;s_y=28.71526419&amp;s_z=0.0&amp;region=contiguous&amp;s_h_frame=NAD83_2011&amp;s_coor=geo&amp;s_v_frame=NAVD88&amp;s_v_unit=us_ft&amp;t_h_frame=NAD83_2011&amp;t_coor=geo&amp;t_v_frame=MHHW&amp;t_v_unit=us_ft", "Missing")</f>
        <v>0</v>
      </c>
    </row>
    <row r="488" spans="1:52">
      <c r="A488" s="1" t="s">
        <v>512</v>
      </c>
      <c r="B488" s="1" t="s">
        <v>636</v>
      </c>
      <c r="C488" s="1" t="s">
        <v>645</v>
      </c>
      <c r="D488" s="1" t="s">
        <v>654</v>
      </c>
      <c r="E488" s="1" t="s">
        <v>803</v>
      </c>
      <c r="F488" s="1" t="s">
        <v>847</v>
      </c>
      <c r="G488" s="1" t="s">
        <v>854</v>
      </c>
      <c r="H488" s="1" t="s">
        <v>1852</v>
      </c>
      <c r="I488" s="1" t="s">
        <v>1857</v>
      </c>
      <c r="J488" s="1" t="s">
        <v>2017</v>
      </c>
      <c r="K488" s="1" t="s">
        <v>2165</v>
      </c>
      <c r="L488" s="1">
        <v>-82.60620723</v>
      </c>
      <c r="M488" s="1">
        <v>28.71525869</v>
      </c>
      <c r="N488" s="1" t="s">
        <v>2274</v>
      </c>
      <c r="O488" s="1" t="s">
        <v>861</v>
      </c>
      <c r="P488" s="1" t="s">
        <v>867</v>
      </c>
      <c r="Q488" s="2">
        <f>HYPERLINK("https://waterdata.usgs.gov/nwis/nwismap/?site_no=02310663&amp;agency_cd=USGS", "Station Info")</f>
        <v>0</v>
      </c>
      <c r="R488" s="2">
        <f>HYPERLINK("https://waterservices.usgs.gov/nwis/site/?site=02310663&amp;format=rdb", "Datum Info")</f>
        <v>0</v>
      </c>
      <c r="T488" s="1">
        <v>4900574</v>
      </c>
      <c r="U488" s="1">
        <v>-0.22</v>
      </c>
      <c r="V488" s="1" t="s">
        <v>869</v>
      </c>
      <c r="W488" s="1" t="s">
        <v>874</v>
      </c>
      <c r="X488" s="1" t="s">
        <v>887</v>
      </c>
      <c r="AF488" s="1" t="s">
        <v>1049</v>
      </c>
      <c r="AJ488" s="1">
        <v>0.534</v>
      </c>
      <c r="AK488" s="1">
        <v>-1.397</v>
      </c>
      <c r="AN488" s="1" t="s">
        <v>1680</v>
      </c>
      <c r="AQ488" s="1" t="s">
        <v>1716</v>
      </c>
      <c r="AS488" s="1">
        <v>2</v>
      </c>
      <c r="AT488" s="1">
        <v>3</v>
      </c>
      <c r="AU488" s="1">
        <v>6</v>
      </c>
      <c r="AV488" s="1">
        <v>8</v>
      </c>
      <c r="AW488" s="1" t="s">
        <v>1744</v>
      </c>
      <c r="AX488" s="2">
        <f>HYPERLINK("https://water.weather.gov/ahps2/hydrograph.php?wfo=tbw&amp;gage=czkf1", "AHPS Data")</f>
        <v>0</v>
      </c>
      <c r="AY488" s="2">
        <f>HYPERLINK("https://vdatum.noaa.gov/vdatumweb/api/convert?s_x=-82.60620723&amp;s_y=28.71525869&amp;s_z=0.0&amp;region=contiguous&amp;s_h_frame=NAD83_2011&amp;s_coor=geo&amp;s_v_frame=NAVD88&amp;s_v_unit=us_ft&amp;t_h_frame=NAD83_2011&amp;t_coor=geo&amp;t_v_frame=MLLW&amp;t_v_unit=us_ft", "NAVD88 to MLLW")</f>
        <v>0</v>
      </c>
      <c r="AZ488" s="2">
        <f>HYPERLINK("https://vdatum.noaa.gov/vdatumweb/api/convert?s_x=-82.60620723&amp;s_y=28.71525869&amp;s_z=0.0&amp;region=contiguous&amp;s_h_frame=NAD83_2011&amp;s_coor=geo&amp;s_v_frame=NAVD88&amp;s_v_unit=us_ft&amp;t_h_frame=NAD83_2011&amp;t_coor=geo&amp;t_v_frame=MHHW&amp;t_v_unit=us_ft", "NAVD88 to MHHW")</f>
        <v>0</v>
      </c>
    </row>
    <row r="489" spans="1:52">
      <c r="A489" s="1" t="s">
        <v>513</v>
      </c>
      <c r="B489" s="1" t="s">
        <v>636</v>
      </c>
      <c r="D489" s="1" t="s">
        <v>654</v>
      </c>
      <c r="H489" s="1" t="s">
        <v>1852</v>
      </c>
      <c r="I489" s="1" t="s">
        <v>1857</v>
      </c>
      <c r="J489" s="1" t="s">
        <v>2018</v>
      </c>
      <c r="K489" s="1" t="s">
        <v>2165</v>
      </c>
      <c r="L489" s="1">
        <v>-82.63898562</v>
      </c>
      <c r="M489" s="1">
        <v>28.694704</v>
      </c>
      <c r="N489" s="1" t="s">
        <v>2275</v>
      </c>
      <c r="O489" s="1" t="s">
        <v>861</v>
      </c>
      <c r="P489" s="1" t="s">
        <v>867</v>
      </c>
      <c r="Q489" s="2">
        <f>HYPERLINK("https://waterdata.usgs.gov/nwis/nwismap/?site_no=02310674&amp;agency_cd=USGS", "Station Info")</f>
        <v>0</v>
      </c>
      <c r="R489" s="2">
        <f>HYPERLINK("https://waterservices.usgs.gov/nwis/site/?site=02310674&amp;format=rdb", "Datum Info")</f>
        <v>0</v>
      </c>
      <c r="T489" s="1">
        <v>4210442</v>
      </c>
      <c r="U489" s="1">
        <v>0</v>
      </c>
      <c r="V489" s="1" t="s">
        <v>869</v>
      </c>
      <c r="W489" s="1" t="s">
        <v>874</v>
      </c>
      <c r="X489" s="1" t="s">
        <v>887</v>
      </c>
      <c r="AF489" s="1" t="s">
        <v>956</v>
      </c>
      <c r="AJ489" s="1">
        <v>0.877</v>
      </c>
      <c r="AK489" s="1">
        <v>-1.324</v>
      </c>
      <c r="AQ489" s="1" t="s">
        <v>1720</v>
      </c>
      <c r="AS489" s="1">
        <v>0</v>
      </c>
      <c r="AT489" s="1">
        <v>0</v>
      </c>
      <c r="AU489" s="1">
        <v>0</v>
      </c>
      <c r="AV489" s="1">
        <v>0</v>
      </c>
      <c r="AW489" s="1" t="s">
        <v>1744</v>
      </c>
      <c r="AX489" s="2">
        <f>HYPERLINK("https://water.weather.gov/ahps2/hydrograph.php?wfo=tbw&amp;gage=chmf1", "AHPS Data")</f>
        <v>0</v>
      </c>
      <c r="AY489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LLW&amp;t_v_unit=us_ft", "NAVD88 to MLLW")</f>
        <v>0</v>
      </c>
      <c r="AZ489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HHW&amp;t_v_unit=us_ft", "NAVD88 to MHHW")</f>
        <v>0</v>
      </c>
    </row>
    <row r="490" spans="1:52">
      <c r="A490" s="1" t="s">
        <v>514</v>
      </c>
      <c r="B490" s="1" t="s">
        <v>636</v>
      </c>
      <c r="D490" s="1" t="s">
        <v>654</v>
      </c>
      <c r="H490" s="1" t="s">
        <v>1852</v>
      </c>
      <c r="I490" s="1" t="s">
        <v>1857</v>
      </c>
      <c r="J490" s="1" t="s">
        <v>2019</v>
      </c>
      <c r="K490" s="1" t="s">
        <v>2165</v>
      </c>
      <c r="L490" s="1">
        <v>-82.63898562</v>
      </c>
      <c r="M490" s="1">
        <v>28.694704</v>
      </c>
      <c r="N490" s="1" t="s">
        <v>2275</v>
      </c>
      <c r="O490" s="1" t="s">
        <v>861</v>
      </c>
      <c r="P490" s="1" t="s">
        <v>867</v>
      </c>
      <c r="Q490" s="2">
        <f>HYPERLINK("https://waterdata.usgs.gov/nwis/nwismap/?site_no=02310674&amp;agency_cd=USGS", "Station Info")</f>
        <v>0</v>
      </c>
      <c r="R490" s="2">
        <f>HYPERLINK("https://waterservices.usgs.gov/nwis/site/?site=02310674&amp;format=rdb", "Datum Info")</f>
        <v>0</v>
      </c>
      <c r="T490" s="1">
        <v>4210442</v>
      </c>
      <c r="U490" s="1">
        <v>0</v>
      </c>
      <c r="V490" s="1" t="s">
        <v>869</v>
      </c>
      <c r="W490" s="1" t="s">
        <v>874</v>
      </c>
      <c r="X490" s="1" t="s">
        <v>887</v>
      </c>
      <c r="AF490" s="1" t="s">
        <v>956</v>
      </c>
      <c r="AJ490" s="1">
        <v>0.877</v>
      </c>
      <c r="AK490" s="1">
        <v>-1.324</v>
      </c>
      <c r="AQ490" s="1" t="s">
        <v>1740</v>
      </c>
      <c r="AS490" s="1">
        <v>0</v>
      </c>
      <c r="AT490" s="1">
        <v>0</v>
      </c>
      <c r="AU490" s="1">
        <v>0</v>
      </c>
      <c r="AV490" s="1">
        <v>0</v>
      </c>
      <c r="AW490" s="1" t="s">
        <v>1744</v>
      </c>
      <c r="AX490" s="2">
        <f>HYPERLINK("https://water.weather.gov/ahps2/hydrograph.php?wfo=tbw&amp;gage=dgif1", "AHPS Data")</f>
        <v>0</v>
      </c>
      <c r="AY490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LLW&amp;t_v_unit=us_ft", "NAVD88 to MLLW")</f>
        <v>0</v>
      </c>
      <c r="AZ490" s="2">
        <f>HYPERLINK("https://vdatum.noaa.gov/vdatumweb/api/convert?s_x=-82.63898562&amp;s_y=28.694704&amp;s_z=0.0&amp;region=contiguous&amp;s_h_frame=NAD83_2011&amp;s_coor=geo&amp;s_v_frame=NAVD88&amp;s_v_unit=us_ft&amp;t_h_frame=NAD83_2011&amp;t_coor=geo&amp;t_v_frame=MHHW&amp;t_v_unit=us_ft", "NAVD88 to MHHW")</f>
        <v>0</v>
      </c>
    </row>
    <row r="491" spans="1:52">
      <c r="A491" s="1" t="s">
        <v>515</v>
      </c>
      <c r="B491" s="1" t="s">
        <v>636</v>
      </c>
      <c r="C491" s="1" t="s">
        <v>645</v>
      </c>
      <c r="D491" s="1" t="s">
        <v>654</v>
      </c>
      <c r="E491" s="1" t="s">
        <v>803</v>
      </c>
      <c r="F491" s="1" t="s">
        <v>847</v>
      </c>
      <c r="G491" s="1" t="s">
        <v>854</v>
      </c>
      <c r="H491" s="1" t="s">
        <v>1852</v>
      </c>
      <c r="I491" s="1" t="s">
        <v>1857</v>
      </c>
      <c r="J491" s="1" t="s">
        <v>2020</v>
      </c>
      <c r="K491" s="1" t="s">
        <v>2166</v>
      </c>
      <c r="L491" s="1">
        <v>-82.59565313</v>
      </c>
      <c r="M491" s="1">
        <v>28.89052961</v>
      </c>
      <c r="N491" s="1" t="s">
        <v>2276</v>
      </c>
      <c r="O491" s="1" t="s">
        <v>861</v>
      </c>
      <c r="P491" s="1" t="s">
        <v>867</v>
      </c>
      <c r="Q491" s="2">
        <f>HYPERLINK("https://waterdata.usgs.gov/nwis/nwismap/?site_no=02310740&amp;agency_cd=USGS", "Station Info")</f>
        <v>0</v>
      </c>
      <c r="R491" s="2">
        <f>HYPERLINK("https://waterservices.usgs.gov/nwis/site/?site=02310740&amp;format=rdb", "Datum Info")</f>
        <v>0</v>
      </c>
      <c r="T491" s="1">
        <v>3754576</v>
      </c>
      <c r="U491" s="1">
        <v>0</v>
      </c>
      <c r="V491" s="1" t="s">
        <v>869</v>
      </c>
      <c r="W491" s="1" t="s">
        <v>874</v>
      </c>
      <c r="X491" s="1" t="s">
        <v>887</v>
      </c>
      <c r="AF491" s="1" t="s">
        <v>955</v>
      </c>
      <c r="AJ491" s="1">
        <v>1.184</v>
      </c>
      <c r="AK491" s="1">
        <v>-1.155</v>
      </c>
      <c r="AQ491" s="1" t="s">
        <v>1630</v>
      </c>
      <c r="AS491" s="1">
        <v>2</v>
      </c>
      <c r="AT491" s="1">
        <v>3</v>
      </c>
      <c r="AU491" s="1">
        <v>4</v>
      </c>
      <c r="AV491" s="1">
        <v>5</v>
      </c>
      <c r="AW491" s="1" t="s">
        <v>1744</v>
      </c>
      <c r="AX491" s="2">
        <f>HYPERLINK("https://water.weather.gov/ahps2/hydrograph.php?wfo=tbw&amp;gage=sgcf1", "AHPS Data")</f>
        <v>0</v>
      </c>
      <c r="AY491" s="2">
        <f>HYPERLINK("https://vdatum.noaa.gov/vdatumweb/api/convert?s_x=-82.59565313&amp;s_y=28.89052961&amp;s_z=0.0&amp;region=contiguous&amp;s_h_frame=NAD83_2011&amp;s_coor=geo&amp;s_v_frame=NAVD88&amp;s_v_unit=us_ft&amp;t_h_frame=NAD83_2011&amp;t_coor=geo&amp;t_v_frame=MLLW&amp;t_v_unit=us_ft", "NAVD88 to MLLW")</f>
        <v>0</v>
      </c>
      <c r="AZ491" s="2">
        <f>HYPERLINK("https://vdatum.noaa.gov/vdatumweb/api/convert?s_x=-82.59565313&amp;s_y=28.89052961&amp;s_z=0.0&amp;region=contiguous&amp;s_h_frame=NAD83_2011&amp;s_coor=geo&amp;s_v_frame=NAVD88&amp;s_v_unit=us_ft&amp;t_h_frame=NAD83_2011&amp;t_coor=geo&amp;t_v_frame=MHHW&amp;t_v_unit=us_ft", "NAVD88 to MHHW")</f>
        <v>0</v>
      </c>
    </row>
    <row r="492" spans="1:52">
      <c r="A492" s="1" t="s">
        <v>516</v>
      </c>
      <c r="B492" s="1" t="s">
        <v>636</v>
      </c>
      <c r="C492" s="1" t="s">
        <v>645</v>
      </c>
      <c r="D492" s="1" t="s">
        <v>654</v>
      </c>
      <c r="E492" s="1" t="s">
        <v>803</v>
      </c>
      <c r="F492" s="1" t="s">
        <v>847</v>
      </c>
      <c r="G492" s="1" t="s">
        <v>854</v>
      </c>
      <c r="H492" s="1" t="s">
        <v>1852</v>
      </c>
      <c r="I492" s="1" t="s">
        <v>1857</v>
      </c>
      <c r="J492" s="1" t="s">
        <v>2021</v>
      </c>
      <c r="K492" s="1" t="s">
        <v>2166</v>
      </c>
      <c r="L492" s="1">
        <v>-82.60555212</v>
      </c>
      <c r="M492" s="1">
        <v>28.89335571</v>
      </c>
      <c r="N492" s="1" t="s">
        <v>2277</v>
      </c>
      <c r="O492" s="1" t="s">
        <v>861</v>
      </c>
      <c r="P492" s="1" t="s">
        <v>867</v>
      </c>
      <c r="Q492" s="2">
        <f>HYPERLINK("https://waterdata.usgs.gov/nwis/nwismap/?site_no=02310742&amp;agency_cd=USGS", "Station Info")</f>
        <v>0</v>
      </c>
      <c r="R492" s="2">
        <f>HYPERLINK("https://waterservices.usgs.gov/nwis/site/?site=02310742&amp;format=rdb", "Datum Info")</f>
        <v>0</v>
      </c>
      <c r="T492" s="1">
        <v>4900359</v>
      </c>
      <c r="U492" s="1">
        <v>0</v>
      </c>
      <c r="V492" s="1" t="s">
        <v>869</v>
      </c>
      <c r="W492" s="1" t="s">
        <v>874</v>
      </c>
      <c r="X492" s="1" t="s">
        <v>887</v>
      </c>
      <c r="AF492" s="1" t="s">
        <v>956</v>
      </c>
      <c r="AJ492" s="1">
        <v>1.191</v>
      </c>
      <c r="AK492" s="1">
        <v>-1.151</v>
      </c>
      <c r="AQ492" s="1" t="s">
        <v>1741</v>
      </c>
      <c r="AS492" s="1">
        <v>2</v>
      </c>
      <c r="AT492" s="1">
        <v>3</v>
      </c>
      <c r="AU492" s="1">
        <v>4</v>
      </c>
      <c r="AV492" s="1">
        <v>5</v>
      </c>
      <c r="AW492" s="1" t="s">
        <v>1744</v>
      </c>
      <c r="AX492" s="2">
        <f>HYPERLINK("https://water.weather.gov/ahps2/hydrograph.php?wfo=tbw&amp;gage=ckbf1", "AHPS Data")</f>
        <v>0</v>
      </c>
      <c r="AY492" s="2">
        <f>HYPERLINK("https://vdatum.noaa.gov/vdatumweb/api/convert?s_x=-82.60555212&amp;s_y=28.89335571&amp;s_z=0.0&amp;region=contiguous&amp;s_h_frame=NAD83_2011&amp;s_coor=geo&amp;s_v_frame=NAVD88&amp;s_v_unit=us_ft&amp;t_h_frame=NAD83_2011&amp;t_coor=geo&amp;t_v_frame=MLLW&amp;t_v_unit=us_ft", "NAVD88 to MLLW")</f>
        <v>0</v>
      </c>
      <c r="AZ492" s="2">
        <f>HYPERLINK("https://vdatum.noaa.gov/vdatumweb/api/convert?s_x=-82.60555212&amp;s_y=28.89335571&amp;s_z=0.0&amp;region=contiguous&amp;s_h_frame=NAD83_2011&amp;s_coor=geo&amp;s_v_frame=NAVD88&amp;s_v_unit=us_ft&amp;t_h_frame=NAD83_2011&amp;t_coor=geo&amp;t_v_frame=MHHW&amp;t_v_unit=us_ft", "NAVD88 to MHHW")</f>
        <v>0</v>
      </c>
    </row>
    <row r="493" spans="1:52">
      <c r="A493" s="1" t="s">
        <v>517</v>
      </c>
      <c r="B493" s="1" t="s">
        <v>636</v>
      </c>
      <c r="D493" s="1" t="s">
        <v>654</v>
      </c>
      <c r="E493" s="1" t="s">
        <v>803</v>
      </c>
      <c r="F493" s="1" t="s">
        <v>847</v>
      </c>
      <c r="G493" s="1" t="s">
        <v>854</v>
      </c>
      <c r="L493" s="1">
        <v>-82.64580211000001</v>
      </c>
      <c r="M493" s="1">
        <v>28.90155016</v>
      </c>
      <c r="N493" s="1" t="s">
        <v>2278</v>
      </c>
      <c r="O493" s="1" t="s">
        <v>861</v>
      </c>
      <c r="P493" s="1" t="s">
        <v>867</v>
      </c>
      <c r="Q493" s="2">
        <f>HYPERLINK("https://waterdata.usgs.gov/nwis/nwismap/?site_no=02310747&amp;agency_cd=USGS", "Station Info")</f>
        <v>0</v>
      </c>
      <c r="R493" s="2">
        <f>HYPERLINK("https://waterservices.usgs.gov/nwis/site/?site=02310747&amp;format=rdb", "Datum Info")</f>
        <v>0</v>
      </c>
      <c r="T493" s="1">
        <v>4497949</v>
      </c>
      <c r="U493" s="1">
        <v>-3.71</v>
      </c>
      <c r="V493" s="1" t="s">
        <v>869</v>
      </c>
      <c r="W493" s="1" t="s">
        <v>874</v>
      </c>
      <c r="X493" s="1" t="s">
        <v>887</v>
      </c>
      <c r="AF493" s="1" t="s">
        <v>1050</v>
      </c>
      <c r="AJ493" s="1">
        <v>1.197</v>
      </c>
      <c r="AK493" s="1">
        <v>-1.107</v>
      </c>
      <c r="AY493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LLW&amp;t_v_unit=us_ft", "NAVD88 to MLLW")</f>
        <v>0</v>
      </c>
      <c r="AZ493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HHW&amp;t_v_unit=us_ft", "NAVD88 to MHHW")</f>
        <v>0</v>
      </c>
    </row>
    <row r="494" spans="1:52">
      <c r="A494" s="1" t="s">
        <v>518</v>
      </c>
      <c r="B494" s="1" t="s">
        <v>636</v>
      </c>
      <c r="D494" s="1" t="s">
        <v>654</v>
      </c>
      <c r="E494" s="1" t="s">
        <v>803</v>
      </c>
      <c r="F494" s="1" t="s">
        <v>847</v>
      </c>
      <c r="G494" s="1" t="s">
        <v>854</v>
      </c>
      <c r="H494" s="1" t="s">
        <v>1852</v>
      </c>
      <c r="I494" s="1" t="s">
        <v>1857</v>
      </c>
      <c r="J494" s="1" t="s">
        <v>2022</v>
      </c>
      <c r="K494" s="1" t="s">
        <v>2166</v>
      </c>
      <c r="L494" s="1">
        <v>-82.64580211000001</v>
      </c>
      <c r="M494" s="1">
        <v>28.90155016</v>
      </c>
      <c r="N494" s="1" t="s">
        <v>2279</v>
      </c>
      <c r="O494" s="1" t="s">
        <v>861</v>
      </c>
      <c r="P494" s="1" t="s">
        <v>867</v>
      </c>
      <c r="Q494" s="2">
        <f>HYPERLINK("https://waterdata.usgs.gov/nwis/nwismap/?site_no=02310752&amp;agency_cd=USGS", "Station Info")</f>
        <v>0</v>
      </c>
      <c r="R494" s="2">
        <f>HYPERLINK("https://waterservices.usgs.gov/nwis/site/?site=02310752&amp;format=rdb", "Datum Info")</f>
        <v>0</v>
      </c>
      <c r="T494" s="1">
        <v>6535202</v>
      </c>
      <c r="U494" s="1">
        <v>0</v>
      </c>
      <c r="V494" s="1" t="s">
        <v>869</v>
      </c>
      <c r="W494" s="1" t="s">
        <v>874</v>
      </c>
      <c r="X494" s="1" t="s">
        <v>887</v>
      </c>
      <c r="AF494" s="1" t="s">
        <v>956</v>
      </c>
      <c r="AJ494" s="1">
        <v>1.197</v>
      </c>
      <c r="AK494" s="1">
        <v>-1.107</v>
      </c>
      <c r="AQ494" s="1" t="s">
        <v>1616</v>
      </c>
      <c r="AS494" s="1">
        <v>2</v>
      </c>
      <c r="AT494" s="1">
        <v>3</v>
      </c>
      <c r="AU494" s="1">
        <v>4</v>
      </c>
      <c r="AV494" s="1">
        <v>5</v>
      </c>
      <c r="AW494" s="1" t="s">
        <v>1744</v>
      </c>
      <c r="AX494" s="2">
        <f>HYPERLINK("https://water.weather.gov/ahps2/hydrograph.php?wfo=tbw&amp;gage=cytf1", "AHPS Data")</f>
        <v>0</v>
      </c>
      <c r="AY494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LLW&amp;t_v_unit=us_ft", "NAVD88 to MLLW")</f>
        <v>0</v>
      </c>
      <c r="AZ494" s="2">
        <f>HYPERLINK("https://vdatum.noaa.gov/vdatumweb/api/convert?s_x=-82.64580211&amp;s_y=28.90155016&amp;s_z=0.0&amp;region=contiguous&amp;s_h_frame=NAD83_2011&amp;s_coor=geo&amp;s_v_frame=NAVD88&amp;s_v_unit=us_ft&amp;t_h_frame=NAD83_2011&amp;t_coor=geo&amp;t_v_frame=MHHW&amp;t_v_unit=us_ft", "NAVD88 to MHHW")</f>
        <v>0</v>
      </c>
    </row>
    <row r="495" spans="1:52">
      <c r="A495" s="1" t="s">
        <v>519</v>
      </c>
      <c r="B495" s="1" t="s">
        <v>636</v>
      </c>
      <c r="C495" s="1" t="s">
        <v>645</v>
      </c>
      <c r="D495" s="1" t="s">
        <v>654</v>
      </c>
      <c r="E495" s="1" t="s">
        <v>804</v>
      </c>
      <c r="F495" s="1" t="s">
        <v>847</v>
      </c>
      <c r="G495" s="1" t="s">
        <v>854</v>
      </c>
      <c r="H495" s="1" t="s">
        <v>1852</v>
      </c>
      <c r="I495" s="1" t="s">
        <v>1857</v>
      </c>
      <c r="J495" s="1" t="s">
        <v>2023</v>
      </c>
      <c r="K495" s="1" t="s">
        <v>2167</v>
      </c>
      <c r="L495" s="1">
        <v>-82.76578407</v>
      </c>
      <c r="M495" s="1">
        <v>29.00110393</v>
      </c>
      <c r="N495" s="1" t="s">
        <v>2280</v>
      </c>
      <c r="O495" s="1" t="s">
        <v>861</v>
      </c>
      <c r="P495" s="1" t="s">
        <v>867</v>
      </c>
      <c r="Q495" s="2">
        <f>HYPERLINK("https://waterdata.usgs.gov/nwis/nwismap/?site_no=02313272&amp;agency_cd=USGS", "Station Info")</f>
        <v>0</v>
      </c>
      <c r="R495" s="2">
        <f>HYPERLINK("https://waterservices.usgs.gov/nwis/site/?site=02313272&amp;format=rdb", "Datum Info")</f>
        <v>0</v>
      </c>
      <c r="T495" s="1">
        <v>3255941</v>
      </c>
      <c r="U495" s="1">
        <v>0</v>
      </c>
      <c r="V495" s="1" t="s">
        <v>869</v>
      </c>
      <c r="W495" s="1" t="s">
        <v>874</v>
      </c>
      <c r="X495" s="1" t="s">
        <v>887</v>
      </c>
      <c r="AF495" s="1" t="s">
        <v>1051</v>
      </c>
      <c r="AJ495" s="1">
        <v>2.477</v>
      </c>
      <c r="AK495" s="1">
        <v>-1.477</v>
      </c>
      <c r="AN495" s="1" t="s">
        <v>1427</v>
      </c>
      <c r="AQ495" s="1" t="s">
        <v>1427</v>
      </c>
      <c r="AS495" s="1">
        <v>1.5</v>
      </c>
      <c r="AT495" s="1">
        <v>2.5</v>
      </c>
      <c r="AU495" s="1">
        <v>4.1</v>
      </c>
      <c r="AV495" s="1">
        <v>5.1</v>
      </c>
      <c r="AW495" s="1" t="s">
        <v>1744</v>
      </c>
      <c r="AX495" s="2">
        <f>HYPERLINK("https://water.weather.gov/ahps2/hydrograph.php?wfo=tbw&amp;gage=wcif1", "AHPS Data")</f>
        <v>0</v>
      </c>
      <c r="AY495" s="2">
        <f>HYPERLINK("https://vdatum.noaa.gov/vdatumweb/api/convert?s_x=-82.76578407&amp;s_y=29.00110393&amp;s_z=0.0&amp;region=contiguous&amp;s_h_frame=NAD83_2011&amp;s_coor=geo&amp;s_v_frame=NAVD88&amp;s_v_unit=us_ft&amp;t_h_frame=NAD83_2011&amp;t_coor=geo&amp;t_v_frame=MLLW&amp;t_v_unit=us_ft", "NAVD88 to MLLW")</f>
        <v>0</v>
      </c>
      <c r="AZ495" s="2">
        <f>HYPERLINK("https://vdatum.noaa.gov/vdatumweb/api/convert?s_x=-82.76578407&amp;s_y=29.00110393&amp;s_z=0.0&amp;region=contiguous&amp;s_h_frame=NAD83_2011&amp;s_coor=geo&amp;s_v_frame=NAVD88&amp;s_v_unit=us_ft&amp;t_h_frame=NAD83_2011&amp;t_coor=geo&amp;t_v_frame=MHHW&amp;t_v_unit=us_ft", "NAVD88 to MHHW")</f>
        <v>0</v>
      </c>
    </row>
    <row r="496" spans="1:52">
      <c r="A496" s="1" t="s">
        <v>520</v>
      </c>
      <c r="B496" s="1" t="s">
        <v>636</v>
      </c>
      <c r="C496" s="1" t="s">
        <v>645</v>
      </c>
      <c r="D496" s="1" t="s">
        <v>654</v>
      </c>
      <c r="E496" s="1" t="s">
        <v>804</v>
      </c>
      <c r="F496" s="1" t="s">
        <v>847</v>
      </c>
      <c r="G496" s="1" t="s">
        <v>854</v>
      </c>
      <c r="H496" s="1" t="s">
        <v>1854</v>
      </c>
      <c r="I496" s="1" t="s">
        <v>1857</v>
      </c>
      <c r="J496" s="1" t="s">
        <v>2024</v>
      </c>
      <c r="K496" s="1" t="s">
        <v>2168</v>
      </c>
      <c r="L496" s="1">
        <v>-82.76899747</v>
      </c>
      <c r="M496" s="1">
        <v>29.20412832</v>
      </c>
      <c r="N496" s="1" t="s">
        <v>2281</v>
      </c>
      <c r="O496" s="1" t="s">
        <v>861</v>
      </c>
      <c r="P496" s="1" t="s">
        <v>867</v>
      </c>
      <c r="Q496" s="2">
        <f>HYPERLINK("https://waterdata.usgs.gov/nwis/nwismap/?site_no=02313700&amp;agency_cd=USGS", "Station Info")</f>
        <v>0</v>
      </c>
      <c r="R496" s="2">
        <f>HYPERLINK("https://waterservices.usgs.gov/nwis/site/?site=02313700&amp;format=rdb", "Datum Info")</f>
        <v>0</v>
      </c>
      <c r="T496" s="1">
        <v>4496082</v>
      </c>
      <c r="U496" s="1">
        <v>-3.44</v>
      </c>
      <c r="V496" s="1" t="s">
        <v>869</v>
      </c>
      <c r="W496" s="1" t="s">
        <v>874</v>
      </c>
      <c r="AJ496" s="1">
        <v>-999999</v>
      </c>
      <c r="AK496" s="1">
        <v>-999999</v>
      </c>
      <c r="AO496" s="1" t="s">
        <v>1694</v>
      </c>
      <c r="AQ496" s="1" t="s">
        <v>1742</v>
      </c>
      <c r="AR496" s="1" t="s">
        <v>1694</v>
      </c>
      <c r="AS496" s="1">
        <v>0</v>
      </c>
      <c r="AT496" s="1">
        <v>0</v>
      </c>
      <c r="AU496" s="1">
        <v>0</v>
      </c>
      <c r="AV496" s="1">
        <v>0</v>
      </c>
      <c r="AW496" s="1" t="s">
        <v>1744</v>
      </c>
      <c r="AX496" s="2">
        <f>HYPERLINK("https://water.weather.gov/ahps2/hydrograph.php?wfo=tbw&amp;gage=gulf1", "AHPS Data")</f>
        <v>0</v>
      </c>
      <c r="AY496" s="2">
        <f>HYPERLINK("https://vdatum.noaa.gov/vdatumweb/api/convert?s_x=-82.76899747&amp;s_y=29.20412832&amp;s_z=0.0&amp;region=contiguous&amp;s_h_frame=NAD83_2011&amp;s_coor=geo&amp;s_v_frame=NAVD88&amp;s_v_unit=us_ft&amp;t_h_frame=NAD83_2011&amp;t_coor=geo&amp;t_v_frame=MLLW&amp;t_v_unit=us_ft", "Missing")</f>
        <v>0</v>
      </c>
      <c r="AZ496" s="2">
        <f>HYPERLINK("https://vdatum.noaa.gov/vdatumweb/api/convert?s_x=-82.76899747&amp;s_y=29.20412832&amp;s_z=0.0&amp;region=contiguous&amp;s_h_frame=NAD83_2011&amp;s_coor=geo&amp;s_v_frame=NAVD88&amp;s_v_unit=us_ft&amp;t_h_frame=NAD83_2011&amp;t_coor=geo&amp;t_v_frame=MHHW&amp;t_v_unit=us_ft", "Missing")</f>
        <v>0</v>
      </c>
    </row>
    <row r="497" spans="1:52">
      <c r="A497" s="1" t="s">
        <v>521</v>
      </c>
      <c r="B497" s="1" t="s">
        <v>636</v>
      </c>
      <c r="D497" s="1" t="s">
        <v>654</v>
      </c>
      <c r="H497" s="1" t="s">
        <v>1852</v>
      </c>
      <c r="I497" s="1" t="s">
        <v>1857</v>
      </c>
      <c r="J497" s="1" t="s">
        <v>2025</v>
      </c>
      <c r="K497" s="1" t="s">
        <v>2166</v>
      </c>
      <c r="L497" s="1">
        <v>-82.69063539</v>
      </c>
      <c r="M497" s="1">
        <v>28.92527238</v>
      </c>
      <c r="N497" s="1" t="s">
        <v>2282</v>
      </c>
      <c r="O497" s="1" t="s">
        <v>861</v>
      </c>
      <c r="P497" s="1" t="s">
        <v>867</v>
      </c>
      <c r="Q497" s="2">
        <f>HYPERLINK("https://waterdata.usgs.gov/nwis/nwismap/?site_no=285531082412600&amp;agency_cd=USGS", "Station Info")</f>
        <v>0</v>
      </c>
      <c r="R497" s="2">
        <f>HYPERLINK("https://waterservices.usgs.gov/nwis/site/?site=285531082412600&amp;format=rdb", "Datum Info")</f>
        <v>0</v>
      </c>
      <c r="T497" s="1">
        <v>4632956</v>
      </c>
      <c r="U497" s="1">
        <v>0</v>
      </c>
      <c r="V497" s="1" t="s">
        <v>869</v>
      </c>
      <c r="W497" s="1" t="s">
        <v>874</v>
      </c>
      <c r="X497" s="1" t="s">
        <v>887</v>
      </c>
      <c r="AF497" s="1" t="s">
        <v>956</v>
      </c>
      <c r="AJ497" s="1">
        <v>1.678</v>
      </c>
      <c r="AK497" s="1">
        <v>-1.35</v>
      </c>
      <c r="AQ497" s="1" t="s">
        <v>1743</v>
      </c>
      <c r="AS497" s="1">
        <v>0</v>
      </c>
      <c r="AT497" s="1">
        <v>0</v>
      </c>
      <c r="AU497" s="1">
        <v>0</v>
      </c>
      <c r="AV497" s="1">
        <v>0</v>
      </c>
      <c r="AW497" s="1" t="s">
        <v>1744</v>
      </c>
      <c r="AX497" s="2">
        <f>HYPERLINK("https://water.weather.gov/ahps2/hydrograph.php?wfo=tbw&amp;gage=sisf1", "AHPS Data")</f>
        <v>0</v>
      </c>
      <c r="AY497" s="2">
        <f>HYPERLINK("https://vdatum.noaa.gov/vdatumweb/api/convert?s_x=-82.69063539&amp;s_y=28.92527238&amp;s_z=0.0&amp;region=contiguous&amp;s_h_frame=NAD83_2011&amp;s_coor=geo&amp;s_v_frame=NAVD88&amp;s_v_unit=us_ft&amp;t_h_frame=NAD83_2011&amp;t_coor=geo&amp;t_v_frame=MLLW&amp;t_v_unit=us_ft", "NAVD88 to MLLW")</f>
        <v>0</v>
      </c>
      <c r="AZ497" s="2">
        <f>HYPERLINK("https://vdatum.noaa.gov/vdatumweb/api/convert?s_x=-82.69063539&amp;s_y=28.92527238&amp;s_z=0.0&amp;region=contiguous&amp;s_h_frame=NAD83_2011&amp;s_coor=geo&amp;s_v_frame=NAVD88&amp;s_v_unit=us_ft&amp;t_h_frame=NAD83_2011&amp;t_coor=geo&amp;t_v_frame=MHHW&amp;t_v_unit=us_ft", "NAVD88 to MHHW")</f>
        <v>0</v>
      </c>
    </row>
    <row r="498" spans="1:52">
      <c r="A498" s="1" t="s">
        <v>522</v>
      </c>
      <c r="B498" s="1" t="s">
        <v>637</v>
      </c>
      <c r="C498" s="1" t="s">
        <v>650</v>
      </c>
      <c r="D498" s="1" t="s">
        <v>655</v>
      </c>
      <c r="E498" s="1" t="s">
        <v>805</v>
      </c>
      <c r="F498" s="1" t="s">
        <v>851</v>
      </c>
      <c r="G498" s="1" t="s">
        <v>858</v>
      </c>
      <c r="L498" s="1">
        <v>-123.805</v>
      </c>
      <c r="M498" s="1">
        <v>39.4258</v>
      </c>
      <c r="N498" s="1">
        <v>9417426</v>
      </c>
      <c r="O498" s="1" t="s">
        <v>861</v>
      </c>
      <c r="P498" s="1" t="s">
        <v>866</v>
      </c>
      <c r="Q498" s="2">
        <f>HYPERLINK("https://tidesandcurrents.noaa.gov/stationhome.html?id=9417426", "Station Info")</f>
        <v>0</v>
      </c>
      <c r="R498" s="2">
        <f>HYPERLINK("https://tidesandcurrents.noaa.gov/datums.html?datum=MLLW&amp;units=0&amp;epoch=0&amp;id=9417426", "Datum Info")</f>
        <v>0</v>
      </c>
      <c r="S498" s="2">
        <f>HYPERLINK("https://api.tidesandcurrents.noaa.gov/mdapi/prod/webapi/stations/9417426.json", "More Info")</f>
        <v>0</v>
      </c>
      <c r="T498" s="1">
        <v>372292</v>
      </c>
      <c r="U498" s="1">
        <v>0</v>
      </c>
      <c r="V498" s="1" t="s">
        <v>872</v>
      </c>
      <c r="W498" s="1" t="s">
        <v>877</v>
      </c>
      <c r="X498" s="1" t="s">
        <v>886</v>
      </c>
      <c r="Y498" s="1">
        <v>6.1</v>
      </c>
      <c r="Z498" s="1">
        <v>5.43</v>
      </c>
      <c r="AA498" s="1">
        <v>3.32</v>
      </c>
      <c r="AB498" s="1">
        <v>3.28</v>
      </c>
      <c r="AC498" s="1">
        <v>3.05</v>
      </c>
      <c r="AD498" s="1">
        <v>1.21</v>
      </c>
      <c r="AE498" s="1">
        <v>0</v>
      </c>
      <c r="AG498" s="1">
        <v>0.17</v>
      </c>
      <c r="AJ498" s="1">
        <v>-999999</v>
      </c>
      <c r="AK498" s="1">
        <v>-999999</v>
      </c>
      <c r="AY498" s="2">
        <f>HYPERLINK("https://vdatum.noaa.gov/vdatumweb/api/convert?s_x=-123.805&amp;s_y=39.4258&amp;s_z=0.0&amp;region=westcoast&amp;s_h_frame=NAD83_2011&amp;s_coor=geo&amp;s_v_frame=NAVD88&amp;s_v_unit=us_ft&amp;t_h_frame=IGS14&amp;t_coor=geo&amp;t_v_frame=MLLW&amp;t_v_unit=us_ft", "Missing")</f>
        <v>0</v>
      </c>
      <c r="AZ498" s="2">
        <f>HYPERLINK("https://vdatum.noaa.gov/vdatumweb/api/convert?s_x=-123.805&amp;s_y=39.4258&amp;s_z=0.0&amp;region=westcoast&amp;s_h_frame=NAD83_2011&amp;s_coor=geo&amp;s_v_frame=NAVD88&amp;s_v_unit=us_ft&amp;t_h_frame=IGS14&amp;t_coor=geo&amp;t_v_frame=MHHW&amp;t_v_unit=us_ft", "Missing")</f>
        <v>0</v>
      </c>
    </row>
    <row r="499" spans="1:52">
      <c r="A499" s="1" t="s">
        <v>523</v>
      </c>
      <c r="B499" s="1" t="s">
        <v>637</v>
      </c>
      <c r="D499" s="1" t="s">
        <v>655</v>
      </c>
      <c r="E499" s="1" t="s">
        <v>806</v>
      </c>
      <c r="F499" s="1" t="s">
        <v>851</v>
      </c>
      <c r="G499" s="1" t="s">
        <v>858</v>
      </c>
      <c r="L499" s="1">
        <v>-124.058</v>
      </c>
      <c r="M499" s="1">
        <v>40.025</v>
      </c>
      <c r="N499" s="1">
        <v>9418024</v>
      </c>
      <c r="O499" s="1" t="s">
        <v>861</v>
      </c>
      <c r="P499" s="1" t="s">
        <v>866</v>
      </c>
      <c r="Q499" s="2">
        <f>HYPERLINK("https://tidesandcurrents.noaa.gov/stationhome.html?id=9418024", "Station Info")</f>
        <v>0</v>
      </c>
      <c r="R499" s="2">
        <f>HYPERLINK("https://tidesandcurrents.noaa.gov/datums.html?datum=MLLW&amp;units=0&amp;epoch=0&amp;id=9418024", "Datum Info")</f>
        <v>0</v>
      </c>
      <c r="S499" s="2">
        <f>HYPERLINK("https://api.tidesandcurrents.noaa.gov/mdapi/prod/webapi/stations/9418024.json", "More Info")</f>
        <v>0</v>
      </c>
      <c r="T499" s="1">
        <v>370410</v>
      </c>
      <c r="U499" s="1">
        <v>0</v>
      </c>
      <c r="V499" s="1" t="s">
        <v>872</v>
      </c>
      <c r="W499" s="1" t="s">
        <v>877</v>
      </c>
      <c r="X499" s="1" t="s">
        <v>886</v>
      </c>
      <c r="Y499" s="1">
        <v>6.14</v>
      </c>
      <c r="Z499" s="1">
        <v>5.48</v>
      </c>
      <c r="AA499" s="1">
        <v>3.35</v>
      </c>
      <c r="AB499" s="1">
        <v>3.3</v>
      </c>
      <c r="AC499" s="1">
        <v>3.07</v>
      </c>
      <c r="AD499" s="1">
        <v>1.21</v>
      </c>
      <c r="AE499" s="1">
        <v>0</v>
      </c>
      <c r="AF499" s="1" t="s">
        <v>1052</v>
      </c>
      <c r="AG499" s="1">
        <v>-23.12</v>
      </c>
      <c r="AH499" s="1" t="s">
        <v>1287</v>
      </c>
      <c r="AI499" s="1" t="s">
        <v>1540</v>
      </c>
      <c r="AJ499" s="1">
        <v>-0.187</v>
      </c>
      <c r="AK499" s="1">
        <v>-6.302</v>
      </c>
      <c r="AY499" s="2">
        <f>HYPERLINK("https://vdatum.noaa.gov/vdatumweb/api/convert?s_x=-124.058&amp;s_y=40.025&amp;s_z=0.0&amp;region=westcoast&amp;s_h_frame=NAD83_2011&amp;s_coor=geo&amp;s_v_frame=NAVD88&amp;s_v_unit=us_ft&amp;t_h_frame=IGS14&amp;t_coor=geo&amp;t_v_frame=MLLW&amp;t_v_unit=us_ft", "NAVD88 to MLLW")</f>
        <v>0</v>
      </c>
      <c r="AZ499" s="2">
        <f>HYPERLINK("https://vdatum.noaa.gov/vdatumweb/api/convert?s_x=-124.058&amp;s_y=40.025&amp;s_z=0.0&amp;region=westcoast&amp;s_h_frame=NAD83_2011&amp;s_coor=geo&amp;s_v_frame=NAVD88&amp;s_v_unit=us_ft&amp;t_h_frame=IGS14&amp;t_coor=geo&amp;t_v_frame=MHHW&amp;t_v_unit=us_ft", "NAVD88 to MHHW")</f>
        <v>0</v>
      </c>
    </row>
    <row r="500" spans="1:52">
      <c r="A500" s="1" t="s">
        <v>524</v>
      </c>
      <c r="B500" s="1" t="s">
        <v>637</v>
      </c>
      <c r="C500" s="1" t="s">
        <v>650</v>
      </c>
      <c r="D500" s="1" t="s">
        <v>655</v>
      </c>
      <c r="E500" s="1" t="s">
        <v>806</v>
      </c>
      <c r="F500" s="1" t="s">
        <v>851</v>
      </c>
      <c r="G500" s="1" t="s">
        <v>858</v>
      </c>
      <c r="L500" s="1">
        <v>-124.19333</v>
      </c>
      <c r="M500" s="1">
        <v>40.75666</v>
      </c>
      <c r="N500" s="1">
        <v>9418757</v>
      </c>
      <c r="O500" s="1" t="s">
        <v>860</v>
      </c>
      <c r="P500" s="1" t="s">
        <v>866</v>
      </c>
      <c r="Q500" s="2">
        <f>HYPERLINK("https://tidesandcurrents.noaa.gov/stationhome.html?id=9418757", "Station Info")</f>
        <v>0</v>
      </c>
      <c r="R500" s="2">
        <f>HYPERLINK("https://tidesandcurrents.noaa.gov/datums.html?datum=MLLW&amp;units=0&amp;epoch=0&amp;id=9418757", "Datum Info")</f>
        <v>0</v>
      </c>
      <c r="S500" s="2">
        <f>HYPERLINK("https://api.tidesandcurrents.noaa.gov/mdapi/prod/webapi/stations/9418757.json", "More Info")</f>
        <v>0</v>
      </c>
      <c r="T500" s="1">
        <v>1861237</v>
      </c>
      <c r="U500" s="1">
        <v>0</v>
      </c>
      <c r="V500" s="1" t="s">
        <v>872</v>
      </c>
      <c r="W500" s="1" t="s">
        <v>877</v>
      </c>
      <c r="AJ500" s="1">
        <v>0.5639999999999999</v>
      </c>
      <c r="AK500" s="1">
        <v>-6.368</v>
      </c>
      <c r="AY500" s="2">
        <f>HYPERLINK("https://vdatum.noaa.gov/vdatumweb/api/convert?s_x=-124.19333&amp;s_y=40.75666&amp;s_z=0.0&amp;region=westcoast&amp;s_h_frame=NAD83_2011&amp;s_coor=geo&amp;s_v_frame=NAVD88&amp;s_v_unit=us_ft&amp;t_h_frame=IGS14&amp;t_coor=geo&amp;t_v_frame=MLLW&amp;t_v_unit=us_ft", "NAVD88 to MLLW")</f>
        <v>0</v>
      </c>
      <c r="AZ500" s="2">
        <f>HYPERLINK("https://vdatum.noaa.gov/vdatumweb/api/convert?s_x=-124.19333&amp;s_y=40.75666&amp;s_z=0.0&amp;region=westcoast&amp;s_h_frame=NAD83_2011&amp;s_coor=geo&amp;s_v_frame=NAVD88&amp;s_v_unit=us_ft&amp;t_h_frame=IGS14&amp;t_coor=geo&amp;t_v_frame=MHHW&amp;t_v_unit=us_ft", "NAVD88 to MHHW")</f>
        <v>0</v>
      </c>
    </row>
    <row r="501" spans="1:52">
      <c r="A501" s="1" t="s">
        <v>525</v>
      </c>
      <c r="B501" s="1" t="s">
        <v>637</v>
      </c>
      <c r="D501" s="1" t="s">
        <v>655</v>
      </c>
      <c r="L501" s="1">
        <v>-124.217</v>
      </c>
      <c r="M501" s="1">
        <v>40.7663</v>
      </c>
      <c r="N501" s="1">
        <v>9418767</v>
      </c>
      <c r="O501" s="1" t="s">
        <v>860</v>
      </c>
      <c r="P501" s="1" t="s">
        <v>866</v>
      </c>
      <c r="Q501" s="2">
        <f>HYPERLINK("https://tidesandcurrents.noaa.gov/stationhome.html?id=9418767", "Station Info")</f>
        <v>0</v>
      </c>
      <c r="R501" s="2">
        <f>HYPERLINK("https://tidesandcurrents.noaa.gov/datums.html?datum=MLLW&amp;units=0&amp;epoch=0&amp;id=9418767", "Datum Info")</f>
        <v>0</v>
      </c>
      <c r="S501" s="2">
        <f>HYPERLINK("https://api.tidesandcurrents.noaa.gov/mdapi/prod/webapi/stations/9418767.json", "More Info")</f>
        <v>0</v>
      </c>
      <c r="T501" s="1">
        <v>2385743</v>
      </c>
      <c r="U501" s="1">
        <v>0</v>
      </c>
      <c r="V501" s="1" t="s">
        <v>872</v>
      </c>
      <c r="W501" s="1" t="s">
        <v>877</v>
      </c>
      <c r="X501" s="1" t="s">
        <v>886</v>
      </c>
      <c r="Y501" s="1">
        <v>6.85</v>
      </c>
      <c r="Z501" s="1">
        <v>6.14</v>
      </c>
      <c r="AA501" s="1">
        <v>3.7</v>
      </c>
      <c r="AB501" s="1">
        <v>3.7</v>
      </c>
      <c r="AC501" s="1">
        <v>3.43</v>
      </c>
      <c r="AD501" s="1">
        <v>1.25</v>
      </c>
      <c r="AE501" s="1">
        <v>0</v>
      </c>
      <c r="AF501" s="1">
        <v>0.34</v>
      </c>
      <c r="AG501" s="1">
        <v>-14.55</v>
      </c>
      <c r="AH501" s="1" t="s">
        <v>1288</v>
      </c>
      <c r="AI501" s="1" t="s">
        <v>1541</v>
      </c>
      <c r="AJ501" s="1">
        <v>0.456</v>
      </c>
      <c r="AK501" s="1">
        <v>-6.401</v>
      </c>
      <c r="AY501" s="2">
        <f>HYPERLINK("https://vdatum.noaa.gov/vdatumweb/api/convert?s_x=-124.217&amp;s_y=40.7663&amp;s_z=0.0&amp;region=westcoast&amp;s_h_frame=NAD83_2011&amp;s_coor=geo&amp;s_v_frame=NAVD88&amp;s_v_unit=us_ft&amp;t_h_frame=IGS14&amp;t_coor=geo&amp;t_v_frame=MLLW&amp;t_v_unit=us_ft", "NAVD88 to MLLW")</f>
        <v>0</v>
      </c>
      <c r="AZ501" s="2">
        <f>HYPERLINK("https://vdatum.noaa.gov/vdatumweb/api/convert?s_x=-124.217&amp;s_y=40.7663&amp;s_z=0.0&amp;region=westcoast&amp;s_h_frame=NAD83_2011&amp;s_coor=geo&amp;s_v_frame=NAVD88&amp;s_v_unit=us_ft&amp;t_h_frame=IGS14&amp;t_coor=geo&amp;t_v_frame=MHHW&amp;t_v_unit=us_ft", "NAVD88 to MHHW")</f>
        <v>0</v>
      </c>
    </row>
    <row r="502" spans="1:52">
      <c r="A502" s="1" t="s">
        <v>526</v>
      </c>
      <c r="B502" s="1" t="s">
        <v>637</v>
      </c>
      <c r="D502" s="1" t="s">
        <v>655</v>
      </c>
      <c r="L502" s="1">
        <v>-124.11666</v>
      </c>
      <c r="M502" s="1">
        <v>40.85</v>
      </c>
      <c r="N502" s="1">
        <v>9418851</v>
      </c>
      <c r="O502" s="1" t="s">
        <v>861</v>
      </c>
      <c r="P502" s="1" t="s">
        <v>866</v>
      </c>
      <c r="Q502" s="2">
        <f>HYPERLINK("https://tidesandcurrents.noaa.gov/stationhome.html?id=9418851", "Station Info")</f>
        <v>0</v>
      </c>
      <c r="R502" s="2">
        <f>HYPERLINK("https://tidesandcurrents.noaa.gov/datums.html?datum=MLLW&amp;units=0&amp;epoch=0&amp;id=9418851", "Datum Info")</f>
        <v>0</v>
      </c>
      <c r="S502" s="2">
        <f>HYPERLINK("https://api.tidesandcurrents.noaa.gov/mdapi/prod/webapi/stations/9418851.json", "More Info")</f>
        <v>0</v>
      </c>
      <c r="T502" s="1">
        <v>2302774</v>
      </c>
      <c r="U502" s="1">
        <v>0</v>
      </c>
      <c r="V502" s="1" t="s">
        <v>872</v>
      </c>
      <c r="W502" s="1" t="s">
        <v>877</v>
      </c>
      <c r="AJ502" s="1">
        <v>1.06</v>
      </c>
      <c r="AK502" s="1">
        <v>-6.463</v>
      </c>
      <c r="AY502" s="2">
        <f>HYPERLINK("https://vdatum.noaa.gov/vdatumweb/api/convert?s_x=-124.11666&amp;s_y=40.85&amp;s_z=0.0&amp;region=westcoast&amp;s_h_frame=NAD83_2011&amp;s_coor=geo&amp;s_v_frame=NAVD88&amp;s_v_unit=us_ft&amp;t_h_frame=IGS14&amp;t_coor=geo&amp;t_v_frame=MLLW&amp;t_v_unit=us_ft", "NAVD88 to MLLW")</f>
        <v>0</v>
      </c>
      <c r="AZ502" s="2">
        <f>HYPERLINK("https://vdatum.noaa.gov/vdatumweb/api/convert?s_x=-124.11666&amp;s_y=40.85&amp;s_z=0.0&amp;region=westcoast&amp;s_h_frame=NAD83_2011&amp;s_coor=geo&amp;s_v_frame=NAVD88&amp;s_v_unit=us_ft&amp;t_h_frame=IGS14&amp;t_coor=geo&amp;t_v_frame=MHHW&amp;t_v_unit=us_ft", "NAVD88 to MHHW")</f>
        <v>0</v>
      </c>
    </row>
    <row r="503" spans="1:52">
      <c r="A503" s="1" t="s">
        <v>527</v>
      </c>
      <c r="B503" s="1" t="s">
        <v>637</v>
      </c>
      <c r="C503" s="1" t="s">
        <v>650</v>
      </c>
      <c r="D503" s="1" t="s">
        <v>655</v>
      </c>
      <c r="E503" s="1" t="s">
        <v>806</v>
      </c>
      <c r="F503" s="1" t="s">
        <v>851</v>
      </c>
      <c r="G503" s="1" t="s">
        <v>858</v>
      </c>
      <c r="L503" s="1">
        <v>-124.147</v>
      </c>
      <c r="M503" s="1">
        <v>41.0567</v>
      </c>
      <c r="N503" s="1">
        <v>9419059</v>
      </c>
      <c r="O503" s="1" t="s">
        <v>861</v>
      </c>
      <c r="P503" s="1" t="s">
        <v>866</v>
      </c>
      <c r="Q503" s="2">
        <f>HYPERLINK("https://tidesandcurrents.noaa.gov/stationhome.html?id=9419059", "Station Info")</f>
        <v>0</v>
      </c>
      <c r="R503" s="2">
        <f>HYPERLINK("https://tidesandcurrents.noaa.gov/datums.html?datum=MLLW&amp;units=0&amp;epoch=0&amp;id=9419059", "Datum Info")</f>
        <v>0</v>
      </c>
      <c r="S503" s="2">
        <f>HYPERLINK("https://api.tidesandcurrents.noaa.gov/mdapi/prod/webapi/stations/9419059.json", "More Info")</f>
        <v>0</v>
      </c>
      <c r="T503" s="1">
        <v>735562</v>
      </c>
      <c r="U503" s="1">
        <v>0</v>
      </c>
      <c r="V503" s="1" t="s">
        <v>872</v>
      </c>
      <c r="W503" s="1" t="s">
        <v>877</v>
      </c>
      <c r="X503" s="1" t="s">
        <v>886</v>
      </c>
      <c r="Y503" s="1">
        <v>6.73</v>
      </c>
      <c r="Z503" s="1">
        <v>6.05</v>
      </c>
      <c r="AA503" s="1">
        <v>3.63</v>
      </c>
      <c r="AB503" s="1">
        <v>3.61</v>
      </c>
      <c r="AC503" s="1">
        <v>3.36</v>
      </c>
      <c r="AD503" s="1">
        <v>1.21</v>
      </c>
      <c r="AE503" s="1">
        <v>0</v>
      </c>
      <c r="AF503" s="1">
        <v>0.25</v>
      </c>
      <c r="AG503" s="1">
        <v>-4.98</v>
      </c>
      <c r="AH503" s="1" t="s">
        <v>1289</v>
      </c>
      <c r="AI503" s="1" t="s">
        <v>1542</v>
      </c>
      <c r="AJ503" s="1">
        <v>0.243</v>
      </c>
      <c r="AK503" s="1">
        <v>-6.388</v>
      </c>
      <c r="AY503" s="2">
        <f>HYPERLINK("https://vdatum.noaa.gov/vdatumweb/api/convert?s_x=-124.147&amp;s_y=41.0567&amp;s_z=0.0&amp;region=westcoast&amp;s_h_frame=NAD83_2011&amp;s_coor=geo&amp;s_v_frame=NAVD88&amp;s_v_unit=us_ft&amp;t_h_frame=IGS14&amp;t_coor=geo&amp;t_v_frame=MLLW&amp;t_v_unit=us_ft", "NAVD88 to MLLW")</f>
        <v>0</v>
      </c>
      <c r="AZ503" s="2">
        <f>HYPERLINK("https://vdatum.noaa.gov/vdatumweb/api/convert?s_x=-124.147&amp;s_y=41.0567&amp;s_z=0.0&amp;region=westcoast&amp;s_h_frame=NAD83_2011&amp;s_coor=geo&amp;s_v_frame=NAVD88&amp;s_v_unit=us_ft&amp;t_h_frame=IGS14&amp;t_coor=geo&amp;t_v_frame=MHHW&amp;t_v_unit=us_ft", "NAVD88 to MHHW")</f>
        <v>0</v>
      </c>
    </row>
    <row r="504" spans="1:52">
      <c r="A504" s="1" t="s">
        <v>528</v>
      </c>
      <c r="B504" s="1" t="s">
        <v>637</v>
      </c>
      <c r="C504" s="1" t="s">
        <v>650</v>
      </c>
      <c r="D504" s="1" t="s">
        <v>655</v>
      </c>
      <c r="L504" s="1">
        <v>-124.184</v>
      </c>
      <c r="M504" s="1">
        <v>41.74561</v>
      </c>
      <c r="N504" s="1">
        <v>9419750</v>
      </c>
      <c r="O504" s="1" t="s">
        <v>860</v>
      </c>
      <c r="P504" s="1" t="s">
        <v>866</v>
      </c>
      <c r="Q504" s="2">
        <f>HYPERLINK("https://tidesandcurrents.noaa.gov/stationhome.html?id=9419750", "Station Info")</f>
        <v>0</v>
      </c>
      <c r="R504" s="2">
        <f>HYPERLINK("https://tidesandcurrents.noaa.gov/datums.html?datum=MLLW&amp;units=0&amp;epoch=0&amp;id=9419750", "Datum Info")</f>
        <v>0</v>
      </c>
      <c r="S504" s="2">
        <f>HYPERLINK("https://api.tidesandcurrents.noaa.gov/mdapi/prod/webapi/stations/9419750.json", "More Info")</f>
        <v>0</v>
      </c>
      <c r="T504" s="1">
        <v>2068485</v>
      </c>
      <c r="U504" s="1">
        <v>0</v>
      </c>
      <c r="V504" s="1" t="s">
        <v>872</v>
      </c>
      <c r="W504" s="1" t="s">
        <v>877</v>
      </c>
      <c r="X504" s="1" t="s">
        <v>886</v>
      </c>
      <c r="Y504" s="1">
        <v>6.87</v>
      </c>
      <c r="Z504" s="1">
        <v>6.23</v>
      </c>
      <c r="AA504" s="1">
        <v>3.74</v>
      </c>
      <c r="AB504" s="1">
        <v>3.7</v>
      </c>
      <c r="AC504" s="1">
        <v>3.44</v>
      </c>
      <c r="AD504" s="1">
        <v>1.24</v>
      </c>
      <c r="AE504" s="1">
        <v>0</v>
      </c>
      <c r="AF504" s="1">
        <v>0.38</v>
      </c>
      <c r="AG504" s="1">
        <v>-3.69</v>
      </c>
      <c r="AH504" s="1" t="s">
        <v>1290</v>
      </c>
      <c r="AI504" s="1" t="s">
        <v>1543</v>
      </c>
      <c r="AJ504" s="1">
        <v>0.269</v>
      </c>
      <c r="AK504" s="1">
        <v>-6.601</v>
      </c>
      <c r="AY504" s="2">
        <f>HYPERLINK("https://vdatum.noaa.gov/vdatumweb/api/convert?s_x=-124.184&amp;s_y=41.74561&amp;s_z=0.0&amp;region=westcoast&amp;s_h_frame=NAD83_2011&amp;s_coor=geo&amp;s_v_frame=NAVD88&amp;s_v_unit=us_ft&amp;t_h_frame=IGS14&amp;t_coor=geo&amp;t_v_frame=MLLW&amp;t_v_unit=us_ft", "NAVD88 to MLLW")</f>
        <v>0</v>
      </c>
      <c r="AZ504" s="2">
        <f>HYPERLINK("https://vdatum.noaa.gov/vdatumweb/api/convert?s_x=-124.184&amp;s_y=41.74561&amp;s_z=0.0&amp;region=westcoast&amp;s_h_frame=NAD83_2011&amp;s_coor=geo&amp;s_v_frame=NAVD88&amp;s_v_unit=us_ft&amp;t_h_frame=IGS14&amp;t_coor=geo&amp;t_v_frame=MHHW&amp;t_v_unit=us_ft", "NAVD88 to MHHW")</f>
        <v>0</v>
      </c>
    </row>
    <row r="505" spans="1:52">
      <c r="A505" s="1" t="s">
        <v>529</v>
      </c>
      <c r="B505" s="1" t="s">
        <v>637</v>
      </c>
      <c r="C505" s="1" t="s">
        <v>650</v>
      </c>
      <c r="D505" s="1" t="s">
        <v>655</v>
      </c>
      <c r="E505" s="1" t="s">
        <v>807</v>
      </c>
      <c r="F505" s="1" t="s">
        <v>851</v>
      </c>
      <c r="G505" s="1" t="s">
        <v>858</v>
      </c>
      <c r="L505" s="1">
        <v>-124.201</v>
      </c>
      <c r="M505" s="1">
        <v>41.94525</v>
      </c>
      <c r="N505" s="1">
        <v>9419945</v>
      </c>
      <c r="O505" s="1" t="s">
        <v>861</v>
      </c>
      <c r="P505" s="1" t="s">
        <v>866</v>
      </c>
      <c r="Q505" s="2">
        <f>HYPERLINK("https://tidesandcurrents.noaa.gov/stationhome.html?id=9419945", "Station Info")</f>
        <v>0</v>
      </c>
      <c r="R505" s="2">
        <f>HYPERLINK("https://tidesandcurrents.noaa.gov/datums.html?datum=MLLW&amp;units=0&amp;epoch=0&amp;id=9419945", "Datum Info")</f>
        <v>0</v>
      </c>
      <c r="S505" s="2">
        <f>HYPERLINK("https://api.tidesandcurrents.noaa.gov/mdapi/prod/webapi/stations/9419945.json", "More Info")</f>
        <v>0</v>
      </c>
      <c r="T505" s="1">
        <v>732883</v>
      </c>
      <c r="U505" s="1">
        <v>0</v>
      </c>
      <c r="V505" s="1" t="s">
        <v>872</v>
      </c>
      <c r="W505" s="1" t="s">
        <v>877</v>
      </c>
      <c r="X505" s="1" t="s">
        <v>886</v>
      </c>
      <c r="Y505" s="1">
        <v>6.41</v>
      </c>
      <c r="Z505" s="1">
        <v>5.8</v>
      </c>
      <c r="AA505" s="1">
        <v>3.46</v>
      </c>
      <c r="AB505" s="1">
        <v>3.42</v>
      </c>
      <c r="AC505" s="1">
        <v>3.21</v>
      </c>
      <c r="AD505" s="1">
        <v>1.13</v>
      </c>
      <c r="AE505" s="1">
        <v>0</v>
      </c>
      <c r="AF505" s="1">
        <v>-0.55</v>
      </c>
      <c r="AG505" s="1">
        <v>-20.57</v>
      </c>
      <c r="AH505" s="1" t="s">
        <v>1291</v>
      </c>
      <c r="AI505" s="1" t="s">
        <v>1544</v>
      </c>
      <c r="AJ505" s="1">
        <v>-0.013</v>
      </c>
      <c r="AK505" s="1">
        <v>-6.483</v>
      </c>
      <c r="AY505" s="2">
        <f>HYPERLINK("https://vdatum.noaa.gov/vdatumweb/api/convert?s_x=-124.201&amp;s_y=41.94525&amp;s_z=0.0&amp;region=westcoast&amp;s_h_frame=NAD83_2011&amp;s_coor=geo&amp;s_v_frame=NAVD88&amp;s_v_unit=us_ft&amp;t_h_frame=IGS14&amp;t_coor=geo&amp;t_v_frame=MLLW&amp;t_v_unit=us_ft", "NAVD88 to MLLW")</f>
        <v>0</v>
      </c>
      <c r="AZ505" s="2">
        <f>HYPERLINK("https://vdatum.noaa.gov/vdatumweb/api/convert?s_x=-124.201&amp;s_y=41.94525&amp;s_z=0.0&amp;region=westcoast&amp;s_h_frame=NAD83_2011&amp;s_coor=geo&amp;s_v_frame=NAVD88&amp;s_v_unit=us_ft&amp;t_h_frame=IGS14&amp;t_coor=geo&amp;t_v_frame=MHHW&amp;t_v_unit=us_ft", "NAVD88 to MHHW")</f>
        <v>0</v>
      </c>
    </row>
    <row r="506" spans="1:52">
      <c r="A506" s="1" t="s">
        <v>530</v>
      </c>
      <c r="B506" s="1" t="s">
        <v>637</v>
      </c>
      <c r="C506" s="1" t="s">
        <v>650</v>
      </c>
      <c r="D506" s="1" t="s">
        <v>655</v>
      </c>
      <c r="E506" s="1" t="s">
        <v>805</v>
      </c>
      <c r="F506" s="1" t="s">
        <v>851</v>
      </c>
      <c r="G506" s="1" t="s">
        <v>858</v>
      </c>
      <c r="L506" s="1">
        <v>-123.7333</v>
      </c>
      <c r="M506" s="1">
        <v>38.9541</v>
      </c>
      <c r="N506" s="1" t="s">
        <v>2283</v>
      </c>
      <c r="O506" s="1" t="s">
        <v>860</v>
      </c>
      <c r="P506" s="1" t="s">
        <v>866</v>
      </c>
      <c r="Q506" s="2">
        <f>HYPERLINK("https://tidesandcurrents.noaa.gov/stationhome.html?id=TWC0771", "Station Info")</f>
        <v>0</v>
      </c>
      <c r="R506" s="2">
        <f>HYPERLINK("https://tidesandcurrents.noaa.gov/datums.html?datum=MLLW&amp;units=0&amp;epoch=0&amp;id=TWC0771", "Datum Info")</f>
        <v>0</v>
      </c>
      <c r="S506" s="2">
        <f>HYPERLINK("https://api.tidesandcurrents.noaa.gov/mdapi/prod/webapi/stations/TWC0771.json", "More Info")</f>
        <v>0</v>
      </c>
      <c r="T506" s="1">
        <v>927288</v>
      </c>
      <c r="U506" s="1">
        <v>0</v>
      </c>
      <c r="V506" s="1" t="s">
        <v>872</v>
      </c>
      <c r="W506" s="1" t="s">
        <v>877</v>
      </c>
      <c r="AJ506" s="1">
        <v>0.03</v>
      </c>
      <c r="AK506" s="1">
        <v>-5.892</v>
      </c>
      <c r="AY506" s="2">
        <f>HYPERLINK("https://vdatum.noaa.gov/vdatumweb/api/convert?s_x=-123.7333&amp;s_y=38.9541&amp;s_z=0.0&amp;region=westcoast&amp;s_h_frame=NAD83_2011&amp;s_coor=geo&amp;s_v_frame=NAVD88&amp;s_v_unit=us_ft&amp;t_h_frame=IGS14&amp;t_coor=geo&amp;t_v_frame=MLLW&amp;t_v_unit=us_ft", "NAVD88 to MLLW")</f>
        <v>0</v>
      </c>
      <c r="AZ506" s="2">
        <f>HYPERLINK("https://vdatum.noaa.gov/vdatumweb/api/convert?s_x=-123.7333&amp;s_y=38.9541&amp;s_z=0.0&amp;region=westcoast&amp;s_h_frame=NAD83_2011&amp;s_coor=geo&amp;s_v_frame=NAVD88&amp;s_v_unit=us_ft&amp;t_h_frame=IGS14&amp;t_coor=geo&amp;t_v_frame=MHHW&amp;t_v_unit=us_ft", "NAVD88 to MHHW")</f>
        <v>0</v>
      </c>
    </row>
    <row r="507" spans="1:52">
      <c r="A507" s="1" t="s">
        <v>531</v>
      </c>
      <c r="B507" s="1" t="s">
        <v>638</v>
      </c>
      <c r="D507" s="1" t="s">
        <v>655</v>
      </c>
      <c r="E507" s="1" t="s">
        <v>808</v>
      </c>
      <c r="F507" s="1" t="s">
        <v>851</v>
      </c>
      <c r="G507" s="1" t="s">
        <v>858</v>
      </c>
      <c r="L507" s="1">
        <v>-118.2461111</v>
      </c>
      <c r="M507" s="1">
        <v>33.715833</v>
      </c>
      <c r="N507" s="1">
        <v>9410647</v>
      </c>
      <c r="O507" s="1" t="s">
        <v>861</v>
      </c>
      <c r="P507" s="1" t="s">
        <v>866</v>
      </c>
      <c r="Q507" s="2">
        <f>HYPERLINK("https://tidesandcurrents.noaa.gov/stationhome.html?id=9410647", "Station Info")</f>
        <v>0</v>
      </c>
      <c r="R507" s="2">
        <f>HYPERLINK("https://tidesandcurrents.noaa.gov/datums.html?datum=MLLW&amp;units=0&amp;epoch=0&amp;id=9410647", "Datum Info")</f>
        <v>0</v>
      </c>
      <c r="S507" s="2">
        <f>HYPERLINK("https://api.tidesandcurrents.noaa.gov/mdapi/prod/webapi/stations/9410647.json", "More Info")</f>
        <v>0</v>
      </c>
      <c r="T507" s="1">
        <v>1973884</v>
      </c>
      <c r="U507" s="1">
        <v>0</v>
      </c>
      <c r="V507" s="1" t="s">
        <v>872</v>
      </c>
      <c r="W507" s="1" t="s">
        <v>877</v>
      </c>
      <c r="AJ507" s="1">
        <v>-0.023</v>
      </c>
      <c r="AK507" s="1">
        <v>-5.515</v>
      </c>
      <c r="AY507" s="2">
        <f>HYPERLINK("https://vdatum.noaa.gov/vdatumweb/api/convert?s_x=-118.2461111&amp;s_y=33.715833&amp;s_z=0.0&amp;region=westcoast&amp;s_h_frame=NAD83_2011&amp;s_coor=geo&amp;s_v_frame=NAVD88&amp;s_v_unit=us_ft&amp;t_h_frame=IGS14&amp;t_coor=geo&amp;t_v_frame=MLLW&amp;t_v_unit=us_ft", "NAVD88 to MLLW")</f>
        <v>0</v>
      </c>
      <c r="AZ507" s="2">
        <f>HYPERLINK("https://vdatum.noaa.gov/vdatumweb/api/convert?s_x=-118.2461111&amp;s_y=33.715833&amp;s_z=0.0&amp;region=westcoast&amp;s_h_frame=NAD83_2011&amp;s_coor=geo&amp;s_v_frame=NAVD88&amp;s_v_unit=us_ft&amp;t_h_frame=IGS14&amp;t_coor=geo&amp;t_v_frame=MHHW&amp;t_v_unit=us_ft", "NAVD88 to MHHW")</f>
        <v>0</v>
      </c>
    </row>
    <row r="508" spans="1:52">
      <c r="A508" s="1" t="s">
        <v>532</v>
      </c>
      <c r="B508" s="1" t="s">
        <v>638</v>
      </c>
      <c r="D508" s="1" t="s">
        <v>655</v>
      </c>
      <c r="E508" s="1" t="s">
        <v>808</v>
      </c>
      <c r="F508" s="1" t="s">
        <v>851</v>
      </c>
      <c r="G508" s="1" t="s">
        <v>858</v>
      </c>
      <c r="L508" s="1">
        <v>-118.273</v>
      </c>
      <c r="M508" s="1">
        <v>33.71994</v>
      </c>
      <c r="N508" s="1">
        <v>9410660</v>
      </c>
      <c r="O508" s="1" t="s">
        <v>861</v>
      </c>
      <c r="P508" s="1" t="s">
        <v>866</v>
      </c>
      <c r="Q508" s="2">
        <f>HYPERLINK("https://tidesandcurrents.noaa.gov/stationhome.html?id=9410660", "Station Info")</f>
        <v>0</v>
      </c>
      <c r="R508" s="2">
        <f>HYPERLINK("https://tidesandcurrents.noaa.gov/datums.html?datum=MLLW&amp;units=0&amp;epoch=0&amp;id=9410660", "Datum Info")</f>
        <v>0</v>
      </c>
      <c r="S508" s="2">
        <f>HYPERLINK("https://api.tidesandcurrents.noaa.gov/mdapi/prod/webapi/stations/9410660.json", "More Info")</f>
        <v>0</v>
      </c>
      <c r="T508" s="1">
        <v>1485137</v>
      </c>
      <c r="U508" s="1">
        <v>0</v>
      </c>
      <c r="V508" s="1" t="s">
        <v>872</v>
      </c>
      <c r="W508" s="1" t="s">
        <v>877</v>
      </c>
      <c r="X508" s="1" t="s">
        <v>886</v>
      </c>
      <c r="Y508" s="1">
        <v>5.49</v>
      </c>
      <c r="Z508" s="1">
        <v>4.75</v>
      </c>
      <c r="AA508" s="1">
        <v>2.84</v>
      </c>
      <c r="AB508" s="1">
        <v>2.82</v>
      </c>
      <c r="AC508" s="1">
        <v>2.74</v>
      </c>
      <c r="AD508" s="1">
        <v>0.9399999999999999</v>
      </c>
      <c r="AE508" s="1">
        <v>0</v>
      </c>
      <c r="AF508" s="1">
        <v>0.2</v>
      </c>
      <c r="AG508" s="1">
        <v>-3.83</v>
      </c>
      <c r="AH508" s="1" t="s">
        <v>1292</v>
      </c>
      <c r="AI508" s="1" t="s">
        <v>1545</v>
      </c>
      <c r="AJ508" s="1">
        <v>0.007</v>
      </c>
      <c r="AK508" s="1">
        <v>-5.482</v>
      </c>
      <c r="AY508" s="2">
        <f>HYPERLINK("https://vdatum.noaa.gov/vdatumweb/api/convert?s_x=-118.273&amp;s_y=33.71994&amp;s_z=0.0&amp;region=westcoast&amp;s_h_frame=NAD83_2011&amp;s_coor=geo&amp;s_v_frame=NAVD88&amp;s_v_unit=us_ft&amp;t_h_frame=IGS14&amp;t_coor=geo&amp;t_v_frame=MLLW&amp;t_v_unit=us_ft", "NAVD88 to MLLW")</f>
        <v>0</v>
      </c>
      <c r="AZ508" s="2">
        <f>HYPERLINK("https://vdatum.noaa.gov/vdatumweb/api/convert?s_x=-118.273&amp;s_y=33.71994&amp;s_z=0.0&amp;region=westcoast&amp;s_h_frame=NAD83_2011&amp;s_coor=geo&amp;s_v_frame=NAVD88&amp;s_v_unit=us_ft&amp;t_h_frame=IGS14&amp;t_coor=geo&amp;t_v_frame=MHHW&amp;t_v_unit=us_ft", "NAVD88 to MHHW")</f>
        <v>0</v>
      </c>
    </row>
    <row r="509" spans="1:52">
      <c r="A509" s="1" t="s">
        <v>533</v>
      </c>
      <c r="B509" s="1" t="s">
        <v>638</v>
      </c>
      <c r="D509" s="1" t="s">
        <v>655</v>
      </c>
      <c r="L509" s="1">
        <v>-118.18555</v>
      </c>
      <c r="M509" s="1">
        <v>33.73305</v>
      </c>
      <c r="N509" s="1">
        <v>9410665</v>
      </c>
      <c r="O509" s="1" t="s">
        <v>861</v>
      </c>
      <c r="P509" s="1" t="s">
        <v>866</v>
      </c>
      <c r="Q509" s="2">
        <f>HYPERLINK("https://tidesandcurrents.noaa.gov/stationhome.html?id=9410665", "Station Info")</f>
        <v>0</v>
      </c>
      <c r="R509" s="2">
        <f>HYPERLINK("https://tidesandcurrents.noaa.gov/datums.html?datum=MLLW&amp;units=0&amp;epoch=0&amp;id=9410665", "Datum Info")</f>
        <v>0</v>
      </c>
      <c r="S509" s="2">
        <f>HYPERLINK("https://api.tidesandcurrents.noaa.gov/mdapi/prod/webapi/stations/9410665.json", "More Info")</f>
        <v>0</v>
      </c>
      <c r="T509" s="1">
        <v>2089181</v>
      </c>
      <c r="U509" s="1">
        <v>0</v>
      </c>
      <c r="V509" s="1" t="s">
        <v>872</v>
      </c>
      <c r="W509" s="1" t="s">
        <v>877</v>
      </c>
      <c r="AJ509" s="1">
        <v>0.036</v>
      </c>
      <c r="AK509" s="1">
        <v>-5.463</v>
      </c>
      <c r="AY509" s="2">
        <f>HYPERLINK("https://vdatum.noaa.gov/vdatumweb/api/convert?s_x=-118.18555&amp;s_y=33.73305&amp;s_z=0.0&amp;region=westcoast&amp;s_h_frame=NAD83_2011&amp;s_coor=geo&amp;s_v_frame=NAVD88&amp;s_v_unit=us_ft&amp;t_h_frame=IGS14&amp;t_coor=geo&amp;t_v_frame=MLLW&amp;t_v_unit=us_ft", "NAVD88 to MLLW")</f>
        <v>0</v>
      </c>
      <c r="AZ509" s="2">
        <f>HYPERLINK("https://vdatum.noaa.gov/vdatumweb/api/convert?s_x=-118.18555&amp;s_y=33.73305&amp;s_z=0.0&amp;region=westcoast&amp;s_h_frame=NAD83_2011&amp;s_coor=geo&amp;s_v_frame=NAVD88&amp;s_v_unit=us_ft&amp;t_h_frame=IGS14&amp;t_coor=geo&amp;t_v_frame=MHHW&amp;t_v_unit=us_ft", "NAVD88 to MHHW")</f>
        <v>0</v>
      </c>
    </row>
    <row r="510" spans="1:52">
      <c r="A510" s="1" t="s">
        <v>534</v>
      </c>
      <c r="B510" s="1" t="s">
        <v>638</v>
      </c>
      <c r="D510" s="1" t="s">
        <v>655</v>
      </c>
      <c r="E510" s="1" t="s">
        <v>808</v>
      </c>
      <c r="F510" s="1" t="s">
        <v>851</v>
      </c>
      <c r="G510" s="1" t="s">
        <v>858</v>
      </c>
      <c r="L510" s="1">
        <v>-118.241666</v>
      </c>
      <c r="M510" s="1">
        <v>33.735</v>
      </c>
      <c r="N510" s="1">
        <v>9410666</v>
      </c>
      <c r="O510" s="1" t="s">
        <v>861</v>
      </c>
      <c r="P510" s="1" t="s">
        <v>866</v>
      </c>
      <c r="Q510" s="2">
        <f>HYPERLINK("https://tidesandcurrents.noaa.gov/stationhome.html?id=9410666", "Station Info")</f>
        <v>0</v>
      </c>
      <c r="R510" s="2">
        <f>HYPERLINK("https://tidesandcurrents.noaa.gov/datums.html?datum=MLLW&amp;units=0&amp;epoch=0&amp;id=9410666", "Datum Info")</f>
        <v>0</v>
      </c>
      <c r="S510" s="2">
        <f>HYPERLINK("https://api.tidesandcurrents.noaa.gov/mdapi/prod/webapi/stations/9410666.json", "More Info")</f>
        <v>0</v>
      </c>
      <c r="T510" s="1">
        <v>2567992</v>
      </c>
      <c r="U510" s="1">
        <v>0</v>
      </c>
      <c r="V510" s="1" t="s">
        <v>872</v>
      </c>
      <c r="W510" s="1" t="s">
        <v>877</v>
      </c>
      <c r="AJ510" s="1">
        <v>-0.007</v>
      </c>
      <c r="AK510" s="1">
        <v>-5.512</v>
      </c>
      <c r="AY510" s="2">
        <f>HYPERLINK("https://vdatum.noaa.gov/vdatumweb/api/convert?s_x=-118.241666&amp;s_y=33.735&amp;s_z=0.0&amp;region=westcoast&amp;s_h_frame=NAD83_2011&amp;s_coor=geo&amp;s_v_frame=NAVD88&amp;s_v_unit=us_ft&amp;t_h_frame=IGS14&amp;t_coor=geo&amp;t_v_frame=MLLW&amp;t_v_unit=us_ft", "NAVD88 to MLLW")</f>
        <v>0</v>
      </c>
      <c r="AZ510" s="2">
        <f>HYPERLINK("https://vdatum.noaa.gov/vdatumweb/api/convert?s_x=-118.241666&amp;s_y=33.735&amp;s_z=0.0&amp;region=westcoast&amp;s_h_frame=NAD83_2011&amp;s_coor=geo&amp;s_v_frame=NAVD88&amp;s_v_unit=us_ft&amp;t_h_frame=IGS14&amp;t_coor=geo&amp;t_v_frame=MHHW&amp;t_v_unit=us_ft", "NAVD88 to MHHW")</f>
        <v>0</v>
      </c>
    </row>
    <row r="511" spans="1:52">
      <c r="A511" s="1" t="s">
        <v>535</v>
      </c>
      <c r="B511" s="1" t="s">
        <v>638</v>
      </c>
      <c r="D511" s="1" t="s">
        <v>655</v>
      </c>
      <c r="L511" s="1">
        <v>-118.5</v>
      </c>
      <c r="M511" s="1">
        <v>34.0083</v>
      </c>
      <c r="N511" s="1">
        <v>9410840</v>
      </c>
      <c r="O511" s="1" t="s">
        <v>861</v>
      </c>
      <c r="P511" s="1" t="s">
        <v>866</v>
      </c>
      <c r="Q511" s="2">
        <f>HYPERLINK("https://tidesandcurrents.noaa.gov/stationhome.html?id=9410840", "Station Info")</f>
        <v>0</v>
      </c>
      <c r="R511" s="2">
        <f>HYPERLINK("https://tidesandcurrents.noaa.gov/datums.html?datum=MLLW&amp;units=0&amp;epoch=0&amp;id=9410840", "Datum Info")</f>
        <v>0</v>
      </c>
      <c r="S511" s="2">
        <f>HYPERLINK("https://api.tidesandcurrents.noaa.gov/mdapi/prod/webapi/stations/9410840.json", "More Info")</f>
        <v>0</v>
      </c>
      <c r="T511" s="1">
        <v>419338</v>
      </c>
      <c r="U511" s="1">
        <v>0</v>
      </c>
      <c r="V511" s="1" t="s">
        <v>872</v>
      </c>
      <c r="W511" s="1" t="s">
        <v>877</v>
      </c>
      <c r="X511" s="1" t="s">
        <v>886</v>
      </c>
      <c r="Y511" s="1">
        <v>5.43</v>
      </c>
      <c r="Z511" s="1">
        <v>4.69</v>
      </c>
      <c r="AA511" s="1">
        <v>2.81</v>
      </c>
      <c r="AB511" s="1">
        <v>2.79</v>
      </c>
      <c r="AC511" s="1">
        <v>2.72</v>
      </c>
      <c r="AD511" s="1">
        <v>0.93</v>
      </c>
      <c r="AE511" s="1">
        <v>0</v>
      </c>
      <c r="AF511" s="1">
        <v>0.19</v>
      </c>
      <c r="AG511" s="1">
        <v>-2.44</v>
      </c>
      <c r="AH511" s="1" t="s">
        <v>1293</v>
      </c>
      <c r="AI511" s="1" t="s">
        <v>1065</v>
      </c>
      <c r="AJ511" s="1">
        <v>0.095</v>
      </c>
      <c r="AK511" s="1">
        <v>-5.328</v>
      </c>
      <c r="AY511" s="2">
        <f>HYPERLINK("https://vdatum.noaa.gov/vdatumweb/api/convert?s_x=-118.5&amp;s_y=34.0083&amp;s_z=0.0&amp;region=westcoast&amp;s_h_frame=NAD83_2011&amp;s_coor=geo&amp;s_v_frame=NAVD88&amp;s_v_unit=us_ft&amp;t_h_frame=IGS14&amp;t_coor=geo&amp;t_v_frame=MLLW&amp;t_v_unit=us_ft", "NAVD88 to MLLW")</f>
        <v>0</v>
      </c>
      <c r="AZ511" s="2">
        <f>HYPERLINK("https://vdatum.noaa.gov/vdatumweb/api/convert?s_x=-118.5&amp;s_y=34.0083&amp;s_z=0.0&amp;region=westcoast&amp;s_h_frame=NAD83_2011&amp;s_coor=geo&amp;s_v_frame=NAVD88&amp;s_v_unit=us_ft&amp;t_h_frame=IGS14&amp;t_coor=geo&amp;t_v_frame=MHHW&amp;t_v_unit=us_ft", "NAVD88 to MHHW")</f>
        <v>0</v>
      </c>
    </row>
    <row r="512" spans="1:52">
      <c r="A512" s="1" t="s">
        <v>536</v>
      </c>
      <c r="B512" s="1" t="s">
        <v>638</v>
      </c>
      <c r="D512" s="1" t="s">
        <v>655</v>
      </c>
      <c r="L512" s="1">
        <v>-119.27</v>
      </c>
      <c r="M512" s="1">
        <v>34.25</v>
      </c>
      <c r="N512" s="1">
        <v>9411166</v>
      </c>
      <c r="O512" s="1" t="s">
        <v>860</v>
      </c>
      <c r="P512" s="1" t="s">
        <v>866</v>
      </c>
      <c r="Q512" s="2">
        <f>HYPERLINK("https://tidesandcurrents.noaa.gov/stationhome.html?id=9411166", "Station Info")</f>
        <v>0</v>
      </c>
      <c r="R512" s="2">
        <f>HYPERLINK("https://tidesandcurrents.noaa.gov/datums.html?datum=MLLW&amp;units=0&amp;epoch=0&amp;id=9411166", "Datum Info")</f>
        <v>0</v>
      </c>
      <c r="S512" s="2">
        <f>HYPERLINK("https://api.tidesandcurrents.noaa.gov/mdapi/prod/webapi/stations/9411166.json", "More Info")</f>
        <v>0</v>
      </c>
      <c r="T512" s="1">
        <v>1933461</v>
      </c>
      <c r="U512" s="1">
        <v>0</v>
      </c>
      <c r="V512" s="1" t="s">
        <v>872</v>
      </c>
      <c r="W512" s="1" t="s">
        <v>877</v>
      </c>
      <c r="AJ512" s="1">
        <v>0.112</v>
      </c>
      <c r="AK512" s="1">
        <v>-5.387</v>
      </c>
      <c r="AY512" s="2">
        <f>HYPERLINK("https://vdatum.noaa.gov/vdatumweb/api/convert?s_x=-119.27&amp;s_y=34.25&amp;s_z=0.0&amp;region=westcoast&amp;s_h_frame=NAD83_2011&amp;s_coor=geo&amp;s_v_frame=NAVD88&amp;s_v_unit=us_ft&amp;t_h_frame=IGS14&amp;t_coor=geo&amp;t_v_frame=MLLW&amp;t_v_unit=us_ft", "NAVD88 to MLLW")</f>
        <v>0</v>
      </c>
      <c r="AZ512" s="2">
        <f>HYPERLINK("https://vdatum.noaa.gov/vdatumweb/api/convert?s_x=-119.27&amp;s_y=34.25&amp;s_z=0.0&amp;region=westcoast&amp;s_h_frame=NAD83_2011&amp;s_coor=geo&amp;s_v_frame=NAVD88&amp;s_v_unit=us_ft&amp;t_h_frame=IGS14&amp;t_coor=geo&amp;t_v_frame=MHHW&amp;t_v_unit=us_ft", "NAVD88 to MHHW")</f>
        <v>0</v>
      </c>
    </row>
    <row r="513" spans="1:52">
      <c r="A513" s="1" t="s">
        <v>537</v>
      </c>
      <c r="B513" s="1" t="s">
        <v>638</v>
      </c>
      <c r="C513" s="1" t="s">
        <v>650</v>
      </c>
      <c r="D513" s="1" t="s">
        <v>655</v>
      </c>
      <c r="E513" s="1" t="s">
        <v>809</v>
      </c>
      <c r="F513" s="1" t="s">
        <v>851</v>
      </c>
      <c r="G513" s="1" t="s">
        <v>858</v>
      </c>
      <c r="L513" s="1">
        <v>-119.693</v>
      </c>
      <c r="M513" s="1">
        <v>34.40311</v>
      </c>
      <c r="N513" s="1">
        <v>9411340</v>
      </c>
      <c r="O513" s="1" t="s">
        <v>860</v>
      </c>
      <c r="P513" s="1" t="s">
        <v>866</v>
      </c>
      <c r="Q513" s="2">
        <f>HYPERLINK("https://tidesandcurrents.noaa.gov/stationhome.html?id=9411340", "Station Info")</f>
        <v>0</v>
      </c>
      <c r="R513" s="2">
        <f>HYPERLINK("https://tidesandcurrents.noaa.gov/datums.html?datum=MLLW&amp;units=0&amp;epoch=0&amp;id=9411340", "Datum Info")</f>
        <v>0</v>
      </c>
      <c r="S513" s="2">
        <f>HYPERLINK("https://api.tidesandcurrents.noaa.gov/mdapi/prod/webapi/stations/9411340.json", "More Info")</f>
        <v>0</v>
      </c>
      <c r="T513" s="1">
        <v>1218376</v>
      </c>
      <c r="U513" s="1">
        <v>0</v>
      </c>
      <c r="V513" s="1" t="s">
        <v>872</v>
      </c>
      <c r="W513" s="1" t="s">
        <v>877</v>
      </c>
      <c r="X513" s="1" t="s">
        <v>886</v>
      </c>
      <c r="Y513" s="1">
        <v>5.39</v>
      </c>
      <c r="Z513" s="1">
        <v>4.64</v>
      </c>
      <c r="AA513" s="1">
        <v>2.81</v>
      </c>
      <c r="AB513" s="1">
        <v>2.78</v>
      </c>
      <c r="AC513" s="1">
        <v>2.69</v>
      </c>
      <c r="AD513" s="1">
        <v>0.97</v>
      </c>
      <c r="AE513" s="1">
        <v>0</v>
      </c>
      <c r="AF513" s="1">
        <v>0.13</v>
      </c>
      <c r="AG513" s="1">
        <v>-3.14</v>
      </c>
      <c r="AH513" s="1" t="s">
        <v>1294</v>
      </c>
      <c r="AI513" s="1" t="s">
        <v>1546</v>
      </c>
      <c r="AJ513" s="1">
        <v>0.098</v>
      </c>
      <c r="AK513" s="1">
        <v>-5.299</v>
      </c>
      <c r="AY513" s="2">
        <f>HYPERLINK("https://vdatum.noaa.gov/vdatumweb/api/convert?s_x=-119.693&amp;s_y=34.40311&amp;s_z=0.0&amp;region=westcoast&amp;s_h_frame=NAD83_2011&amp;s_coor=geo&amp;s_v_frame=NAVD88&amp;s_v_unit=us_ft&amp;t_h_frame=IGS14&amp;t_coor=geo&amp;t_v_frame=MLLW&amp;t_v_unit=us_ft", "NAVD88 to MLLW")</f>
        <v>0</v>
      </c>
      <c r="AZ513" s="2">
        <f>HYPERLINK("https://vdatum.noaa.gov/vdatumweb/api/convert?s_x=-119.693&amp;s_y=34.40311&amp;s_z=0.0&amp;region=westcoast&amp;s_h_frame=NAD83_2011&amp;s_coor=geo&amp;s_v_frame=NAVD88&amp;s_v_unit=us_ft&amp;t_h_frame=IGS14&amp;t_coor=geo&amp;t_v_frame=MHHW&amp;t_v_unit=us_ft", "NAVD88 to MHHW")</f>
        <v>0</v>
      </c>
    </row>
    <row r="514" spans="1:52">
      <c r="A514" s="1" t="s">
        <v>538</v>
      </c>
      <c r="B514" s="1" t="s">
        <v>638</v>
      </c>
      <c r="D514" s="1" t="s">
        <v>655</v>
      </c>
      <c r="L514" s="1">
        <v>-120.228</v>
      </c>
      <c r="M514" s="1">
        <v>34.46939</v>
      </c>
      <c r="N514" s="1">
        <v>9411399</v>
      </c>
      <c r="O514" s="1" t="s">
        <v>861</v>
      </c>
      <c r="P514" s="1" t="s">
        <v>866</v>
      </c>
      <c r="Q514" s="2">
        <f>HYPERLINK("https://tidesandcurrents.noaa.gov/stationhome.html?id=9411399", "Station Info")</f>
        <v>0</v>
      </c>
      <c r="R514" s="2">
        <f>HYPERLINK("https://tidesandcurrents.noaa.gov/datums.html?datum=MLLW&amp;units=0&amp;epoch=0&amp;id=9411399", "Datum Info")</f>
        <v>0</v>
      </c>
      <c r="S514" s="2">
        <f>HYPERLINK("https://api.tidesandcurrents.noaa.gov/mdapi/prod/webapi/stations/9411399.json", "More Info")</f>
        <v>0</v>
      </c>
      <c r="T514" s="1">
        <v>866425</v>
      </c>
      <c r="U514" s="1">
        <v>0</v>
      </c>
      <c r="V514" s="1" t="s">
        <v>872</v>
      </c>
      <c r="W514" s="1" t="s">
        <v>877</v>
      </c>
      <c r="X514" s="1" t="s">
        <v>886</v>
      </c>
      <c r="Y514" s="1">
        <v>5.29</v>
      </c>
      <c r="Z514" s="1">
        <v>4.55</v>
      </c>
      <c r="AA514" s="1">
        <v>2.76</v>
      </c>
      <c r="AB514" s="1">
        <v>2.75</v>
      </c>
      <c r="AC514" s="1">
        <v>2.65</v>
      </c>
      <c r="AD514" s="1">
        <v>0.98</v>
      </c>
      <c r="AE514" s="1">
        <v>0</v>
      </c>
      <c r="AF514" s="1">
        <v>0.09</v>
      </c>
      <c r="AG514" s="1">
        <v>-43.6</v>
      </c>
      <c r="AH514" s="1" t="s">
        <v>1295</v>
      </c>
      <c r="AI514" s="1" t="s">
        <v>1547</v>
      </c>
      <c r="AJ514" s="1">
        <v>0.489</v>
      </c>
      <c r="AK514" s="1">
        <v>-4.806</v>
      </c>
      <c r="AY514" s="2">
        <f>HYPERLINK("https://vdatum.noaa.gov/vdatumweb/api/convert?s_x=-120.228&amp;s_y=34.46939&amp;s_z=0.0&amp;region=westcoast&amp;s_h_frame=NAD83_2011&amp;s_coor=geo&amp;s_v_frame=NAVD88&amp;s_v_unit=us_ft&amp;t_h_frame=IGS14&amp;t_coor=geo&amp;t_v_frame=MLLW&amp;t_v_unit=us_ft", "NAVD88 to MLLW")</f>
        <v>0</v>
      </c>
      <c r="AZ514" s="2">
        <f>HYPERLINK("https://vdatum.noaa.gov/vdatumweb/api/convert?s_x=-120.228&amp;s_y=34.46939&amp;s_z=0.0&amp;region=westcoast&amp;s_h_frame=NAD83_2011&amp;s_coor=geo&amp;s_v_frame=NAVD88&amp;s_v_unit=us_ft&amp;t_h_frame=IGS14&amp;t_coor=geo&amp;t_v_frame=MHHW&amp;t_v_unit=us_ft", "NAVD88 to MHHW")</f>
        <v>0</v>
      </c>
    </row>
    <row r="515" spans="1:52">
      <c r="A515" s="1" t="s">
        <v>539</v>
      </c>
      <c r="B515" s="1" t="s">
        <v>638</v>
      </c>
      <c r="C515" s="1" t="s">
        <v>650</v>
      </c>
      <c r="D515" s="1" t="s">
        <v>655</v>
      </c>
      <c r="L515" s="1">
        <v>-120.754</v>
      </c>
      <c r="M515" s="1">
        <v>35.16881</v>
      </c>
      <c r="N515" s="1">
        <v>9412110</v>
      </c>
      <c r="O515" s="1" t="s">
        <v>861</v>
      </c>
      <c r="P515" s="1" t="s">
        <v>866</v>
      </c>
      <c r="Q515" s="2">
        <f>HYPERLINK("https://tidesandcurrents.noaa.gov/stationhome.html?id=9412110", "Station Info")</f>
        <v>0</v>
      </c>
      <c r="R515" s="2">
        <f>HYPERLINK("https://tidesandcurrents.noaa.gov/datums.html?datum=MLLW&amp;units=0&amp;epoch=0&amp;id=9412110", "Datum Info")</f>
        <v>0</v>
      </c>
      <c r="S515" s="2">
        <f>HYPERLINK("https://api.tidesandcurrents.noaa.gov/mdapi/prod/webapi/stations/9412110.json", "More Info")</f>
        <v>0</v>
      </c>
      <c r="T515" s="1">
        <v>767965</v>
      </c>
      <c r="U515" s="1">
        <v>0</v>
      </c>
      <c r="V515" s="1" t="s">
        <v>872</v>
      </c>
      <c r="W515" s="1" t="s">
        <v>877</v>
      </c>
      <c r="X515" s="1" t="s">
        <v>886</v>
      </c>
      <c r="Y515" s="1">
        <v>5.33</v>
      </c>
      <c r="Z515" s="1">
        <v>4.62</v>
      </c>
      <c r="AA515" s="1">
        <v>2.83</v>
      </c>
      <c r="AB515" s="1">
        <v>2.8</v>
      </c>
      <c r="AC515" s="1">
        <v>2.67</v>
      </c>
      <c r="AD515" s="1">
        <v>1.04</v>
      </c>
      <c r="AE515" s="1">
        <v>0</v>
      </c>
      <c r="AF515" s="1">
        <v>0.08</v>
      </c>
      <c r="AG515" s="1">
        <v>-4.25</v>
      </c>
      <c r="AH515" s="1" t="s">
        <v>1296</v>
      </c>
      <c r="AI515" s="1" t="s">
        <v>1548</v>
      </c>
      <c r="AJ515" s="1">
        <v>0.089</v>
      </c>
      <c r="AK515" s="1">
        <v>-5.236</v>
      </c>
      <c r="AY515" s="2">
        <f>HYPERLINK("https://vdatum.noaa.gov/vdatumweb/api/convert?s_x=-120.754&amp;s_y=35.16881&amp;s_z=0.0&amp;region=westcoast&amp;s_h_frame=NAD83_2011&amp;s_coor=geo&amp;s_v_frame=NAVD88&amp;s_v_unit=us_ft&amp;t_h_frame=IGS14&amp;t_coor=geo&amp;t_v_frame=MLLW&amp;t_v_unit=us_ft", "NAVD88 to MLLW")</f>
        <v>0</v>
      </c>
      <c r="AZ515" s="2">
        <f>HYPERLINK("https://vdatum.noaa.gov/vdatumweb/api/convert?s_x=-120.754&amp;s_y=35.16881&amp;s_z=0.0&amp;region=westcoast&amp;s_h_frame=NAD83_2011&amp;s_coor=geo&amp;s_v_frame=NAVD88&amp;s_v_unit=us_ft&amp;t_h_frame=IGS14&amp;t_coor=geo&amp;t_v_frame=MHHW&amp;t_v_unit=us_ft", "NAVD88 to MHHW")</f>
        <v>0</v>
      </c>
    </row>
    <row r="516" spans="1:52">
      <c r="A516" s="1" t="s">
        <v>540</v>
      </c>
      <c r="B516" s="1" t="s">
        <v>639</v>
      </c>
      <c r="C516" s="1" t="s">
        <v>651</v>
      </c>
      <c r="D516" s="1" t="s">
        <v>655</v>
      </c>
      <c r="L516" s="1">
        <v>-124.498</v>
      </c>
      <c r="M516" s="1">
        <v>42.73897</v>
      </c>
      <c r="N516" s="1">
        <v>9431647</v>
      </c>
      <c r="O516" s="1" t="s">
        <v>861</v>
      </c>
      <c r="P516" s="1" t="s">
        <v>866</v>
      </c>
      <c r="Q516" s="2">
        <f>HYPERLINK("https://tidesandcurrents.noaa.gov/stationhome.html?id=9431647", "Station Info")</f>
        <v>0</v>
      </c>
      <c r="R516" s="2">
        <f>HYPERLINK("https://tidesandcurrents.noaa.gov/datums.html?datum=MLLW&amp;units=0&amp;epoch=0&amp;id=9431647", "Datum Info")</f>
        <v>0</v>
      </c>
      <c r="S516" s="2">
        <f>HYPERLINK("https://api.tidesandcurrents.noaa.gov/mdapi/prod/webapi/stations/9431647.json", "More Info")</f>
        <v>0</v>
      </c>
      <c r="T516" s="1">
        <v>1049405</v>
      </c>
      <c r="U516" s="1">
        <v>0</v>
      </c>
      <c r="V516" s="1" t="s">
        <v>872</v>
      </c>
      <c r="W516" s="1" t="s">
        <v>877</v>
      </c>
      <c r="X516" s="1" t="s">
        <v>886</v>
      </c>
      <c r="Y516" s="1">
        <v>7.28</v>
      </c>
      <c r="Z516" s="1">
        <v>6.57</v>
      </c>
      <c r="AA516" s="1">
        <v>3.97</v>
      </c>
      <c r="AB516" s="1">
        <v>3.93</v>
      </c>
      <c r="AC516" s="1">
        <v>3.64</v>
      </c>
      <c r="AD516" s="1">
        <v>1.36</v>
      </c>
      <c r="AE516" s="1">
        <v>0</v>
      </c>
      <c r="AF516" s="1">
        <v>0.41</v>
      </c>
      <c r="AG516" s="1">
        <v>-23.11</v>
      </c>
      <c r="AH516" s="1" t="s">
        <v>1297</v>
      </c>
      <c r="AI516" s="1" t="s">
        <v>1549</v>
      </c>
      <c r="AJ516" s="1">
        <v>0.292</v>
      </c>
      <c r="AK516" s="1">
        <v>-6.991</v>
      </c>
      <c r="AY516" s="2">
        <f>HYPERLINK("https://vdatum.noaa.gov/vdatumweb/api/convert?s_x=-124.498&amp;s_y=42.73897&amp;s_z=0.0&amp;region=westcoast&amp;s_h_frame=NAD83_2011&amp;s_coor=geo&amp;s_v_frame=NAVD88&amp;s_v_unit=us_ft&amp;t_h_frame=IGS14&amp;t_coor=geo&amp;t_v_frame=MLLW&amp;t_v_unit=us_ft", "NAVD88 to MLLW")</f>
        <v>0</v>
      </c>
      <c r="AZ516" s="2">
        <f>HYPERLINK("https://vdatum.noaa.gov/vdatumweb/api/convert?s_x=-124.498&amp;s_y=42.73897&amp;s_z=0.0&amp;region=westcoast&amp;s_h_frame=NAD83_2011&amp;s_coor=geo&amp;s_v_frame=NAVD88&amp;s_v_unit=us_ft&amp;t_h_frame=IGS14&amp;t_coor=geo&amp;t_v_frame=MHHW&amp;t_v_unit=us_ft", "NAVD88 to MHHW")</f>
        <v>0</v>
      </c>
    </row>
    <row r="517" spans="1:52">
      <c r="A517" s="1" t="s">
        <v>541</v>
      </c>
      <c r="B517" s="1" t="s">
        <v>639</v>
      </c>
      <c r="D517" s="1" t="s">
        <v>655</v>
      </c>
      <c r="E517" s="1" t="s">
        <v>810</v>
      </c>
      <c r="F517" s="1" t="s">
        <v>852</v>
      </c>
      <c r="G517" s="1" t="s">
        <v>858</v>
      </c>
      <c r="L517" s="1">
        <v>-124.322</v>
      </c>
      <c r="M517" s="1">
        <v>43.345</v>
      </c>
      <c r="N517" s="1">
        <v>9432780</v>
      </c>
      <c r="O517" s="1" t="s">
        <v>860</v>
      </c>
      <c r="P517" s="1" t="s">
        <v>866</v>
      </c>
      <c r="Q517" s="2">
        <f>HYPERLINK("https://tidesandcurrents.noaa.gov/stationhome.html?id=9432780", "Station Info")</f>
        <v>0</v>
      </c>
      <c r="R517" s="2">
        <f>HYPERLINK("https://tidesandcurrents.noaa.gov/datums.html?datum=MLLW&amp;units=0&amp;epoch=0&amp;id=9432780", "Datum Info")</f>
        <v>0</v>
      </c>
      <c r="S517" s="2">
        <f>HYPERLINK("https://api.tidesandcurrents.noaa.gov/mdapi/prod/webapi/stations/9432780.json", "More Info")</f>
        <v>0</v>
      </c>
      <c r="T517" s="1">
        <v>1376640</v>
      </c>
      <c r="U517" s="1">
        <v>0</v>
      </c>
      <c r="V517" s="1" t="s">
        <v>872</v>
      </c>
      <c r="W517" s="1" t="s">
        <v>877</v>
      </c>
      <c r="X517" s="1" t="s">
        <v>886</v>
      </c>
      <c r="Y517" s="1">
        <v>7.62</v>
      </c>
      <c r="Z517" s="1">
        <v>6.96</v>
      </c>
      <c r="AA517" s="1">
        <v>4.11</v>
      </c>
      <c r="AB517" s="1">
        <v>4.08</v>
      </c>
      <c r="AC517" s="1">
        <v>3.81</v>
      </c>
      <c r="AD517" s="1">
        <v>1.27</v>
      </c>
      <c r="AE517" s="1">
        <v>0</v>
      </c>
      <c r="AF517" s="1">
        <v>0.5</v>
      </c>
      <c r="AG517" s="1">
        <v>-3.76</v>
      </c>
      <c r="AH517" s="1" t="s">
        <v>1298</v>
      </c>
      <c r="AI517" s="1" t="s">
        <v>1550</v>
      </c>
      <c r="AJ517" s="1">
        <v>0.417</v>
      </c>
      <c r="AK517" s="1">
        <v>-7.201</v>
      </c>
      <c r="AY517" s="2">
        <f>HYPERLINK("https://vdatum.noaa.gov/vdatumweb/api/convert?s_x=-124.322&amp;s_y=43.345&amp;s_z=0.0&amp;region=westcoast&amp;s_h_frame=NAD83_2011&amp;s_coor=geo&amp;s_v_frame=NAVD88&amp;s_v_unit=us_ft&amp;t_h_frame=IGS14&amp;t_coor=geo&amp;t_v_frame=MLLW&amp;t_v_unit=us_ft", "NAVD88 to MLLW")</f>
        <v>0</v>
      </c>
      <c r="AZ517" s="2">
        <f>HYPERLINK("https://vdatum.noaa.gov/vdatumweb/api/convert?s_x=-124.322&amp;s_y=43.345&amp;s_z=0.0&amp;region=westcoast&amp;s_h_frame=NAD83_2011&amp;s_coor=geo&amp;s_v_frame=NAVD88&amp;s_v_unit=us_ft&amp;t_h_frame=IGS14&amp;t_coor=geo&amp;t_v_frame=MHHW&amp;t_v_unit=us_ft", "NAVD88 to MHHW")</f>
        <v>0</v>
      </c>
    </row>
    <row r="518" spans="1:52">
      <c r="A518" s="1" t="s">
        <v>542</v>
      </c>
      <c r="B518" s="1" t="s">
        <v>640</v>
      </c>
      <c r="D518" s="1" t="s">
        <v>655</v>
      </c>
      <c r="E518" s="1" t="s">
        <v>811</v>
      </c>
      <c r="F518" s="1" t="s">
        <v>851</v>
      </c>
      <c r="G518" s="1" t="s">
        <v>858</v>
      </c>
      <c r="L518" s="1">
        <v>-121.482</v>
      </c>
      <c r="M518" s="1">
        <v>35.94953</v>
      </c>
      <c r="N518" s="1">
        <v>9412802</v>
      </c>
      <c r="O518" s="1" t="s">
        <v>861</v>
      </c>
      <c r="P518" s="1" t="s">
        <v>866</v>
      </c>
      <c r="Q518" s="2">
        <f>HYPERLINK("https://tidesandcurrents.noaa.gov/stationhome.html?id=9412802", "Station Info")</f>
        <v>0</v>
      </c>
      <c r="R518" s="2">
        <f>HYPERLINK("https://tidesandcurrents.noaa.gov/datums.html?datum=MLLW&amp;units=0&amp;epoch=0&amp;id=9412802", "Datum Info")</f>
        <v>0</v>
      </c>
      <c r="S518" s="2">
        <f>HYPERLINK("https://api.tidesandcurrents.noaa.gov/mdapi/prod/webapi/stations/9412802.json", "More Info")</f>
        <v>0</v>
      </c>
      <c r="T518" s="1">
        <v>600766</v>
      </c>
      <c r="U518" s="1">
        <v>0</v>
      </c>
      <c r="V518" s="1" t="s">
        <v>872</v>
      </c>
      <c r="W518" s="1" t="s">
        <v>877</v>
      </c>
      <c r="X518" s="1" t="s">
        <v>886</v>
      </c>
      <c r="Y518" s="1">
        <v>5.24</v>
      </c>
      <c r="Z518" s="1">
        <v>4.53</v>
      </c>
      <c r="AA518" s="1">
        <v>2.78</v>
      </c>
      <c r="AB518" s="1">
        <v>2.74</v>
      </c>
      <c r="AC518" s="1">
        <v>2.62</v>
      </c>
      <c r="AD518" s="1">
        <v>1.03</v>
      </c>
      <c r="AE518" s="1">
        <v>0</v>
      </c>
      <c r="AF518" s="1">
        <v>0</v>
      </c>
      <c r="AG518" s="1">
        <v>-25.35</v>
      </c>
      <c r="AH518" s="1" t="s">
        <v>1299</v>
      </c>
      <c r="AI518" s="1" t="s">
        <v>1551</v>
      </c>
      <c r="AJ518" s="1">
        <v>-0.013</v>
      </c>
      <c r="AK518" s="1">
        <v>-5.249</v>
      </c>
      <c r="AY518" s="2">
        <f>HYPERLINK("https://vdatum.noaa.gov/vdatumweb/api/convert?s_x=-121.482&amp;s_y=35.94953&amp;s_z=0.0&amp;region=westcoast&amp;s_h_frame=NAD83_2011&amp;s_coor=geo&amp;s_v_frame=NAVD88&amp;s_v_unit=us_ft&amp;t_h_frame=IGS14&amp;t_coor=geo&amp;t_v_frame=MLLW&amp;t_v_unit=us_ft", "NAVD88 to MLLW")</f>
        <v>0</v>
      </c>
      <c r="AZ518" s="2">
        <f>HYPERLINK("https://vdatum.noaa.gov/vdatumweb/api/convert?s_x=-121.482&amp;s_y=35.94953&amp;s_z=0.0&amp;region=westcoast&amp;s_h_frame=NAD83_2011&amp;s_coor=geo&amp;s_v_frame=NAVD88&amp;s_v_unit=us_ft&amp;t_h_frame=IGS14&amp;t_coor=geo&amp;t_v_frame=MHHW&amp;t_v_unit=us_ft", "NAVD88 to MHHW")</f>
        <v>0</v>
      </c>
    </row>
    <row r="519" spans="1:52">
      <c r="A519" s="1" t="s">
        <v>543</v>
      </c>
      <c r="B519" s="1" t="s">
        <v>640</v>
      </c>
      <c r="D519" s="1" t="s">
        <v>655</v>
      </c>
      <c r="L519" s="1">
        <v>-121.888</v>
      </c>
      <c r="M519" s="1">
        <v>36.605</v>
      </c>
      <c r="N519" s="1">
        <v>9413450</v>
      </c>
      <c r="O519" s="1" t="s">
        <v>861</v>
      </c>
      <c r="P519" s="1" t="s">
        <v>866</v>
      </c>
      <c r="Q519" s="2">
        <f>HYPERLINK("https://tidesandcurrents.noaa.gov/stationhome.html?id=9413450", "Station Info")</f>
        <v>0</v>
      </c>
      <c r="R519" s="2">
        <f>HYPERLINK("https://tidesandcurrents.noaa.gov/datums.html?datum=MLLW&amp;units=0&amp;epoch=0&amp;id=9413450", "Datum Info")</f>
        <v>0</v>
      </c>
      <c r="S519" s="2">
        <f>HYPERLINK("https://api.tidesandcurrents.noaa.gov/mdapi/prod/webapi/stations/9413450.json", "More Info")</f>
        <v>0</v>
      </c>
      <c r="T519" s="1">
        <v>1129932</v>
      </c>
      <c r="U519" s="1">
        <v>0</v>
      </c>
      <c r="V519" s="1" t="s">
        <v>872</v>
      </c>
      <c r="W519" s="1" t="s">
        <v>877</v>
      </c>
      <c r="X519" s="1" t="s">
        <v>886</v>
      </c>
      <c r="Y519" s="1">
        <v>5.34</v>
      </c>
      <c r="Z519" s="1">
        <v>4.64</v>
      </c>
      <c r="AA519" s="1">
        <v>2.87</v>
      </c>
      <c r="AB519" s="1">
        <v>2.83</v>
      </c>
      <c r="AC519" s="1">
        <v>2.67</v>
      </c>
      <c r="AD519" s="1">
        <v>1.09</v>
      </c>
      <c r="AE519" s="1">
        <v>0</v>
      </c>
      <c r="AF519" s="1">
        <v>-0.14</v>
      </c>
      <c r="AG519" s="1">
        <v>-3.38</v>
      </c>
      <c r="AH519" s="1" t="s">
        <v>1300</v>
      </c>
      <c r="AI519" s="1" t="s">
        <v>1552</v>
      </c>
      <c r="AJ519" s="1">
        <v>-0.161</v>
      </c>
      <c r="AK519" s="1">
        <v>-5.495</v>
      </c>
      <c r="AY519" s="2">
        <f>HYPERLINK("https://vdatum.noaa.gov/vdatumweb/api/convert?s_x=-121.888&amp;s_y=36.605&amp;s_z=0.0&amp;region=westcoast&amp;s_h_frame=NAD83_2011&amp;s_coor=geo&amp;s_v_frame=NAVD88&amp;s_v_unit=us_ft&amp;t_h_frame=IGS14&amp;t_coor=geo&amp;t_v_frame=MLLW&amp;t_v_unit=us_ft", "NAVD88 to MLLW")</f>
        <v>0</v>
      </c>
      <c r="AZ519" s="2">
        <f>HYPERLINK("https://vdatum.noaa.gov/vdatumweb/api/convert?s_x=-121.888&amp;s_y=36.605&amp;s_z=0.0&amp;region=westcoast&amp;s_h_frame=NAD83_2011&amp;s_coor=geo&amp;s_v_frame=NAVD88&amp;s_v_unit=us_ft&amp;t_h_frame=IGS14&amp;t_coor=geo&amp;t_v_frame=MHHW&amp;t_v_unit=us_ft", "NAVD88 to MHHW")</f>
        <v>0</v>
      </c>
    </row>
    <row r="520" spans="1:52">
      <c r="A520" s="1" t="s">
        <v>544</v>
      </c>
      <c r="B520" s="1" t="s">
        <v>640</v>
      </c>
      <c r="C520" s="1" t="s">
        <v>650</v>
      </c>
      <c r="D520" s="1" t="s">
        <v>655</v>
      </c>
      <c r="L520" s="1">
        <v>-122.01666</v>
      </c>
      <c r="M520" s="1">
        <v>36.958333</v>
      </c>
      <c r="N520" s="1">
        <v>9413745</v>
      </c>
      <c r="O520" s="1" t="s">
        <v>861</v>
      </c>
      <c r="P520" s="1" t="s">
        <v>866</v>
      </c>
      <c r="Q520" s="2">
        <f>HYPERLINK("https://tidesandcurrents.noaa.gov/stationhome.html?id=9413745", "Station Info")</f>
        <v>0</v>
      </c>
      <c r="R520" s="2">
        <f>HYPERLINK("https://tidesandcurrents.noaa.gov/datums.html?datum=MLLW&amp;units=0&amp;epoch=0&amp;id=9413745", "Datum Info")</f>
        <v>0</v>
      </c>
      <c r="S520" s="2">
        <f>HYPERLINK("https://api.tidesandcurrents.noaa.gov/mdapi/prod/webapi/stations/9413745.json", "More Info")</f>
        <v>0</v>
      </c>
      <c r="T520" s="1">
        <v>1503105</v>
      </c>
      <c r="U520" s="1">
        <v>0</v>
      </c>
      <c r="V520" s="1" t="s">
        <v>872</v>
      </c>
      <c r="W520" s="1" t="s">
        <v>877</v>
      </c>
      <c r="AJ520" s="1">
        <v>-0.249</v>
      </c>
      <c r="AK520" s="1">
        <v>-5.522</v>
      </c>
      <c r="AY520" s="2">
        <f>HYPERLINK("https://vdatum.noaa.gov/vdatumweb/api/convert?s_x=-122.01666&amp;s_y=36.958333&amp;s_z=0.0&amp;region=westcoast&amp;s_h_frame=NAD83_2011&amp;s_coor=geo&amp;s_v_frame=NAVD88&amp;s_v_unit=us_ft&amp;t_h_frame=IGS14&amp;t_coor=geo&amp;t_v_frame=MLLW&amp;t_v_unit=us_ft", "NAVD88 to MLLW")</f>
        <v>0</v>
      </c>
      <c r="AZ520" s="2">
        <f>HYPERLINK("https://vdatum.noaa.gov/vdatumweb/api/convert?s_x=-122.01666&amp;s_y=36.958333&amp;s_z=0.0&amp;region=westcoast&amp;s_h_frame=NAD83_2011&amp;s_coor=geo&amp;s_v_frame=NAVD88&amp;s_v_unit=us_ft&amp;t_h_frame=IGS14&amp;t_coor=geo&amp;t_v_frame=MHHW&amp;t_v_unit=us_ft", "NAVD88 to MHHW")</f>
        <v>0</v>
      </c>
    </row>
    <row r="521" spans="1:52">
      <c r="A521" s="1" t="s">
        <v>545</v>
      </c>
      <c r="B521" s="1" t="s">
        <v>640</v>
      </c>
      <c r="D521" s="1" t="s">
        <v>655</v>
      </c>
      <c r="L521" s="1">
        <v>-122.482</v>
      </c>
      <c r="M521" s="1">
        <v>37.5025</v>
      </c>
      <c r="N521" s="1">
        <v>9414131</v>
      </c>
      <c r="O521" s="1" t="s">
        <v>861</v>
      </c>
      <c r="P521" s="1" t="s">
        <v>866</v>
      </c>
      <c r="Q521" s="2">
        <f>HYPERLINK("https://tidesandcurrents.noaa.gov/stationhome.html?id=9414131", "Station Info")</f>
        <v>0</v>
      </c>
      <c r="R521" s="2">
        <f>HYPERLINK("https://tidesandcurrents.noaa.gov/datums.html?datum=MLLW&amp;units=0&amp;epoch=0&amp;id=9414131", "Datum Info")</f>
        <v>0</v>
      </c>
      <c r="S521" s="2">
        <f>HYPERLINK("https://api.tidesandcurrents.noaa.gov/mdapi/prod/webapi/stations/9414131.json", "More Info")</f>
        <v>0</v>
      </c>
      <c r="T521" s="1">
        <v>1236851</v>
      </c>
      <c r="U521" s="1">
        <v>0</v>
      </c>
      <c r="V521" s="1" t="s">
        <v>872</v>
      </c>
      <c r="W521" s="1" t="s">
        <v>877</v>
      </c>
      <c r="X521" s="1" t="s">
        <v>886</v>
      </c>
      <c r="Y521" s="1">
        <v>5.6</v>
      </c>
      <c r="Z521" s="1">
        <v>4.95</v>
      </c>
      <c r="AA521" s="1">
        <v>3.03</v>
      </c>
      <c r="AB521" s="1">
        <v>2.99</v>
      </c>
      <c r="AC521" s="1">
        <v>2.8</v>
      </c>
      <c r="AD521" s="1">
        <v>1.11</v>
      </c>
      <c r="AE521" s="1">
        <v>0</v>
      </c>
      <c r="AF521" s="1">
        <v>-0.04</v>
      </c>
      <c r="AG521" s="1">
        <v>-0.04</v>
      </c>
      <c r="AH521" s="1" t="s">
        <v>1301</v>
      </c>
      <c r="AI521" s="1" t="s">
        <v>1553</v>
      </c>
      <c r="AJ521" s="1">
        <v>-0.19</v>
      </c>
      <c r="AK521" s="1">
        <v>-5.771</v>
      </c>
      <c r="AY521" s="2">
        <f>HYPERLINK("https://vdatum.noaa.gov/vdatumweb/api/convert?s_x=-122.482&amp;s_y=37.5025&amp;s_z=0.0&amp;region=westcoast&amp;s_h_frame=NAD83_2011&amp;s_coor=geo&amp;s_v_frame=NAVD88&amp;s_v_unit=us_ft&amp;t_h_frame=IGS14&amp;t_coor=geo&amp;t_v_frame=MLLW&amp;t_v_unit=us_ft", "NAVD88 to MLLW")</f>
        <v>0</v>
      </c>
      <c r="AZ521" s="2">
        <f>HYPERLINK("https://vdatum.noaa.gov/vdatumweb/api/convert?s_x=-122.482&amp;s_y=37.5025&amp;s_z=0.0&amp;region=westcoast&amp;s_h_frame=NAD83_2011&amp;s_coor=geo&amp;s_v_frame=NAVD88&amp;s_v_unit=us_ft&amp;t_h_frame=IGS14&amp;t_coor=geo&amp;t_v_frame=MHHW&amp;t_v_unit=us_ft", "NAVD88 to MHHW")</f>
        <v>0</v>
      </c>
    </row>
    <row r="522" spans="1:52">
      <c r="A522" s="1" t="s">
        <v>546</v>
      </c>
      <c r="B522" s="1" t="s">
        <v>640</v>
      </c>
      <c r="D522" s="1" t="s">
        <v>655</v>
      </c>
      <c r="L522" s="1">
        <v>-122.466</v>
      </c>
      <c r="M522" s="1">
        <v>37.80631</v>
      </c>
      <c r="N522" s="1">
        <v>9414290</v>
      </c>
      <c r="O522" s="1" t="s">
        <v>860</v>
      </c>
      <c r="P522" s="1" t="s">
        <v>866</v>
      </c>
      <c r="Q522" s="2">
        <f>HYPERLINK("https://tidesandcurrents.noaa.gov/stationhome.html?id=9414290", "Station Info")</f>
        <v>0</v>
      </c>
      <c r="R522" s="2">
        <f>HYPERLINK("https://tidesandcurrents.noaa.gov/datums.html?datum=MLLW&amp;units=0&amp;epoch=0&amp;id=9414290", "Datum Info")</f>
        <v>0</v>
      </c>
      <c r="S522" s="2">
        <f>HYPERLINK("https://api.tidesandcurrents.noaa.gov/mdapi/prod/webapi/stations/9414290.json", "More Info")</f>
        <v>0</v>
      </c>
      <c r="T522" s="1">
        <v>593878</v>
      </c>
      <c r="U522" s="1">
        <v>0</v>
      </c>
      <c r="V522" s="1" t="s">
        <v>872</v>
      </c>
      <c r="W522" s="1" t="s">
        <v>877</v>
      </c>
      <c r="X522" s="1" t="s">
        <v>886</v>
      </c>
      <c r="Y522" s="1">
        <v>5.84</v>
      </c>
      <c r="Z522" s="1">
        <v>5.23</v>
      </c>
      <c r="AA522" s="1">
        <v>3.18</v>
      </c>
      <c r="AB522" s="1">
        <v>3.12</v>
      </c>
      <c r="AC522" s="1">
        <v>2.92</v>
      </c>
      <c r="AD522" s="1">
        <v>1.13</v>
      </c>
      <c r="AE522" s="1">
        <v>0</v>
      </c>
      <c r="AF522" s="1">
        <v>-0.06</v>
      </c>
      <c r="AG522" s="1">
        <v>-5.98</v>
      </c>
      <c r="AH522" s="1" t="s">
        <v>1302</v>
      </c>
      <c r="AI522" s="1" t="s">
        <v>1554</v>
      </c>
      <c r="AJ522" s="1">
        <v>-0.056</v>
      </c>
      <c r="AK522" s="1">
        <v>-5.899</v>
      </c>
      <c r="AY522" s="2">
        <f>HYPERLINK("https://vdatum.noaa.gov/vdatumweb/api/convert?s_x=-122.466&amp;s_y=37.80631&amp;s_z=0.0&amp;region=westcoast&amp;s_h_frame=NAD83_2011&amp;s_coor=geo&amp;s_v_frame=NAVD88&amp;s_v_unit=us_ft&amp;t_h_frame=IGS14&amp;t_coor=geo&amp;t_v_frame=MLLW&amp;t_v_unit=us_ft", "NAVD88 to MLLW")</f>
        <v>0</v>
      </c>
      <c r="AZ522" s="2">
        <f>HYPERLINK("https://vdatum.noaa.gov/vdatumweb/api/convert?s_x=-122.466&amp;s_y=37.80631&amp;s_z=0.0&amp;region=westcoast&amp;s_h_frame=NAD83_2011&amp;s_coor=geo&amp;s_v_frame=NAVD88&amp;s_v_unit=us_ft&amp;t_h_frame=IGS14&amp;t_coor=geo&amp;t_v_frame=MHHW&amp;t_v_unit=us_ft", "NAVD88 to MHHW")</f>
        <v>0</v>
      </c>
    </row>
    <row r="523" spans="1:52">
      <c r="A523" s="1" t="s">
        <v>547</v>
      </c>
      <c r="B523" s="1" t="s">
        <v>640</v>
      </c>
      <c r="D523" s="1" t="s">
        <v>655</v>
      </c>
      <c r="L523" s="1">
        <v>-122.39277</v>
      </c>
      <c r="M523" s="1">
        <v>37.79777</v>
      </c>
      <c r="N523" s="1">
        <v>9414311</v>
      </c>
      <c r="O523" s="1" t="s">
        <v>861</v>
      </c>
      <c r="P523" s="1" t="s">
        <v>866</v>
      </c>
      <c r="Q523" s="2">
        <f>HYPERLINK("https://tidesandcurrents.noaa.gov/stationhome.html?id=9414311", "Station Info")</f>
        <v>0</v>
      </c>
      <c r="R523" s="2">
        <f>HYPERLINK("https://tidesandcurrents.noaa.gov/datums.html?datum=MLLW&amp;units=0&amp;epoch=0&amp;id=9414311", "Datum Info")</f>
        <v>0</v>
      </c>
      <c r="S523" s="2">
        <f>HYPERLINK("https://api.tidesandcurrents.noaa.gov/mdapi/prod/webapi/stations/9414311.json", "More Info")</f>
        <v>0</v>
      </c>
      <c r="T523" s="1">
        <v>857816</v>
      </c>
      <c r="U523" s="1">
        <v>0</v>
      </c>
      <c r="V523" s="1" t="s">
        <v>872</v>
      </c>
      <c r="W523" s="1" t="s">
        <v>877</v>
      </c>
      <c r="AJ523" s="1">
        <v>-0.02</v>
      </c>
      <c r="AK523" s="1">
        <v>-6.257</v>
      </c>
      <c r="AY523" s="2">
        <f>HYPERLINK("https://vdatum.noaa.gov/vdatumweb/api/convert?s_x=-122.39277&amp;s_y=37.79777&amp;s_z=0.0&amp;region=westcoast&amp;s_h_frame=NAD83_2011&amp;s_coor=geo&amp;s_v_frame=NAVD88&amp;s_v_unit=us_ft&amp;t_h_frame=IGS14&amp;t_coor=geo&amp;t_v_frame=MLLW&amp;t_v_unit=us_ft", "NAVD88 to MLLW")</f>
        <v>0</v>
      </c>
      <c r="AZ523" s="2">
        <f>HYPERLINK("https://vdatum.noaa.gov/vdatumweb/api/convert?s_x=-122.39277&amp;s_y=37.79777&amp;s_z=0.0&amp;region=westcoast&amp;s_h_frame=NAD83_2011&amp;s_coor=geo&amp;s_v_frame=NAVD88&amp;s_v_unit=us_ft&amp;t_h_frame=IGS14&amp;t_coor=geo&amp;t_v_frame=MHHW&amp;t_v_unit=us_ft", "NAVD88 to MHHW")</f>
        <v>0</v>
      </c>
    </row>
    <row r="524" spans="1:52">
      <c r="A524" s="1" t="s">
        <v>548</v>
      </c>
      <c r="B524" s="1" t="s">
        <v>640</v>
      </c>
      <c r="D524" s="1" t="s">
        <v>655</v>
      </c>
      <c r="L524" s="1">
        <v>-122.115</v>
      </c>
      <c r="M524" s="1">
        <v>37.5067</v>
      </c>
      <c r="N524" s="1">
        <v>9414509</v>
      </c>
      <c r="O524" s="1" t="s">
        <v>861</v>
      </c>
      <c r="P524" s="1" t="s">
        <v>866</v>
      </c>
      <c r="Q524" s="2">
        <f>HYPERLINK("https://tidesandcurrents.noaa.gov/stationhome.html?id=9414509", "Station Info")</f>
        <v>0</v>
      </c>
      <c r="R524" s="2">
        <f>HYPERLINK("https://tidesandcurrents.noaa.gov/datums.html?datum=MLLW&amp;units=0&amp;epoch=0&amp;id=9414509", "Datum Info")</f>
        <v>0</v>
      </c>
      <c r="S524" s="2">
        <f>HYPERLINK("https://api.tidesandcurrents.noaa.gov/mdapi/prod/webapi/stations/9414509.json", "More Info")</f>
        <v>0</v>
      </c>
      <c r="T524" s="1">
        <v>2788356</v>
      </c>
      <c r="U524" s="1">
        <v>0</v>
      </c>
      <c r="V524" s="1" t="s">
        <v>872</v>
      </c>
      <c r="W524" s="1" t="s">
        <v>877</v>
      </c>
      <c r="X524" s="1" t="s">
        <v>886</v>
      </c>
      <c r="Y524" s="1">
        <v>8.609999999999999</v>
      </c>
      <c r="Z524" s="1">
        <v>8</v>
      </c>
      <c r="AA524" s="1">
        <v>4.63</v>
      </c>
      <c r="AB524" s="1">
        <v>4.68</v>
      </c>
      <c r="AC524" s="1">
        <v>4.31</v>
      </c>
      <c r="AD524" s="1">
        <v>1.26</v>
      </c>
      <c r="AE524" s="1">
        <v>0</v>
      </c>
      <c r="AF524" s="1" t="s">
        <v>1053</v>
      </c>
      <c r="AG524" s="1">
        <v>-12</v>
      </c>
      <c r="AH524" s="1" t="s">
        <v>1303</v>
      </c>
      <c r="AI524" s="1" t="s">
        <v>1555</v>
      </c>
      <c r="AJ524" s="1">
        <v>1.322</v>
      </c>
      <c r="AK524" s="1">
        <v>-7.247</v>
      </c>
      <c r="AY524" s="2">
        <f>HYPERLINK("https://vdatum.noaa.gov/vdatumweb/api/convert?s_x=-122.115&amp;s_y=37.5067&amp;s_z=0.0&amp;region=westcoast&amp;s_h_frame=NAD83_2011&amp;s_coor=geo&amp;s_v_frame=NAVD88&amp;s_v_unit=us_ft&amp;t_h_frame=IGS14&amp;t_coor=geo&amp;t_v_frame=MLLW&amp;t_v_unit=us_ft", "NAVD88 to MLLW")</f>
        <v>0</v>
      </c>
      <c r="AZ524" s="2">
        <f>HYPERLINK("https://vdatum.noaa.gov/vdatumweb/api/convert?s_x=-122.115&amp;s_y=37.5067&amp;s_z=0.0&amp;region=westcoast&amp;s_h_frame=NAD83_2011&amp;s_coor=geo&amp;s_v_frame=NAVD88&amp;s_v_unit=us_ft&amp;t_h_frame=IGS14&amp;t_coor=geo&amp;t_v_frame=MHHW&amp;t_v_unit=us_ft", "NAVD88 to MHHW")</f>
        <v>0</v>
      </c>
    </row>
    <row r="525" spans="1:52">
      <c r="A525" s="1" t="s">
        <v>549</v>
      </c>
      <c r="B525" s="1" t="s">
        <v>640</v>
      </c>
      <c r="C525" s="1" t="s">
        <v>650</v>
      </c>
      <c r="D525" s="1" t="s">
        <v>655</v>
      </c>
      <c r="E525" s="1" t="s">
        <v>812</v>
      </c>
      <c r="F525" s="1" t="s">
        <v>851</v>
      </c>
      <c r="G525" s="1" t="s">
        <v>858</v>
      </c>
      <c r="L525" s="1">
        <v>-122.21</v>
      </c>
      <c r="M525" s="1">
        <v>37.5067</v>
      </c>
      <c r="N525" s="1">
        <v>9414523</v>
      </c>
      <c r="O525" s="1" t="s">
        <v>860</v>
      </c>
      <c r="P525" s="1" t="s">
        <v>866</v>
      </c>
      <c r="Q525" s="2">
        <f>HYPERLINK("https://tidesandcurrents.noaa.gov/stationhome.html?id=9414523", "Station Info")</f>
        <v>0</v>
      </c>
      <c r="R525" s="2">
        <f>HYPERLINK("https://tidesandcurrents.noaa.gov/datums.html?datum=MLLW&amp;units=0&amp;epoch=0&amp;id=9414523", "Datum Info")</f>
        <v>0</v>
      </c>
      <c r="S525" s="2">
        <f>HYPERLINK("https://api.tidesandcurrents.noaa.gov/mdapi/prod/webapi/stations/9414523.json", "More Info")</f>
        <v>0</v>
      </c>
      <c r="T525" s="1">
        <v>2408462</v>
      </c>
      <c r="U525" s="1">
        <v>0</v>
      </c>
      <c r="V525" s="1" t="s">
        <v>872</v>
      </c>
      <c r="W525" s="1" t="s">
        <v>877</v>
      </c>
      <c r="X525" s="1" t="s">
        <v>886</v>
      </c>
      <c r="Y525" s="1">
        <v>8.199999999999999</v>
      </c>
      <c r="Z525" s="1">
        <v>7.57</v>
      </c>
      <c r="AA525" s="1">
        <v>4.38</v>
      </c>
      <c r="AB525" s="1">
        <v>4.4</v>
      </c>
      <c r="AC525" s="1">
        <v>4.1</v>
      </c>
      <c r="AD525" s="1">
        <v>1.2</v>
      </c>
      <c r="AE525" s="1">
        <v>0</v>
      </c>
      <c r="AF525" s="1">
        <v>1.18</v>
      </c>
      <c r="AG525" s="1">
        <v>-6.74</v>
      </c>
      <c r="AH525" s="1" t="s">
        <v>1304</v>
      </c>
      <c r="AI525" s="1" t="s">
        <v>1556</v>
      </c>
      <c r="AJ525" s="1">
        <v>1.102</v>
      </c>
      <c r="AK525" s="1">
        <v>-7.103</v>
      </c>
      <c r="AY525" s="2">
        <f>HYPERLINK("https://vdatum.noaa.gov/vdatumweb/api/convert?s_x=-122.21&amp;s_y=37.5067&amp;s_z=0.0&amp;region=westcoast&amp;s_h_frame=NAD83_2011&amp;s_coor=geo&amp;s_v_frame=NAVD88&amp;s_v_unit=us_ft&amp;t_h_frame=IGS14&amp;t_coor=geo&amp;t_v_frame=MLLW&amp;t_v_unit=us_ft", "NAVD88 to MLLW")</f>
        <v>0</v>
      </c>
      <c r="AZ525" s="2">
        <f>HYPERLINK("https://vdatum.noaa.gov/vdatumweb/api/convert?s_x=-122.21&amp;s_y=37.5067&amp;s_z=0.0&amp;region=westcoast&amp;s_h_frame=NAD83_2011&amp;s_coor=geo&amp;s_v_frame=NAVD88&amp;s_v_unit=us_ft&amp;t_h_frame=IGS14&amp;t_coor=geo&amp;t_v_frame=MHHW&amp;t_v_unit=us_ft", "NAVD88 to MHHW")</f>
        <v>0</v>
      </c>
    </row>
    <row r="526" spans="1:52">
      <c r="A526" s="1" t="s">
        <v>550</v>
      </c>
      <c r="B526" s="1" t="s">
        <v>640</v>
      </c>
      <c r="C526" s="1" t="s">
        <v>650</v>
      </c>
      <c r="D526" s="1" t="s">
        <v>655</v>
      </c>
      <c r="E526" s="1" t="s">
        <v>813</v>
      </c>
      <c r="F526" s="1" t="s">
        <v>851</v>
      </c>
      <c r="G526" s="1" t="s">
        <v>858</v>
      </c>
      <c r="H526" s="1" t="s">
        <v>1855</v>
      </c>
      <c r="I526" s="1" t="s">
        <v>1861</v>
      </c>
      <c r="J526" s="1" t="s">
        <v>2026</v>
      </c>
      <c r="K526" s="1" t="s">
        <v>2169</v>
      </c>
      <c r="L526" s="1">
        <v>-122.023</v>
      </c>
      <c r="M526" s="1">
        <v>37.465</v>
      </c>
      <c r="N526" s="1">
        <v>9414575</v>
      </c>
      <c r="O526" s="1" t="s">
        <v>861</v>
      </c>
      <c r="P526" s="1" t="s">
        <v>866</v>
      </c>
      <c r="Q526" s="2">
        <f>HYPERLINK("https://tidesandcurrents.noaa.gov/stationhome.html?id=9414575", "Station Info")</f>
        <v>0</v>
      </c>
      <c r="R526" s="2">
        <f>HYPERLINK("https://tidesandcurrents.noaa.gov/datums.html?datum=MLLW&amp;units=0&amp;epoch=0&amp;id=9414575", "Datum Info")</f>
        <v>0</v>
      </c>
      <c r="S526" s="2">
        <f>HYPERLINK("https://api.tidesandcurrents.noaa.gov/mdapi/prod/webapi/stations/9414575.json", "More Info")</f>
        <v>0</v>
      </c>
      <c r="T526" s="1">
        <v>2915210</v>
      </c>
      <c r="U526" s="1">
        <v>0</v>
      </c>
      <c r="V526" s="1" t="s">
        <v>872</v>
      </c>
      <c r="W526" s="1" t="s">
        <v>877</v>
      </c>
      <c r="X526" s="1" t="s">
        <v>886</v>
      </c>
      <c r="Y526" s="1">
        <v>8.85</v>
      </c>
      <c r="Z526" s="1">
        <v>8.26</v>
      </c>
      <c r="AA526" s="1">
        <v>4.72</v>
      </c>
      <c r="AB526" s="1">
        <v>4.87</v>
      </c>
      <c r="AC526" s="1">
        <v>4.43</v>
      </c>
      <c r="AD526" s="1">
        <v>1.18</v>
      </c>
      <c r="AE526" s="1">
        <v>0</v>
      </c>
      <c r="AF526" s="1" t="s">
        <v>1054</v>
      </c>
      <c r="AG526" s="1">
        <v>0.27</v>
      </c>
      <c r="AH526" s="1" t="s">
        <v>1305</v>
      </c>
      <c r="AI526" s="1" t="s">
        <v>1557</v>
      </c>
      <c r="AJ526" s="1">
        <v>1.736</v>
      </c>
      <c r="AK526" s="1">
        <v>-7.238</v>
      </c>
      <c r="AS526" s="1">
        <v>0</v>
      </c>
      <c r="AT526" s="1">
        <v>0</v>
      </c>
      <c r="AU526" s="1">
        <v>0</v>
      </c>
      <c r="AV526" s="1">
        <v>0</v>
      </c>
      <c r="AW526" s="1" t="s">
        <v>1744</v>
      </c>
      <c r="AX526" s="2">
        <f>HYPERLINK("https://water.weather.gov/ahps2/hydrograph.php?wfo=mtr&amp;gage=ryac1", "AHPS Data")</f>
        <v>0</v>
      </c>
      <c r="AY526" s="2">
        <f>HYPERLINK("https://vdatum.noaa.gov/vdatumweb/api/convert?s_x=-122.023&amp;s_y=37.465&amp;s_z=0.0&amp;region=westcoast&amp;s_h_frame=NAD83_2011&amp;s_coor=geo&amp;s_v_frame=NAVD88&amp;s_v_unit=us_ft&amp;t_h_frame=IGS14&amp;t_coor=geo&amp;t_v_frame=MLLW&amp;t_v_unit=us_ft", "NAVD88 to MLLW")</f>
        <v>0</v>
      </c>
      <c r="AZ526" s="2">
        <f>HYPERLINK("https://vdatum.noaa.gov/vdatumweb/api/convert?s_x=-122.023&amp;s_y=37.465&amp;s_z=0.0&amp;region=westcoast&amp;s_h_frame=NAD83_2011&amp;s_coor=geo&amp;s_v_frame=NAVD88&amp;s_v_unit=us_ft&amp;t_h_frame=IGS14&amp;t_coor=geo&amp;t_v_frame=MHHW&amp;t_v_unit=us_ft", "NAVD88 to MHHW")</f>
        <v>0</v>
      </c>
    </row>
    <row r="527" spans="1:52">
      <c r="A527" s="1" t="s">
        <v>551</v>
      </c>
      <c r="B527" s="1" t="s">
        <v>640</v>
      </c>
      <c r="D527" s="1" t="s">
        <v>655</v>
      </c>
      <c r="E527" s="1" t="s">
        <v>814</v>
      </c>
      <c r="F527" s="1" t="s">
        <v>851</v>
      </c>
      <c r="G527" s="1" t="s">
        <v>858</v>
      </c>
      <c r="L527" s="1">
        <v>-122.3</v>
      </c>
      <c r="M527" s="1">
        <v>37.7717</v>
      </c>
      <c r="N527" s="1">
        <v>9414750</v>
      </c>
      <c r="O527" s="1" t="s">
        <v>860</v>
      </c>
      <c r="P527" s="1" t="s">
        <v>866</v>
      </c>
      <c r="Q527" s="2">
        <f>HYPERLINK("https://tidesandcurrents.noaa.gov/stationhome.html?id=9414750", "Station Info")</f>
        <v>0</v>
      </c>
      <c r="R527" s="2">
        <f>HYPERLINK("https://tidesandcurrents.noaa.gov/datums.html?datum=MLLW&amp;units=0&amp;epoch=0&amp;id=9414750", "Datum Info")</f>
        <v>0</v>
      </c>
      <c r="S527" s="2">
        <f>HYPERLINK("https://api.tidesandcurrents.noaa.gov/mdapi/prod/webapi/stations/9414750.json", "More Info")</f>
        <v>0</v>
      </c>
      <c r="T527" s="1">
        <v>2609496</v>
      </c>
      <c r="U527" s="1">
        <v>0</v>
      </c>
      <c r="V527" s="1" t="s">
        <v>872</v>
      </c>
      <c r="W527" s="1" t="s">
        <v>877</v>
      </c>
      <c r="X527" s="1" t="s">
        <v>886</v>
      </c>
      <c r="Y527" s="1">
        <v>6.6</v>
      </c>
      <c r="Z527" s="1">
        <v>5.98</v>
      </c>
      <c r="AA527" s="1">
        <v>3.56</v>
      </c>
      <c r="AB527" s="1">
        <v>3.45</v>
      </c>
      <c r="AC527" s="1">
        <v>3.3</v>
      </c>
      <c r="AD527" s="1">
        <v>1.14</v>
      </c>
      <c r="AE527" s="1">
        <v>0</v>
      </c>
      <c r="AF527" s="1">
        <v>0.23</v>
      </c>
      <c r="AG527" s="1">
        <v>-3.33</v>
      </c>
      <c r="AH527" s="1" t="s">
        <v>946</v>
      </c>
      <c r="AI527" s="1" t="s">
        <v>1558</v>
      </c>
      <c r="AJ527" s="1">
        <v>0.118</v>
      </c>
      <c r="AK527" s="1">
        <v>-6.476</v>
      </c>
      <c r="AY527" s="2">
        <f>HYPERLINK("https://vdatum.noaa.gov/vdatumweb/api/convert?s_x=-122.3&amp;s_y=37.7717&amp;s_z=0.0&amp;region=westcoast&amp;s_h_frame=NAD83_2011&amp;s_coor=geo&amp;s_v_frame=NAVD88&amp;s_v_unit=us_ft&amp;t_h_frame=IGS14&amp;t_coor=geo&amp;t_v_frame=MLLW&amp;t_v_unit=us_ft", "NAVD88 to MLLW")</f>
        <v>0</v>
      </c>
      <c r="AZ527" s="2">
        <f>HYPERLINK("https://vdatum.noaa.gov/vdatumweb/api/convert?s_x=-122.3&amp;s_y=37.7717&amp;s_z=0.0&amp;region=westcoast&amp;s_h_frame=NAD83_2011&amp;s_coor=geo&amp;s_v_frame=NAVD88&amp;s_v_unit=us_ft&amp;t_h_frame=IGS14&amp;t_coor=geo&amp;t_v_frame=MHHW&amp;t_v_unit=us_ft", "NAVD88 to MHHW")</f>
        <v>0</v>
      </c>
    </row>
    <row r="528" spans="1:52">
      <c r="A528" s="1" t="s">
        <v>552</v>
      </c>
      <c r="B528" s="1" t="s">
        <v>640</v>
      </c>
      <c r="D528" s="1" t="s">
        <v>655</v>
      </c>
      <c r="L528" s="1">
        <v>-122.282</v>
      </c>
      <c r="M528" s="1">
        <v>37.795</v>
      </c>
      <c r="N528" s="1">
        <v>9414764</v>
      </c>
      <c r="O528" s="1" t="s">
        <v>861</v>
      </c>
      <c r="P528" s="1" t="s">
        <v>866</v>
      </c>
      <c r="Q528" s="2">
        <f>HYPERLINK("https://tidesandcurrents.noaa.gov/stationhome.html?id=9414764", "Station Info")</f>
        <v>0</v>
      </c>
      <c r="R528" s="2">
        <f>HYPERLINK("https://tidesandcurrents.noaa.gov/datums.html?datum=MLLW&amp;units=0&amp;epoch=0&amp;id=9414764", "Datum Info")</f>
        <v>0</v>
      </c>
      <c r="S528" s="2">
        <f>HYPERLINK("https://api.tidesandcurrents.noaa.gov/mdapi/prod/webapi/stations/9414764.json", "More Info")</f>
        <v>0</v>
      </c>
      <c r="T528" s="1">
        <v>1854663</v>
      </c>
      <c r="U528" s="1">
        <v>0</v>
      </c>
      <c r="V528" s="1" t="s">
        <v>872</v>
      </c>
      <c r="W528" s="1" t="s">
        <v>877</v>
      </c>
      <c r="X528" s="1" t="s">
        <v>886</v>
      </c>
      <c r="Y528" s="1">
        <v>6.37</v>
      </c>
      <c r="Z528" s="1">
        <v>5.75</v>
      </c>
      <c r="AA528" s="1">
        <v>3.42</v>
      </c>
      <c r="AB528" s="1">
        <v>3.32</v>
      </c>
      <c r="AC528" s="1">
        <v>3.18</v>
      </c>
      <c r="AD528" s="1">
        <v>1.1</v>
      </c>
      <c r="AE528" s="1">
        <v>0</v>
      </c>
      <c r="AF528" s="1">
        <v>0.12</v>
      </c>
      <c r="AG528" s="1">
        <v>-4.42</v>
      </c>
      <c r="AH528" s="1" t="s">
        <v>1306</v>
      </c>
      <c r="AI528" s="1" t="s">
        <v>1314</v>
      </c>
      <c r="AJ528" s="1">
        <v>-0.033</v>
      </c>
      <c r="AK528" s="1">
        <v>-6.421</v>
      </c>
      <c r="AY528" s="2">
        <f>HYPERLINK("https://vdatum.noaa.gov/vdatumweb/api/convert?s_x=-122.282&amp;s_y=37.795&amp;s_z=0.0&amp;region=westcoast&amp;s_h_frame=NAD83_2011&amp;s_coor=geo&amp;s_v_frame=NAVD88&amp;s_v_unit=us_ft&amp;t_h_frame=IGS14&amp;t_coor=geo&amp;t_v_frame=MLLW&amp;t_v_unit=us_ft", "NAVD88 to MLLW")</f>
        <v>0</v>
      </c>
      <c r="AZ528" s="2">
        <f>HYPERLINK("https://vdatum.noaa.gov/vdatumweb/api/convert?s_x=-122.282&amp;s_y=37.795&amp;s_z=0.0&amp;region=westcoast&amp;s_h_frame=NAD83_2011&amp;s_coor=geo&amp;s_v_frame=NAVD88&amp;s_v_unit=us_ft&amp;t_h_frame=IGS14&amp;t_coor=geo&amp;t_v_frame=MHHW&amp;t_v_unit=us_ft", "NAVD88 to MHHW")</f>
        <v>0</v>
      </c>
    </row>
    <row r="529" spans="1:52">
      <c r="A529" s="1" t="s">
        <v>553</v>
      </c>
      <c r="B529" s="1" t="s">
        <v>640</v>
      </c>
      <c r="C529" s="1" t="s">
        <v>650</v>
      </c>
      <c r="D529" s="1" t="s">
        <v>655</v>
      </c>
      <c r="E529" s="1" t="s">
        <v>814</v>
      </c>
      <c r="F529" s="1" t="s">
        <v>851</v>
      </c>
      <c r="G529" s="1" t="s">
        <v>858</v>
      </c>
      <c r="L529" s="1">
        <v>-122.329722</v>
      </c>
      <c r="M529" s="1">
        <v>37.80055</v>
      </c>
      <c r="N529" s="1">
        <v>9414769</v>
      </c>
      <c r="O529" s="1" t="s">
        <v>861</v>
      </c>
      <c r="P529" s="1" t="s">
        <v>866</v>
      </c>
      <c r="Q529" s="2">
        <f>HYPERLINK("https://tidesandcurrents.noaa.gov/stationhome.html?id=9414769", "Station Info")</f>
        <v>0</v>
      </c>
      <c r="R529" s="2">
        <f>HYPERLINK("https://tidesandcurrents.noaa.gov/datums.html?datum=MLLW&amp;units=0&amp;epoch=0&amp;id=9414769", "Datum Info")</f>
        <v>0</v>
      </c>
      <c r="S529" s="2">
        <f>HYPERLINK("https://api.tidesandcurrents.noaa.gov/mdapi/prod/webapi/stations/9414769.json", "More Info")</f>
        <v>0</v>
      </c>
      <c r="T529" s="1">
        <v>2383387</v>
      </c>
      <c r="U529" s="1">
        <v>0</v>
      </c>
      <c r="V529" s="1" t="s">
        <v>872</v>
      </c>
      <c r="W529" s="1" t="s">
        <v>877</v>
      </c>
      <c r="AJ529" s="1">
        <v>-0.007</v>
      </c>
      <c r="AK529" s="1">
        <v>-6.302</v>
      </c>
      <c r="AY529" s="2">
        <f>HYPERLINK("https://vdatum.noaa.gov/vdatumweb/api/convert?s_x=-122.329722&amp;s_y=37.80055&amp;s_z=0.0&amp;region=westcoast&amp;s_h_frame=NAD83_2011&amp;s_coor=geo&amp;s_v_frame=NAVD88&amp;s_v_unit=us_ft&amp;t_h_frame=IGS14&amp;t_coor=geo&amp;t_v_frame=MLLW&amp;t_v_unit=us_ft", "NAVD88 to MLLW")</f>
        <v>0</v>
      </c>
      <c r="AZ529" s="2">
        <f>HYPERLINK("https://vdatum.noaa.gov/vdatumweb/api/convert?s_x=-122.329722&amp;s_y=37.80055&amp;s_z=0.0&amp;region=westcoast&amp;s_h_frame=NAD83_2011&amp;s_coor=geo&amp;s_v_frame=NAVD88&amp;s_v_unit=us_ft&amp;t_h_frame=IGS14&amp;t_coor=geo&amp;t_v_frame=MHHW&amp;t_v_unit=us_ft", "NAVD88 to MHHW")</f>
        <v>0</v>
      </c>
    </row>
    <row r="530" spans="1:52">
      <c r="A530" s="1" t="s">
        <v>554</v>
      </c>
      <c r="B530" s="1" t="s">
        <v>640</v>
      </c>
      <c r="C530" s="1" t="s">
        <v>650</v>
      </c>
      <c r="D530" s="1" t="s">
        <v>655</v>
      </c>
      <c r="E530" s="1" t="s">
        <v>814</v>
      </c>
      <c r="F530" s="1" t="s">
        <v>851</v>
      </c>
      <c r="G530" s="1" t="s">
        <v>858</v>
      </c>
      <c r="L530" s="1">
        <v>-122.3333</v>
      </c>
      <c r="M530" s="1">
        <v>37.81</v>
      </c>
      <c r="N530" s="1">
        <v>9414776</v>
      </c>
      <c r="O530" s="1" t="s">
        <v>861</v>
      </c>
      <c r="P530" s="1" t="s">
        <v>866</v>
      </c>
      <c r="Q530" s="2">
        <f>HYPERLINK("https://tidesandcurrents.noaa.gov/stationhome.html?id=9414776", "Station Info")</f>
        <v>0</v>
      </c>
      <c r="R530" s="2">
        <f>HYPERLINK("https://tidesandcurrents.noaa.gov/datums.html?datum=MLLW&amp;units=0&amp;epoch=0&amp;id=9414776", "Datum Info")</f>
        <v>0</v>
      </c>
      <c r="S530" s="2">
        <f>HYPERLINK("https://api.tidesandcurrents.noaa.gov/mdapi/prod/webapi/stations/9414776.json", "More Info")</f>
        <v>0</v>
      </c>
      <c r="T530" s="1">
        <v>2457625</v>
      </c>
      <c r="U530" s="1">
        <v>0</v>
      </c>
      <c r="V530" s="1" t="s">
        <v>872</v>
      </c>
      <c r="W530" s="1" t="s">
        <v>877</v>
      </c>
      <c r="AJ530" s="1">
        <v>-0.033</v>
      </c>
      <c r="AK530" s="1">
        <v>-6.227</v>
      </c>
      <c r="AY530" s="2">
        <f>HYPERLINK("https://vdatum.noaa.gov/vdatumweb/api/convert?s_x=-122.3333&amp;s_y=37.81&amp;s_z=0.0&amp;region=westcoast&amp;s_h_frame=NAD83_2011&amp;s_coor=geo&amp;s_v_frame=NAVD88&amp;s_v_unit=us_ft&amp;t_h_frame=IGS14&amp;t_coor=geo&amp;t_v_frame=MLLW&amp;t_v_unit=us_ft", "NAVD88 to MLLW")</f>
        <v>0</v>
      </c>
      <c r="AZ530" s="2">
        <f>HYPERLINK("https://vdatum.noaa.gov/vdatumweb/api/convert?s_x=-122.3333&amp;s_y=37.81&amp;s_z=0.0&amp;region=westcoast&amp;s_h_frame=NAD83_2011&amp;s_coor=geo&amp;s_v_frame=NAVD88&amp;s_v_unit=us_ft&amp;t_h_frame=IGS14&amp;t_coor=geo&amp;t_v_frame=MHHW&amp;t_v_unit=us_ft", "NAVD88 to MHHW")</f>
        <v>0</v>
      </c>
    </row>
    <row r="531" spans="1:52">
      <c r="A531" s="1" t="s">
        <v>555</v>
      </c>
      <c r="B531" s="1" t="s">
        <v>640</v>
      </c>
      <c r="C531" s="1" t="s">
        <v>650</v>
      </c>
      <c r="D531" s="1" t="s">
        <v>655</v>
      </c>
      <c r="L531" s="1">
        <v>-122.365</v>
      </c>
      <c r="M531" s="1">
        <v>37.905</v>
      </c>
      <c r="N531" s="1">
        <v>9414847</v>
      </c>
      <c r="O531" s="1" t="s">
        <v>861</v>
      </c>
      <c r="P531" s="1" t="s">
        <v>866</v>
      </c>
      <c r="Q531" s="2">
        <f>HYPERLINK("https://tidesandcurrents.noaa.gov/stationhome.html?id=9414847", "Station Info")</f>
        <v>0</v>
      </c>
      <c r="R531" s="2">
        <f>HYPERLINK("https://tidesandcurrents.noaa.gov/datums.html?datum=MLLW&amp;units=0&amp;epoch=0&amp;id=9414847", "Datum Info")</f>
        <v>0</v>
      </c>
      <c r="S531" s="2">
        <f>HYPERLINK("https://api.tidesandcurrents.noaa.gov/mdapi/prod/webapi/stations/9414847.json", "More Info")</f>
        <v>0</v>
      </c>
      <c r="T531" s="1">
        <v>2384045</v>
      </c>
      <c r="U531" s="1">
        <v>0</v>
      </c>
      <c r="V531" s="1" t="s">
        <v>872</v>
      </c>
      <c r="W531" s="1" t="s">
        <v>877</v>
      </c>
      <c r="AJ531" s="1">
        <v>-0.06900000000000001</v>
      </c>
      <c r="AK531" s="1">
        <v>-6.102</v>
      </c>
      <c r="AY531" s="2">
        <f>HYPERLINK("https://vdatum.noaa.gov/vdatumweb/api/convert?s_x=-122.365&amp;s_y=37.905&amp;s_z=0.0&amp;region=westcoast&amp;s_h_frame=NAD83_2011&amp;s_coor=geo&amp;s_v_frame=NAVD88&amp;s_v_unit=us_ft&amp;t_h_frame=IGS14&amp;t_coor=geo&amp;t_v_frame=MLLW&amp;t_v_unit=us_ft", "NAVD88 to MLLW")</f>
        <v>0</v>
      </c>
      <c r="AZ531" s="2">
        <f>HYPERLINK("https://vdatum.noaa.gov/vdatumweb/api/convert?s_x=-122.365&amp;s_y=37.905&amp;s_z=0.0&amp;region=westcoast&amp;s_h_frame=NAD83_2011&amp;s_coor=geo&amp;s_v_frame=NAVD88&amp;s_v_unit=us_ft&amp;t_h_frame=IGS14&amp;t_coor=geo&amp;t_v_frame=MHHW&amp;t_v_unit=us_ft", "NAVD88 to MHHW")</f>
        <v>0</v>
      </c>
    </row>
    <row r="532" spans="1:52">
      <c r="A532" s="1" t="s">
        <v>556</v>
      </c>
      <c r="B532" s="1" t="s">
        <v>640</v>
      </c>
      <c r="C532" s="1" t="s">
        <v>650</v>
      </c>
      <c r="D532" s="1" t="s">
        <v>655</v>
      </c>
      <c r="E532" s="1" t="s">
        <v>815</v>
      </c>
      <c r="F532" s="1" t="s">
        <v>851</v>
      </c>
      <c r="G532" s="1" t="s">
        <v>858</v>
      </c>
      <c r="L532" s="1">
        <v>-122.4</v>
      </c>
      <c r="M532" s="1">
        <v>37.93</v>
      </c>
      <c r="N532" s="1">
        <v>9414863</v>
      </c>
      <c r="O532" s="1" t="s">
        <v>860</v>
      </c>
      <c r="P532" s="1" t="s">
        <v>866</v>
      </c>
      <c r="Q532" s="2">
        <f>HYPERLINK("https://tidesandcurrents.noaa.gov/stationhome.html?id=9414863", "Station Info")</f>
        <v>0</v>
      </c>
      <c r="R532" s="2">
        <f>HYPERLINK("https://tidesandcurrents.noaa.gov/datums.html?datum=MLLW&amp;units=0&amp;epoch=0&amp;id=9414863", "Datum Info")</f>
        <v>0</v>
      </c>
      <c r="S532" s="2">
        <f>HYPERLINK("https://api.tidesandcurrents.noaa.gov/mdapi/prod/webapi/stations/9414863.json", "More Info")</f>
        <v>0</v>
      </c>
      <c r="T532" s="1">
        <v>2357068</v>
      </c>
      <c r="U532" s="1">
        <v>0</v>
      </c>
      <c r="V532" s="1" t="s">
        <v>872</v>
      </c>
      <c r="W532" s="1" t="s">
        <v>877</v>
      </c>
      <c r="X532" s="1" t="s">
        <v>886</v>
      </c>
      <c r="Y532" s="1">
        <v>6.04</v>
      </c>
      <c r="Z532" s="1">
        <v>5.43</v>
      </c>
      <c r="AA532" s="1">
        <v>3.28</v>
      </c>
      <c r="AB532" s="1">
        <v>3.25</v>
      </c>
      <c r="AC532" s="1">
        <v>3.02</v>
      </c>
      <c r="AD532" s="1">
        <v>1.12</v>
      </c>
      <c r="AE532" s="1">
        <v>0</v>
      </c>
      <c r="AF532" s="1">
        <v>-0.02</v>
      </c>
      <c r="AG532" s="1">
        <v>-11.59</v>
      </c>
      <c r="AH532" s="1" t="s">
        <v>1302</v>
      </c>
      <c r="AI532" s="1" t="s">
        <v>1559</v>
      </c>
      <c r="AJ532" s="1">
        <v>-0.059</v>
      </c>
      <c r="AK532" s="1">
        <v>-6.129</v>
      </c>
      <c r="AY532" s="2">
        <f>HYPERLINK("https://vdatum.noaa.gov/vdatumweb/api/convert?s_x=-122.4&amp;s_y=37.93&amp;s_z=0.0&amp;region=westcoast&amp;s_h_frame=NAD83_2011&amp;s_coor=geo&amp;s_v_frame=NAVD88&amp;s_v_unit=us_ft&amp;t_h_frame=IGS14&amp;t_coor=geo&amp;t_v_frame=MLLW&amp;t_v_unit=us_ft", "NAVD88 to MLLW")</f>
        <v>0</v>
      </c>
      <c r="AZ532" s="2">
        <f>HYPERLINK("https://vdatum.noaa.gov/vdatumweb/api/convert?s_x=-122.4&amp;s_y=37.93&amp;s_z=0.0&amp;region=westcoast&amp;s_h_frame=NAD83_2011&amp;s_coor=geo&amp;s_v_frame=NAVD88&amp;s_v_unit=us_ft&amp;t_h_frame=IGS14&amp;t_coor=geo&amp;t_v_frame=MHHW&amp;t_v_unit=us_ft", "NAVD88 to MHHW")</f>
        <v>0</v>
      </c>
    </row>
    <row r="533" spans="1:52">
      <c r="A533" s="1" t="s">
        <v>557</v>
      </c>
      <c r="B533" s="1" t="s">
        <v>640</v>
      </c>
      <c r="D533" s="1" t="s">
        <v>655</v>
      </c>
      <c r="L533" s="1">
        <v>-122.41</v>
      </c>
      <c r="M533" s="1">
        <v>37.923</v>
      </c>
      <c r="N533" s="1">
        <v>9414958</v>
      </c>
      <c r="O533" s="1" t="s">
        <v>861</v>
      </c>
      <c r="P533" s="1" t="s">
        <v>866</v>
      </c>
      <c r="Q533" s="2">
        <f>HYPERLINK("https://tidesandcurrents.noaa.gov/stationhome.html?id=9414958", "Station Info")</f>
        <v>0</v>
      </c>
      <c r="R533" s="2">
        <f>HYPERLINK("https://tidesandcurrents.noaa.gov/datums.html?datum=MLLW&amp;units=0&amp;epoch=0&amp;id=9414958", "Datum Info")</f>
        <v>0</v>
      </c>
      <c r="S533" s="2">
        <f>HYPERLINK("https://api.tidesandcurrents.noaa.gov/mdapi/prod/webapi/stations/9414958.json", "More Info")</f>
        <v>0</v>
      </c>
      <c r="T533" s="1">
        <v>2502216</v>
      </c>
      <c r="U533" s="1">
        <v>0</v>
      </c>
      <c r="V533" s="1" t="s">
        <v>872</v>
      </c>
      <c r="W533" s="1" t="s">
        <v>877</v>
      </c>
      <c r="X533" s="1" t="s">
        <v>886</v>
      </c>
      <c r="Y533" s="1">
        <v>4.27</v>
      </c>
      <c r="Z533" s="1">
        <v>3.66</v>
      </c>
      <c r="AA533" s="1">
        <v>2.2</v>
      </c>
      <c r="AB533" s="1">
        <v>2.23</v>
      </c>
      <c r="AC533" s="1">
        <v>2.14</v>
      </c>
      <c r="AD533" s="1">
        <v>0.74</v>
      </c>
      <c r="AE533" s="1">
        <v>0</v>
      </c>
      <c r="AF533" s="1">
        <v>-1.12</v>
      </c>
      <c r="AG533" s="1">
        <v>-2.33</v>
      </c>
      <c r="AH533" s="1" t="s">
        <v>1307</v>
      </c>
      <c r="AI533" s="1" t="s">
        <v>1560</v>
      </c>
      <c r="AJ533" s="1">
        <v>-0.075</v>
      </c>
      <c r="AK533" s="1">
        <v>-6.132</v>
      </c>
      <c r="AY533" s="2">
        <f>HYPERLINK("https://vdatum.noaa.gov/vdatumweb/api/convert?s_x=-122.41&amp;s_y=37.923&amp;s_z=0.0&amp;region=westcoast&amp;s_h_frame=NAD83_2011&amp;s_coor=geo&amp;s_v_frame=NAVD88&amp;s_v_unit=us_ft&amp;t_h_frame=IGS14&amp;t_coor=geo&amp;t_v_frame=MLLW&amp;t_v_unit=us_ft", "NAVD88 to MLLW")</f>
        <v>0</v>
      </c>
      <c r="AZ533" s="2">
        <f>HYPERLINK("https://vdatum.noaa.gov/vdatumweb/api/convert?s_x=-122.41&amp;s_y=37.923&amp;s_z=0.0&amp;region=westcoast&amp;s_h_frame=NAD83_2011&amp;s_coor=geo&amp;s_v_frame=NAVD88&amp;s_v_unit=us_ft&amp;t_h_frame=IGS14&amp;t_coor=geo&amp;t_v_frame=MHHW&amp;t_v_unit=us_ft", "NAVD88 to MHHW")</f>
        <v>0</v>
      </c>
    </row>
    <row r="534" spans="1:52">
      <c r="A534" s="1" t="s">
        <v>558</v>
      </c>
      <c r="B534" s="1" t="s">
        <v>640</v>
      </c>
      <c r="C534" s="1" t="s">
        <v>650</v>
      </c>
      <c r="D534" s="1" t="s">
        <v>655</v>
      </c>
      <c r="E534" s="1" t="s">
        <v>816</v>
      </c>
      <c r="F534" s="1" t="s">
        <v>851</v>
      </c>
      <c r="G534" s="1" t="s">
        <v>858</v>
      </c>
      <c r="L534" s="1">
        <v>-122.974</v>
      </c>
      <c r="M534" s="1">
        <v>37.99417</v>
      </c>
      <c r="N534" s="1">
        <v>9415020</v>
      </c>
      <c r="O534" s="1" t="s">
        <v>860</v>
      </c>
      <c r="P534" s="1" t="s">
        <v>866</v>
      </c>
      <c r="Q534" s="2">
        <f>HYPERLINK("https://tidesandcurrents.noaa.gov/stationhome.html?id=9415020", "Station Info")</f>
        <v>0</v>
      </c>
      <c r="R534" s="2">
        <f>HYPERLINK("https://tidesandcurrents.noaa.gov/datums.html?datum=MLLW&amp;units=0&amp;epoch=0&amp;id=9415020", "Datum Info")</f>
        <v>0</v>
      </c>
      <c r="S534" s="2">
        <f>HYPERLINK("https://api.tidesandcurrents.noaa.gov/mdapi/prod/webapi/stations/9415020.json", "More Info")</f>
        <v>0</v>
      </c>
      <c r="T534" s="1">
        <v>380256</v>
      </c>
      <c r="U534" s="1">
        <v>0</v>
      </c>
      <c r="V534" s="1" t="s">
        <v>872</v>
      </c>
      <c r="W534" s="1" t="s">
        <v>877</v>
      </c>
      <c r="X534" s="1" t="s">
        <v>886</v>
      </c>
      <c r="Y534" s="1">
        <v>5.76</v>
      </c>
      <c r="Z534" s="1">
        <v>5.1</v>
      </c>
      <c r="AA534" s="1">
        <v>3.14</v>
      </c>
      <c r="AB534" s="1">
        <v>3.1</v>
      </c>
      <c r="AC534" s="1">
        <v>2.88</v>
      </c>
      <c r="AD534" s="1">
        <v>1.18</v>
      </c>
      <c r="AE534" s="1">
        <v>0</v>
      </c>
      <c r="AF534" s="1">
        <v>0.02</v>
      </c>
      <c r="AG534" s="1">
        <v>-3.96</v>
      </c>
      <c r="AH534" s="1" t="s">
        <v>1308</v>
      </c>
      <c r="AI534" s="1" t="s">
        <v>1561</v>
      </c>
      <c r="AJ534" s="1">
        <v>-0.02</v>
      </c>
      <c r="AK534" s="1">
        <v>-5.774</v>
      </c>
      <c r="AY534" s="2">
        <f>HYPERLINK("https://vdatum.noaa.gov/vdatumweb/api/convert?s_x=-122.974&amp;s_y=37.99417&amp;s_z=0.0&amp;region=westcoast&amp;s_h_frame=NAD83_2011&amp;s_coor=geo&amp;s_v_frame=NAVD88&amp;s_v_unit=us_ft&amp;t_h_frame=IGS14&amp;t_coor=geo&amp;t_v_frame=MLLW&amp;t_v_unit=us_ft", "NAVD88 to MLLW")</f>
        <v>0</v>
      </c>
      <c r="AZ534" s="2">
        <f>HYPERLINK("https://vdatum.noaa.gov/vdatumweb/api/convert?s_x=-122.974&amp;s_y=37.99417&amp;s_z=0.0&amp;region=westcoast&amp;s_h_frame=NAD83_2011&amp;s_coor=geo&amp;s_v_frame=NAVD88&amp;s_v_unit=us_ft&amp;t_h_frame=IGS14&amp;t_coor=geo&amp;t_v_frame=MHHW&amp;t_v_unit=us_ft", "NAVD88 to MHHW")</f>
        <v>0</v>
      </c>
    </row>
    <row r="535" spans="1:52">
      <c r="A535" s="1" t="s">
        <v>559</v>
      </c>
      <c r="B535" s="1" t="s">
        <v>640</v>
      </c>
      <c r="D535" s="1" t="s">
        <v>655</v>
      </c>
      <c r="L535" s="1">
        <v>-122.363</v>
      </c>
      <c r="M535" s="1">
        <v>38.015</v>
      </c>
      <c r="N535" s="1">
        <v>9415056</v>
      </c>
      <c r="O535" s="1" t="s">
        <v>861</v>
      </c>
      <c r="P535" s="1" t="s">
        <v>866</v>
      </c>
      <c r="Q535" s="2">
        <f>HYPERLINK("https://tidesandcurrents.noaa.gov/stationhome.html?id=9415056", "Station Info")</f>
        <v>0</v>
      </c>
      <c r="R535" s="2">
        <f>HYPERLINK("https://tidesandcurrents.noaa.gov/datums.html?datum=MLLW&amp;units=0&amp;epoch=0&amp;id=9415056", "Datum Info")</f>
        <v>0</v>
      </c>
      <c r="S535" s="2">
        <f>HYPERLINK("https://api.tidesandcurrents.noaa.gov/mdapi/prod/webapi/stations/9415056.json", "More Info")</f>
        <v>0</v>
      </c>
      <c r="T535" s="1">
        <v>1125592</v>
      </c>
      <c r="U535" s="1">
        <v>0</v>
      </c>
      <c r="V535" s="1" t="s">
        <v>872</v>
      </c>
      <c r="W535" s="1" t="s">
        <v>877</v>
      </c>
      <c r="X535" s="1" t="s">
        <v>886</v>
      </c>
      <c r="Y535" s="1">
        <v>6.24</v>
      </c>
      <c r="Z535" s="1">
        <v>5.64</v>
      </c>
      <c r="AA535" s="1">
        <v>3.37</v>
      </c>
      <c r="AB535" s="1">
        <v>3.32</v>
      </c>
      <c r="AC535" s="1">
        <v>3.12</v>
      </c>
      <c r="AD535" s="1">
        <v>1.08</v>
      </c>
      <c r="AE535" s="1">
        <v>0</v>
      </c>
      <c r="AF535" s="1">
        <v>0.06</v>
      </c>
      <c r="AG535" s="1">
        <v>-7.98</v>
      </c>
      <c r="AH535" s="1" t="s">
        <v>1307</v>
      </c>
      <c r="AI535" s="1" t="s">
        <v>1562</v>
      </c>
      <c r="AJ535" s="1">
        <v>-0.079</v>
      </c>
      <c r="AK535" s="1">
        <v>-6.25</v>
      </c>
      <c r="AY535" s="2">
        <f>HYPERLINK("https://vdatum.noaa.gov/vdatumweb/api/convert?s_x=-122.363&amp;s_y=38.015&amp;s_z=0.0&amp;region=westcoast&amp;s_h_frame=NAD83_2011&amp;s_coor=geo&amp;s_v_frame=NAVD88&amp;s_v_unit=us_ft&amp;t_h_frame=IGS14&amp;t_coor=geo&amp;t_v_frame=MLLW&amp;t_v_unit=us_ft", "NAVD88 to MLLW")</f>
        <v>0</v>
      </c>
      <c r="AZ535" s="2">
        <f>HYPERLINK("https://vdatum.noaa.gov/vdatumweb/api/convert?s_x=-122.363&amp;s_y=38.015&amp;s_z=0.0&amp;region=westcoast&amp;s_h_frame=NAD83_2011&amp;s_coor=geo&amp;s_v_frame=NAVD88&amp;s_v_unit=us_ft&amp;t_h_frame=IGS14&amp;t_coor=geo&amp;t_v_frame=MHHW&amp;t_v_unit=us_ft", "NAVD88 to MHHW")</f>
        <v>0</v>
      </c>
    </row>
    <row r="536" spans="1:52">
      <c r="A536" s="1" t="s">
        <v>560</v>
      </c>
      <c r="B536" s="1" t="s">
        <v>640</v>
      </c>
      <c r="C536" s="1" t="s">
        <v>650</v>
      </c>
      <c r="D536" s="1" t="s">
        <v>655</v>
      </c>
      <c r="L536" s="1">
        <v>-122.125</v>
      </c>
      <c r="M536" s="1">
        <v>38.03464</v>
      </c>
      <c r="N536" s="1">
        <v>9415102</v>
      </c>
      <c r="O536" s="1" t="s">
        <v>860</v>
      </c>
      <c r="P536" s="1" t="s">
        <v>866</v>
      </c>
      <c r="Q536" s="2">
        <f>HYPERLINK("https://tidesandcurrents.noaa.gov/stationhome.html?id=9415102", "Station Info")</f>
        <v>0</v>
      </c>
      <c r="R536" s="2">
        <f>HYPERLINK("https://tidesandcurrents.noaa.gov/datums.html?datum=MLLW&amp;units=0&amp;epoch=0&amp;id=9415102", "Datum Info")</f>
        <v>0</v>
      </c>
      <c r="S536" s="2">
        <f>HYPERLINK("https://api.tidesandcurrents.noaa.gov/mdapi/prod/webapi/stations/9415102.json", "More Info")</f>
        <v>0</v>
      </c>
      <c r="T536" s="1">
        <v>1981364</v>
      </c>
      <c r="U536" s="1">
        <v>0</v>
      </c>
      <c r="V536" s="1" t="s">
        <v>872</v>
      </c>
      <c r="W536" s="1" t="s">
        <v>877</v>
      </c>
      <c r="X536" s="1" t="s">
        <v>886</v>
      </c>
      <c r="Y536" s="1">
        <v>5.36</v>
      </c>
      <c r="Z536" s="1">
        <v>4.84</v>
      </c>
      <c r="AA536" s="1">
        <v>2.86</v>
      </c>
      <c r="AB536" s="1">
        <v>2.86</v>
      </c>
      <c r="AC536" s="1">
        <v>2.68</v>
      </c>
      <c r="AD536" s="1">
        <v>0.88</v>
      </c>
      <c r="AE536" s="1">
        <v>0</v>
      </c>
      <c r="AF536" s="1">
        <v>-0.57</v>
      </c>
      <c r="AG536" s="1">
        <v>-35.07</v>
      </c>
      <c r="AH536" s="1" t="s">
        <v>1309</v>
      </c>
      <c r="AI536" s="1" t="s">
        <v>1563</v>
      </c>
      <c r="AJ536" s="1">
        <v>-0.623</v>
      </c>
      <c r="AK536" s="1">
        <v>-6.01</v>
      </c>
      <c r="AY536" s="2">
        <f>HYPERLINK("https://vdatum.noaa.gov/vdatumweb/api/convert?s_x=-122.125&amp;s_y=38.03464&amp;s_z=0.0&amp;region=westcoast&amp;s_h_frame=NAD83_2011&amp;s_coor=geo&amp;s_v_frame=NAVD88&amp;s_v_unit=us_ft&amp;t_h_frame=IGS14&amp;t_coor=geo&amp;t_v_frame=MLLW&amp;t_v_unit=us_ft", "NAVD88 to MLLW")</f>
        <v>0</v>
      </c>
      <c r="AZ536" s="2">
        <f>HYPERLINK("https://vdatum.noaa.gov/vdatumweb/api/convert?s_x=-122.125&amp;s_y=38.03464&amp;s_z=0.0&amp;region=westcoast&amp;s_h_frame=NAD83_2011&amp;s_coor=geo&amp;s_v_frame=NAVD88&amp;s_v_unit=us_ft&amp;t_h_frame=IGS14&amp;t_coor=geo&amp;t_v_frame=MHHW&amp;t_v_unit=us_ft", "NAVD88 to MHHW")</f>
        <v>0</v>
      </c>
    </row>
    <row r="537" spans="1:52">
      <c r="A537" s="1" t="s">
        <v>561</v>
      </c>
      <c r="B537" s="1" t="s">
        <v>640</v>
      </c>
      <c r="D537" s="1" t="s">
        <v>655</v>
      </c>
      <c r="L537" s="1">
        <v>-122.26</v>
      </c>
      <c r="M537" s="1">
        <v>38.05666</v>
      </c>
      <c r="N537" s="1">
        <v>9415141</v>
      </c>
      <c r="O537" s="1" t="s">
        <v>861</v>
      </c>
      <c r="P537" s="1" t="s">
        <v>866</v>
      </c>
      <c r="Q537" s="2">
        <f>HYPERLINK("https://tidesandcurrents.noaa.gov/stationhome.html?id=9415141", "Station Info")</f>
        <v>0</v>
      </c>
      <c r="R537" s="2">
        <f>HYPERLINK("https://tidesandcurrents.noaa.gov/datums.html?datum=MLLW&amp;units=0&amp;epoch=0&amp;id=9415141", "Datum Info")</f>
        <v>0</v>
      </c>
      <c r="S537" s="2">
        <f>HYPERLINK("https://api.tidesandcurrents.noaa.gov/mdapi/prod/webapi/stations/9415141.json", "More Info")</f>
        <v>0</v>
      </c>
      <c r="T537" s="1">
        <v>1234823</v>
      </c>
      <c r="U537" s="1">
        <v>0</v>
      </c>
      <c r="V537" s="1" t="s">
        <v>872</v>
      </c>
      <c r="W537" s="1" t="s">
        <v>877</v>
      </c>
      <c r="AJ537" s="1">
        <v>-0.341</v>
      </c>
      <c r="AK537" s="1">
        <v>-6.227</v>
      </c>
      <c r="AY537" s="2">
        <f>HYPERLINK("https://vdatum.noaa.gov/vdatumweb/api/convert?s_x=-122.26&amp;s_y=38.05666&amp;s_z=0.0&amp;region=westcoast&amp;s_h_frame=NAD83_2011&amp;s_coor=geo&amp;s_v_frame=NAVD88&amp;s_v_unit=us_ft&amp;t_h_frame=IGS14&amp;t_coor=geo&amp;t_v_frame=MLLW&amp;t_v_unit=us_ft", "NAVD88 to MLLW")</f>
        <v>0</v>
      </c>
      <c r="AZ537" s="2">
        <f>HYPERLINK("https://vdatum.noaa.gov/vdatumweb/api/convert?s_x=-122.26&amp;s_y=38.05666&amp;s_z=0.0&amp;region=westcoast&amp;s_h_frame=NAD83_2011&amp;s_coor=geo&amp;s_v_frame=NAVD88&amp;s_v_unit=us_ft&amp;t_h_frame=IGS14&amp;t_coor=geo&amp;t_v_frame=MHHW&amp;t_v_unit=us_ft", "NAVD88 to MHHW")</f>
        <v>0</v>
      </c>
    </row>
    <row r="538" spans="1:52">
      <c r="A538" s="1" t="s">
        <v>562</v>
      </c>
      <c r="B538" s="1" t="s">
        <v>640</v>
      </c>
      <c r="C538" s="1" t="s">
        <v>650</v>
      </c>
      <c r="D538" s="1" t="s">
        <v>655</v>
      </c>
      <c r="E538" s="1" t="s">
        <v>815</v>
      </c>
      <c r="F538" s="1" t="s">
        <v>851</v>
      </c>
      <c r="G538" s="1" t="s">
        <v>858</v>
      </c>
      <c r="L538" s="1">
        <v>-122.04</v>
      </c>
      <c r="M538" s="1">
        <v>38.056</v>
      </c>
      <c r="N538" s="1">
        <v>9415144</v>
      </c>
      <c r="O538" s="1" t="s">
        <v>860</v>
      </c>
      <c r="P538" s="1" t="s">
        <v>866</v>
      </c>
      <c r="Q538" s="2">
        <f>HYPERLINK("https://tidesandcurrents.noaa.gov/stationhome.html?id=9415144", "Station Info")</f>
        <v>0</v>
      </c>
      <c r="R538" s="2">
        <f>HYPERLINK("https://tidesandcurrents.noaa.gov/datums.html?datum=MLLW&amp;units=0&amp;epoch=0&amp;id=9415144", "Datum Info")</f>
        <v>0</v>
      </c>
      <c r="S538" s="2">
        <f>HYPERLINK("https://api.tidesandcurrents.noaa.gov/mdapi/prod/webapi/stations/9415144.json", "More Info")</f>
        <v>0</v>
      </c>
      <c r="T538" s="1">
        <v>1696319</v>
      </c>
      <c r="U538" s="1">
        <v>0</v>
      </c>
      <c r="V538" s="1" t="s">
        <v>872</v>
      </c>
      <c r="W538" s="1" t="s">
        <v>877</v>
      </c>
      <c r="X538" s="1" t="s">
        <v>886</v>
      </c>
      <c r="Y538" s="1">
        <v>4.91</v>
      </c>
      <c r="Z538" s="1">
        <v>4.4</v>
      </c>
      <c r="AA538" s="1">
        <v>2.57</v>
      </c>
      <c r="AB538" s="1">
        <v>2.56</v>
      </c>
      <c r="AC538" s="1">
        <v>2.45</v>
      </c>
      <c r="AD538" s="1">
        <v>0.74</v>
      </c>
      <c r="AE538" s="1">
        <v>0</v>
      </c>
      <c r="AF538" s="1">
        <v>-1.1</v>
      </c>
      <c r="AG538" s="1">
        <v>-3.99</v>
      </c>
      <c r="AH538" s="1" t="s">
        <v>1310</v>
      </c>
      <c r="AI538" s="1" t="s">
        <v>1564</v>
      </c>
      <c r="AJ538" s="1">
        <v>-1.178</v>
      </c>
      <c r="AK538" s="1">
        <v>-6.109</v>
      </c>
      <c r="AY538" s="2">
        <f>HYPERLINK("https://vdatum.noaa.gov/vdatumweb/api/convert?s_x=-122.04&amp;s_y=38.056&amp;s_z=0.0&amp;region=westcoast&amp;s_h_frame=NAD83_2011&amp;s_coor=geo&amp;s_v_frame=NAVD88&amp;s_v_unit=us_ft&amp;t_h_frame=IGS14&amp;t_coor=geo&amp;t_v_frame=MLLW&amp;t_v_unit=us_ft", "NAVD88 to MLLW")</f>
        <v>0</v>
      </c>
      <c r="AZ538" s="2">
        <f>HYPERLINK("https://vdatum.noaa.gov/vdatumweb/api/convert?s_x=-122.04&amp;s_y=38.056&amp;s_z=0.0&amp;region=westcoast&amp;s_h_frame=NAD83_2011&amp;s_coor=geo&amp;s_v_frame=NAVD88&amp;s_v_unit=us_ft&amp;t_h_frame=IGS14&amp;t_coor=geo&amp;t_v_frame=MHHW&amp;t_v_unit=us_ft", "NAVD88 to MHHW")</f>
        <v>0</v>
      </c>
    </row>
    <row r="539" spans="1:52">
      <c r="A539" s="1" t="s">
        <v>563</v>
      </c>
      <c r="B539" s="1" t="s">
        <v>640</v>
      </c>
      <c r="D539" s="1" t="s">
        <v>655</v>
      </c>
      <c r="L539" s="1">
        <v>-122.25</v>
      </c>
      <c r="M539" s="1">
        <v>38.07</v>
      </c>
      <c r="N539" s="1">
        <v>9415218</v>
      </c>
      <c r="O539" s="1" t="s">
        <v>861</v>
      </c>
      <c r="P539" s="1" t="s">
        <v>866</v>
      </c>
      <c r="Q539" s="2">
        <f>HYPERLINK("https://tidesandcurrents.noaa.gov/stationhome.html?id=9415218", "Station Info")</f>
        <v>0</v>
      </c>
      <c r="R539" s="2">
        <f>HYPERLINK("https://tidesandcurrents.noaa.gov/datums.html?datum=MLLW&amp;units=0&amp;epoch=0&amp;id=9415218", "Datum Info")</f>
        <v>0</v>
      </c>
      <c r="S539" s="2">
        <f>HYPERLINK("https://api.tidesandcurrents.noaa.gov/mdapi/prod/webapi/stations/9415218.json", "More Info")</f>
        <v>0</v>
      </c>
      <c r="T539" s="1">
        <v>1983990</v>
      </c>
      <c r="U539" s="1">
        <v>0</v>
      </c>
      <c r="V539" s="1" t="s">
        <v>872</v>
      </c>
      <c r="W539" s="1" t="s">
        <v>877</v>
      </c>
      <c r="X539" s="1" t="s">
        <v>886</v>
      </c>
      <c r="Y539" s="1">
        <v>5.75</v>
      </c>
      <c r="Z539" s="1">
        <v>5.19</v>
      </c>
      <c r="AA539" s="1">
        <v>3.07</v>
      </c>
      <c r="AB539" s="1">
        <v>3.07</v>
      </c>
      <c r="AC539" s="1">
        <v>2.88</v>
      </c>
      <c r="AD539" s="1">
        <v>0.95</v>
      </c>
      <c r="AE539" s="1">
        <v>0</v>
      </c>
      <c r="AF539" s="1">
        <v>-0.36</v>
      </c>
      <c r="AG539" s="1">
        <v>-2.93</v>
      </c>
      <c r="AH539" s="1" t="s">
        <v>1311</v>
      </c>
      <c r="AI539" s="1" t="s">
        <v>1565</v>
      </c>
      <c r="AJ539" s="1">
        <v>-0.423</v>
      </c>
      <c r="AK539" s="1">
        <v>-6.214</v>
      </c>
      <c r="AY539" s="2">
        <f>HYPERLINK("https://vdatum.noaa.gov/vdatumweb/api/convert?s_x=-122.25&amp;s_y=38.07&amp;s_z=0.0&amp;region=westcoast&amp;s_h_frame=NAD83_2011&amp;s_coor=geo&amp;s_v_frame=NAVD88&amp;s_v_unit=us_ft&amp;t_h_frame=IGS14&amp;t_coor=geo&amp;t_v_frame=MLLW&amp;t_v_unit=us_ft", "NAVD88 to MLLW")</f>
        <v>0</v>
      </c>
      <c r="AZ539" s="2">
        <f>HYPERLINK("https://vdatum.noaa.gov/vdatumweb/api/convert?s_x=-122.25&amp;s_y=38.07&amp;s_z=0.0&amp;region=westcoast&amp;s_h_frame=NAD83_2011&amp;s_coor=geo&amp;s_v_frame=NAVD88&amp;s_v_unit=us_ft&amp;t_h_frame=IGS14&amp;t_coor=geo&amp;t_v_frame=MHHW&amp;t_v_unit=us_ft", "NAVD88 to MHHW")</f>
        <v>0</v>
      </c>
    </row>
    <row r="540" spans="1:52">
      <c r="A540" s="1" t="s">
        <v>564</v>
      </c>
      <c r="B540" s="1" t="s">
        <v>640</v>
      </c>
      <c r="C540" s="1" t="s">
        <v>650</v>
      </c>
      <c r="D540" s="1" t="s">
        <v>655</v>
      </c>
      <c r="L540" s="1">
        <v>-122.407</v>
      </c>
      <c r="M540" s="1">
        <v>38.1567</v>
      </c>
      <c r="N540" s="1">
        <v>9415338</v>
      </c>
      <c r="O540" s="1" t="s">
        <v>861</v>
      </c>
      <c r="P540" s="1" t="s">
        <v>866</v>
      </c>
      <c r="Q540" s="2">
        <f>HYPERLINK("https://tidesandcurrents.noaa.gov/stationhome.html?id=9415338", "Station Info")</f>
        <v>0</v>
      </c>
      <c r="R540" s="2">
        <f>HYPERLINK("https://tidesandcurrents.noaa.gov/datums.html?datum=MLLW&amp;units=0&amp;epoch=0&amp;id=9415338", "Datum Info")</f>
        <v>0</v>
      </c>
      <c r="S540" s="2">
        <f>HYPERLINK("https://api.tidesandcurrents.noaa.gov/mdapi/prod/webapi/stations/9415338.json", "More Info")</f>
        <v>0</v>
      </c>
      <c r="T540" s="1">
        <v>2499578</v>
      </c>
      <c r="U540" s="1">
        <v>0</v>
      </c>
      <c r="V540" s="1" t="s">
        <v>872</v>
      </c>
      <c r="W540" s="1" t="s">
        <v>877</v>
      </c>
      <c r="X540" s="1" t="s">
        <v>886</v>
      </c>
      <c r="Y540" s="1">
        <v>5.43</v>
      </c>
      <c r="Z540" s="1">
        <v>4.84</v>
      </c>
      <c r="AA540" s="1">
        <v>2.75</v>
      </c>
      <c r="AB540" s="1">
        <v>2.71</v>
      </c>
      <c r="AC540" s="1">
        <v>2.71</v>
      </c>
      <c r="AD540" s="1">
        <v>0.66</v>
      </c>
      <c r="AE540" s="1">
        <v>0</v>
      </c>
      <c r="AF540" s="1">
        <v>-1</v>
      </c>
      <c r="AG540" s="1">
        <v>-1.07</v>
      </c>
      <c r="AH540" s="1" t="s">
        <v>1100</v>
      </c>
      <c r="AI540" s="1" t="s">
        <v>1566</v>
      </c>
      <c r="AJ540" s="1">
        <v>-0.9379999999999999</v>
      </c>
      <c r="AK540" s="1">
        <v>-6.424</v>
      </c>
      <c r="AY540" s="2">
        <f>HYPERLINK("https://vdatum.noaa.gov/vdatumweb/api/convert?s_x=-122.407&amp;s_y=38.1567&amp;s_z=0.0&amp;region=westcoast&amp;s_h_frame=NAD83_2011&amp;s_coor=geo&amp;s_v_frame=NAVD88&amp;s_v_unit=us_ft&amp;t_h_frame=IGS14&amp;t_coor=geo&amp;t_v_frame=MLLW&amp;t_v_unit=us_ft", "NAVD88 to MLLW")</f>
        <v>0</v>
      </c>
      <c r="AZ540" s="2">
        <f>HYPERLINK("https://vdatum.noaa.gov/vdatumweb/api/convert?s_x=-122.407&amp;s_y=38.1567&amp;s_z=0.0&amp;region=westcoast&amp;s_h_frame=NAD83_2011&amp;s_coor=geo&amp;s_v_frame=NAVD88&amp;s_v_unit=us_ft&amp;t_h_frame=IGS14&amp;t_coor=geo&amp;t_v_frame=MHHW&amp;t_v_unit=us_ft", "NAVD88 to MHHW")</f>
        <v>0</v>
      </c>
    </row>
    <row r="541" spans="1:52">
      <c r="A541" s="1" t="s">
        <v>565</v>
      </c>
      <c r="B541" s="1" t="s">
        <v>640</v>
      </c>
      <c r="D541" s="1" t="s">
        <v>655</v>
      </c>
      <c r="L541" s="1">
        <v>-123.055</v>
      </c>
      <c r="M541" s="1">
        <v>38.30833</v>
      </c>
      <c r="N541" s="1">
        <v>9415625</v>
      </c>
      <c r="O541" s="1" t="s">
        <v>861</v>
      </c>
      <c r="P541" s="1" t="s">
        <v>866</v>
      </c>
      <c r="Q541" s="2">
        <f>HYPERLINK("https://tidesandcurrents.noaa.gov/stationhome.html?id=9415625", "Station Info")</f>
        <v>0</v>
      </c>
      <c r="R541" s="2">
        <f>HYPERLINK("https://tidesandcurrents.noaa.gov/datums.html?datum=MLLW&amp;units=0&amp;epoch=0&amp;id=9415625", "Datum Info")</f>
        <v>0</v>
      </c>
      <c r="S541" s="2">
        <f>HYPERLINK("https://api.tidesandcurrents.noaa.gov/mdapi/prod/webapi/stations/9415625.json", "More Info")</f>
        <v>0</v>
      </c>
      <c r="T541" s="1">
        <v>1113208</v>
      </c>
      <c r="U541" s="1">
        <v>0</v>
      </c>
      <c r="V541" s="1" t="s">
        <v>872</v>
      </c>
      <c r="W541" s="1" t="s">
        <v>877</v>
      </c>
      <c r="AJ541" s="1">
        <v>-0.302</v>
      </c>
      <c r="AK541" s="1">
        <v>-5.656</v>
      </c>
      <c r="AY541" s="2">
        <f>HYPERLINK("https://vdatum.noaa.gov/vdatumweb/api/convert?s_x=-123.055&amp;s_y=38.30833&amp;s_z=0.0&amp;region=westcoast&amp;s_h_frame=NAD83_2011&amp;s_coor=geo&amp;s_v_frame=NAVD88&amp;s_v_unit=us_ft&amp;t_h_frame=IGS14&amp;t_coor=geo&amp;t_v_frame=MLLW&amp;t_v_unit=us_ft", "NAVD88 to MLLW")</f>
        <v>0</v>
      </c>
      <c r="AZ541" s="2">
        <f>HYPERLINK("https://vdatum.noaa.gov/vdatumweb/api/convert?s_x=-123.055&amp;s_y=38.30833&amp;s_z=0.0&amp;region=westcoast&amp;s_h_frame=NAD83_2011&amp;s_coor=geo&amp;s_v_frame=NAVD88&amp;s_v_unit=us_ft&amp;t_h_frame=IGS14&amp;t_coor=geo&amp;t_v_frame=MHHW&amp;t_v_unit=us_ft", "NAVD88 to MHHW")</f>
        <v>0</v>
      </c>
    </row>
    <row r="542" spans="1:52">
      <c r="A542" s="1" t="s">
        <v>566</v>
      </c>
      <c r="B542" s="1" t="s">
        <v>640</v>
      </c>
      <c r="D542" s="1" t="s">
        <v>655</v>
      </c>
      <c r="E542" s="1" t="s">
        <v>817</v>
      </c>
      <c r="F542" s="1" t="s">
        <v>851</v>
      </c>
      <c r="G542" s="1" t="s">
        <v>858</v>
      </c>
      <c r="L542" s="1">
        <v>-123.449</v>
      </c>
      <c r="M542" s="1">
        <v>38.7043</v>
      </c>
      <c r="N542" s="1">
        <v>9416409</v>
      </c>
      <c r="O542" s="1" t="s">
        <v>861</v>
      </c>
      <c r="P542" s="1" t="s">
        <v>866</v>
      </c>
      <c r="Q542" s="2">
        <f>HYPERLINK("https://tidesandcurrents.noaa.gov/stationhome.html?id=9416409", "Station Info")</f>
        <v>0</v>
      </c>
      <c r="R542" s="2">
        <f>HYPERLINK("https://tidesandcurrents.noaa.gov/datums.html?datum=MLLW&amp;units=0&amp;epoch=0&amp;id=9416409", "Datum Info")</f>
        <v>0</v>
      </c>
      <c r="S542" s="2">
        <f>HYPERLINK("https://api.tidesandcurrents.noaa.gov/mdapi/prod/webapi/stations/9416409.json", "More Info")</f>
        <v>0</v>
      </c>
      <c r="T542" s="1">
        <v>155643</v>
      </c>
      <c r="U542" s="1">
        <v>0</v>
      </c>
      <c r="V542" s="1" t="s">
        <v>872</v>
      </c>
      <c r="W542" s="1" t="s">
        <v>877</v>
      </c>
      <c r="X542" s="1" t="s">
        <v>886</v>
      </c>
      <c r="Y542" s="1">
        <v>5.23</v>
      </c>
      <c r="Z542" s="1">
        <v>4.56</v>
      </c>
      <c r="AA542" s="1">
        <v>2.75</v>
      </c>
      <c r="AB542" s="1">
        <v>2.67</v>
      </c>
      <c r="AC542" s="1">
        <v>2.62</v>
      </c>
      <c r="AD542" s="1">
        <v>0.93</v>
      </c>
      <c r="AE542" s="1">
        <v>0</v>
      </c>
      <c r="AF542" s="1" t="s">
        <v>1055</v>
      </c>
      <c r="AG542" s="1">
        <v>-13.1</v>
      </c>
      <c r="AH542" s="1" t="s">
        <v>1312</v>
      </c>
      <c r="AI542" s="1" t="s">
        <v>1567</v>
      </c>
      <c r="AJ542" s="1">
        <v>-0.505</v>
      </c>
      <c r="AK542" s="1">
        <v>-5.784</v>
      </c>
      <c r="AY542" s="2">
        <f>HYPERLINK("https://vdatum.noaa.gov/vdatumweb/api/convert?s_x=-123.449&amp;s_y=38.7043&amp;s_z=0.0&amp;region=westcoast&amp;s_h_frame=NAD83_2011&amp;s_coor=geo&amp;s_v_frame=NAVD88&amp;s_v_unit=us_ft&amp;t_h_frame=IGS14&amp;t_coor=geo&amp;t_v_frame=MLLW&amp;t_v_unit=us_ft", "NAVD88 to MLLW")</f>
        <v>0</v>
      </c>
      <c r="AZ542" s="2">
        <f>HYPERLINK("https://vdatum.noaa.gov/vdatumweb/api/convert?s_x=-123.449&amp;s_y=38.7043&amp;s_z=0.0&amp;region=westcoast&amp;s_h_frame=NAD83_2011&amp;s_coor=geo&amp;s_v_frame=NAVD88&amp;s_v_unit=us_ft&amp;t_h_frame=IGS14&amp;t_coor=geo&amp;t_v_frame=MHHW&amp;t_v_unit=us_ft", "NAVD88 to MHHW")</f>
        <v>0</v>
      </c>
    </row>
    <row r="543" spans="1:52">
      <c r="A543" s="1" t="s">
        <v>567</v>
      </c>
      <c r="B543" s="1" t="s">
        <v>640</v>
      </c>
      <c r="D543" s="1" t="s">
        <v>655</v>
      </c>
      <c r="L543" s="1">
        <v>-123.711</v>
      </c>
      <c r="M543" s="1">
        <v>38.91456</v>
      </c>
      <c r="N543" s="1">
        <v>9416841</v>
      </c>
      <c r="O543" s="1" t="s">
        <v>860</v>
      </c>
      <c r="P543" s="1" t="s">
        <v>866</v>
      </c>
      <c r="Q543" s="2">
        <f>HYPERLINK("https://tidesandcurrents.noaa.gov/stationhome.html?id=9416841", "Station Info")</f>
        <v>0</v>
      </c>
      <c r="R543" s="2">
        <f>HYPERLINK("https://tidesandcurrents.noaa.gov/datums.html?datum=MLLW&amp;units=0&amp;epoch=0&amp;id=9416841", "Datum Info")</f>
        <v>0</v>
      </c>
      <c r="S543" s="2">
        <f>HYPERLINK("https://api.tidesandcurrents.noaa.gov/mdapi/prod/webapi/stations/9416841.json", "More Info")</f>
        <v>0</v>
      </c>
      <c r="T543" s="1">
        <v>374550</v>
      </c>
      <c r="U543" s="1">
        <v>0</v>
      </c>
      <c r="V543" s="1" t="s">
        <v>872</v>
      </c>
      <c r="W543" s="1" t="s">
        <v>877</v>
      </c>
      <c r="X543" s="1" t="s">
        <v>886</v>
      </c>
      <c r="Y543" s="1">
        <v>5.87</v>
      </c>
      <c r="Z543" s="1">
        <v>5.2</v>
      </c>
      <c r="AA543" s="1">
        <v>3.18</v>
      </c>
      <c r="AB543" s="1">
        <v>3.14</v>
      </c>
      <c r="AC543" s="1">
        <v>2.93</v>
      </c>
      <c r="AD543" s="1">
        <v>1.15</v>
      </c>
      <c r="AE543" s="1">
        <v>0</v>
      </c>
      <c r="AF543" s="1">
        <v>0.14</v>
      </c>
      <c r="AG543" s="1">
        <v>-28.93</v>
      </c>
      <c r="AH543" s="1" t="s">
        <v>1313</v>
      </c>
      <c r="AI543" s="1" t="s">
        <v>1568</v>
      </c>
      <c r="AJ543" s="1">
        <v>0.036</v>
      </c>
      <c r="AK543" s="1">
        <v>-5.823</v>
      </c>
      <c r="AY543" s="2">
        <f>HYPERLINK("https://vdatum.noaa.gov/vdatumweb/api/convert?s_x=-123.711&amp;s_y=38.91456&amp;s_z=0.0&amp;region=westcoast&amp;s_h_frame=NAD83_2011&amp;s_coor=geo&amp;s_v_frame=NAVD88&amp;s_v_unit=us_ft&amp;t_h_frame=IGS14&amp;t_coor=geo&amp;t_v_frame=MLLW&amp;t_v_unit=us_ft", "NAVD88 to MLLW")</f>
        <v>0</v>
      </c>
      <c r="AZ543" s="2">
        <f>HYPERLINK("https://vdatum.noaa.gov/vdatumweb/api/convert?s_x=-123.711&amp;s_y=38.91456&amp;s_z=0.0&amp;region=westcoast&amp;s_h_frame=NAD83_2011&amp;s_coor=geo&amp;s_v_frame=NAVD88&amp;s_v_unit=us_ft&amp;t_h_frame=IGS14&amp;t_coor=geo&amp;t_v_frame=MHHW&amp;t_v_unit=us_ft", "NAVD88 to MHHW")</f>
        <v>0</v>
      </c>
    </row>
    <row r="544" spans="1:52">
      <c r="A544" s="1" t="s">
        <v>568</v>
      </c>
      <c r="B544" s="1" t="s">
        <v>641</v>
      </c>
      <c r="D544" s="1" t="s">
        <v>655</v>
      </c>
      <c r="E544" s="1" t="s">
        <v>694</v>
      </c>
      <c r="F544" s="1" t="s">
        <v>852</v>
      </c>
      <c r="G544" s="1" t="s">
        <v>858</v>
      </c>
      <c r="L544" s="1">
        <v>-124.058</v>
      </c>
      <c r="M544" s="1">
        <v>44.43436</v>
      </c>
      <c r="N544" s="1">
        <v>9434939</v>
      </c>
      <c r="O544" s="1" t="s">
        <v>861</v>
      </c>
      <c r="P544" s="1" t="s">
        <v>866</v>
      </c>
      <c r="Q544" s="2">
        <f>HYPERLINK("https://tidesandcurrents.noaa.gov/stationhome.html?id=9434939", "Station Info")</f>
        <v>0</v>
      </c>
      <c r="R544" s="2">
        <f>HYPERLINK("https://tidesandcurrents.noaa.gov/datums.html?datum=MLLW&amp;units=0&amp;epoch=0&amp;id=9434939", "Datum Info")</f>
        <v>0</v>
      </c>
      <c r="S544" s="2">
        <f>HYPERLINK("https://api.tidesandcurrents.noaa.gov/mdapi/prod/webapi/stations/9434939.json", "More Info")</f>
        <v>0</v>
      </c>
      <c r="T544" s="1">
        <v>1041755</v>
      </c>
      <c r="U544" s="1">
        <v>0</v>
      </c>
      <c r="V544" s="1" t="s">
        <v>872</v>
      </c>
      <c r="W544" s="1" t="s">
        <v>877</v>
      </c>
      <c r="X544" s="1" t="s">
        <v>886</v>
      </c>
      <c r="Y544" s="1">
        <v>7.59</v>
      </c>
      <c r="Z544" s="1">
        <v>6.88</v>
      </c>
      <c r="AA544" s="1">
        <v>4.07</v>
      </c>
      <c r="AB544" s="1">
        <v>4.09</v>
      </c>
      <c r="AC544" s="1">
        <v>3.8</v>
      </c>
      <c r="AD544" s="1">
        <v>1.25</v>
      </c>
      <c r="AE544" s="1">
        <v>0</v>
      </c>
      <c r="AF544" s="1">
        <v>0.04</v>
      </c>
      <c r="AG544" s="1">
        <v>-16.71</v>
      </c>
      <c r="AH544" s="1" t="s">
        <v>1314</v>
      </c>
      <c r="AI544" s="1" t="s">
        <v>1569</v>
      </c>
      <c r="AJ544" s="1">
        <v>-0.092</v>
      </c>
      <c r="AK544" s="1">
        <v>-7.68</v>
      </c>
      <c r="AY544" s="2">
        <f>HYPERLINK("https://vdatum.noaa.gov/vdatumweb/api/convert?s_x=-124.058&amp;s_y=44.43436&amp;s_z=0.0&amp;region=westcoast&amp;s_h_frame=NAD83_2011&amp;s_coor=geo&amp;s_v_frame=NAVD88&amp;s_v_unit=us_ft&amp;t_h_frame=IGS14&amp;t_coor=geo&amp;t_v_frame=MLLW&amp;t_v_unit=us_ft", "NAVD88 to MLLW")</f>
        <v>0</v>
      </c>
      <c r="AZ544" s="2">
        <f>HYPERLINK("https://vdatum.noaa.gov/vdatumweb/api/convert?s_x=-124.058&amp;s_y=44.43436&amp;s_z=0.0&amp;region=westcoast&amp;s_h_frame=NAD83_2011&amp;s_coor=geo&amp;s_v_frame=NAVD88&amp;s_v_unit=us_ft&amp;t_h_frame=IGS14&amp;t_coor=geo&amp;t_v_frame=MHHW&amp;t_v_unit=us_ft", "NAVD88 to MHHW")</f>
        <v>0</v>
      </c>
    </row>
    <row r="545" spans="1:52">
      <c r="A545" s="1" t="s">
        <v>569</v>
      </c>
      <c r="B545" s="1" t="s">
        <v>641</v>
      </c>
      <c r="D545" s="1" t="s">
        <v>655</v>
      </c>
      <c r="L545" s="1">
        <v>-124.045</v>
      </c>
      <c r="M545" s="1">
        <v>44.6254</v>
      </c>
      <c r="N545" s="1">
        <v>9435380</v>
      </c>
      <c r="O545" s="1" t="s">
        <v>861</v>
      </c>
      <c r="P545" s="1" t="s">
        <v>866</v>
      </c>
      <c r="Q545" s="2">
        <f>HYPERLINK("https://tidesandcurrents.noaa.gov/stationhome.html?id=9435380", "Station Info")</f>
        <v>0</v>
      </c>
      <c r="R545" s="2">
        <f>HYPERLINK("https://tidesandcurrents.noaa.gov/datums.html?datum=MLLW&amp;units=0&amp;epoch=0&amp;id=9435380", "Datum Info")</f>
        <v>0</v>
      </c>
      <c r="S545" s="2">
        <f>HYPERLINK("https://api.tidesandcurrents.noaa.gov/mdapi/prod/webapi/stations/9435380.json", "More Info")</f>
        <v>0</v>
      </c>
      <c r="T545" s="1">
        <v>1269279</v>
      </c>
      <c r="U545" s="1">
        <v>0</v>
      </c>
      <c r="V545" s="1" t="s">
        <v>872</v>
      </c>
      <c r="W545" s="1" t="s">
        <v>877</v>
      </c>
      <c r="X545" s="1" t="s">
        <v>886</v>
      </c>
      <c r="Y545" s="1">
        <v>8.34</v>
      </c>
      <c r="Z545" s="1">
        <v>7.64</v>
      </c>
      <c r="AA545" s="1">
        <v>4.51</v>
      </c>
      <c r="AB545" s="1">
        <v>4.45</v>
      </c>
      <c r="AC545" s="1">
        <v>4.17</v>
      </c>
      <c r="AD545" s="1">
        <v>1.38</v>
      </c>
      <c r="AE545" s="1">
        <v>0</v>
      </c>
      <c r="AF545" s="1">
        <v>0.77</v>
      </c>
      <c r="AG545" s="1">
        <v>-4.57</v>
      </c>
      <c r="AH545" s="1" t="s">
        <v>1315</v>
      </c>
      <c r="AI545" s="1" t="s">
        <v>1344</v>
      </c>
      <c r="AJ545" s="1">
        <v>0.6919999999999999</v>
      </c>
      <c r="AK545" s="1">
        <v>-7.634</v>
      </c>
      <c r="AY545" s="2">
        <f>HYPERLINK("https://vdatum.noaa.gov/vdatumweb/api/convert?s_x=-124.045&amp;s_y=44.6254&amp;s_z=0.0&amp;region=westcoast&amp;s_h_frame=NAD83_2011&amp;s_coor=geo&amp;s_v_frame=NAVD88&amp;s_v_unit=us_ft&amp;t_h_frame=IGS14&amp;t_coor=geo&amp;t_v_frame=MLLW&amp;t_v_unit=us_ft", "NAVD88 to MLLW")</f>
        <v>0</v>
      </c>
      <c r="AZ545" s="2">
        <f>HYPERLINK("https://vdatum.noaa.gov/vdatumweb/api/convert?s_x=-124.045&amp;s_y=44.6254&amp;s_z=0.0&amp;region=westcoast&amp;s_h_frame=NAD83_2011&amp;s_coor=geo&amp;s_v_frame=NAVD88&amp;s_v_unit=us_ft&amp;t_h_frame=IGS14&amp;t_coor=geo&amp;t_v_frame=MHHW&amp;t_v_unit=us_ft", "NAVD88 to MHHW")</f>
        <v>0</v>
      </c>
    </row>
    <row r="546" spans="1:52">
      <c r="A546" s="1" t="s">
        <v>570</v>
      </c>
      <c r="B546" s="1" t="s">
        <v>641</v>
      </c>
      <c r="C546" s="1" t="s">
        <v>651</v>
      </c>
      <c r="D546" s="1" t="s">
        <v>655</v>
      </c>
      <c r="E546" s="1" t="s">
        <v>694</v>
      </c>
      <c r="F546" s="1" t="s">
        <v>852</v>
      </c>
      <c r="G546" s="1" t="s">
        <v>858</v>
      </c>
      <c r="L546" s="1">
        <v>-124.058</v>
      </c>
      <c r="M546" s="1">
        <v>44.81</v>
      </c>
      <c r="N546" s="1">
        <v>9435827</v>
      </c>
      <c r="O546" s="1" t="s">
        <v>861</v>
      </c>
      <c r="P546" s="1" t="s">
        <v>866</v>
      </c>
      <c r="Q546" s="2">
        <f>HYPERLINK("https://tidesandcurrents.noaa.gov/stationhome.html?id=9435827", "Station Info")</f>
        <v>0</v>
      </c>
      <c r="R546" s="2">
        <f>HYPERLINK("https://tidesandcurrents.noaa.gov/datums.html?datum=MLLW&amp;units=0&amp;epoch=0&amp;id=9435827", "Datum Info")</f>
        <v>0</v>
      </c>
      <c r="S546" s="2">
        <f>HYPERLINK("https://api.tidesandcurrents.noaa.gov/mdapi/prod/webapi/stations/9435827.json", "More Info")</f>
        <v>0</v>
      </c>
      <c r="T546" s="1">
        <v>327649</v>
      </c>
      <c r="U546" s="1">
        <v>0</v>
      </c>
      <c r="V546" s="1" t="s">
        <v>872</v>
      </c>
      <c r="W546" s="1" t="s">
        <v>877</v>
      </c>
      <c r="X546" s="1" t="s">
        <v>886</v>
      </c>
      <c r="Y546" s="1">
        <v>8.24</v>
      </c>
      <c r="Z546" s="1">
        <v>7.53</v>
      </c>
      <c r="AA546" s="1">
        <v>4.45</v>
      </c>
      <c r="AB546" s="1">
        <v>4.42</v>
      </c>
      <c r="AC546" s="1">
        <v>4.12</v>
      </c>
      <c r="AD546" s="1">
        <v>1.37</v>
      </c>
      <c r="AE546" s="1">
        <v>0</v>
      </c>
      <c r="AF546" s="1">
        <v>0.63</v>
      </c>
      <c r="AG546" s="1">
        <v>-3.4</v>
      </c>
      <c r="AH546" s="1" t="s">
        <v>1316</v>
      </c>
      <c r="AI546" s="1" t="s">
        <v>1570</v>
      </c>
      <c r="AJ546" s="1">
        <v>0.518</v>
      </c>
      <c r="AK546" s="1">
        <v>-7.703</v>
      </c>
      <c r="AY546" s="2">
        <f>HYPERLINK("https://vdatum.noaa.gov/vdatumweb/api/convert?s_x=-124.058&amp;s_y=44.81&amp;s_z=0.0&amp;region=westcoast&amp;s_h_frame=NAD83_2011&amp;s_coor=geo&amp;s_v_frame=NAVD88&amp;s_v_unit=us_ft&amp;t_h_frame=IGS14&amp;t_coor=geo&amp;t_v_frame=MLLW&amp;t_v_unit=us_ft", "NAVD88 to MLLW")</f>
        <v>0</v>
      </c>
      <c r="AZ546" s="2">
        <f>HYPERLINK("https://vdatum.noaa.gov/vdatumweb/api/convert?s_x=-124.058&amp;s_y=44.81&amp;s_z=0.0&amp;region=westcoast&amp;s_h_frame=NAD83_2011&amp;s_coor=geo&amp;s_v_frame=NAVD88&amp;s_v_unit=us_ft&amp;t_h_frame=IGS14&amp;t_coor=geo&amp;t_v_frame=MHHW&amp;t_v_unit=us_ft", "NAVD88 to MHHW")</f>
        <v>0</v>
      </c>
    </row>
    <row r="547" spans="1:52">
      <c r="A547" s="1" t="s">
        <v>571</v>
      </c>
      <c r="B547" s="1" t="s">
        <v>641</v>
      </c>
      <c r="D547" s="1" t="s">
        <v>655</v>
      </c>
      <c r="L547" s="1">
        <v>-123.902</v>
      </c>
      <c r="M547" s="1">
        <v>45.4817</v>
      </c>
      <c r="N547" s="1">
        <v>9436381</v>
      </c>
      <c r="O547" s="1" t="s">
        <v>861</v>
      </c>
      <c r="P547" s="1" t="s">
        <v>866</v>
      </c>
      <c r="Q547" s="2">
        <f>HYPERLINK("https://tidesandcurrents.noaa.gov/stationhome.html?id=9436381", "Station Info")</f>
        <v>0</v>
      </c>
      <c r="R547" s="2">
        <f>HYPERLINK("https://tidesandcurrents.noaa.gov/datums.html?datum=MLLW&amp;units=0&amp;epoch=0&amp;id=9436381", "Datum Info")</f>
        <v>0</v>
      </c>
      <c r="S547" s="2">
        <f>HYPERLINK("https://api.tidesandcurrents.noaa.gov/mdapi/prod/webapi/stations/9436381.json", "More Info")</f>
        <v>0</v>
      </c>
      <c r="T547" s="1">
        <v>95877</v>
      </c>
      <c r="U547" s="1">
        <v>0</v>
      </c>
      <c r="V547" s="1" t="s">
        <v>872</v>
      </c>
      <c r="W547" s="1" t="s">
        <v>877</v>
      </c>
      <c r="X547" s="1" t="s">
        <v>886</v>
      </c>
      <c r="Y547" s="1">
        <v>7.13</v>
      </c>
      <c r="Z547" s="1">
        <v>6.44</v>
      </c>
      <c r="AA547" s="1">
        <v>3.71</v>
      </c>
      <c r="AB547" s="1">
        <v>3.6</v>
      </c>
      <c r="AC547" s="1">
        <v>3.57</v>
      </c>
      <c r="AD547" s="1">
        <v>0.97</v>
      </c>
      <c r="AE547" s="1">
        <v>0</v>
      </c>
      <c r="AF547" s="1" t="s">
        <v>1056</v>
      </c>
      <c r="AG547" s="1">
        <v>-17.18</v>
      </c>
      <c r="AH547" s="1" t="s">
        <v>1317</v>
      </c>
      <c r="AI547" s="1" t="s">
        <v>1571</v>
      </c>
      <c r="AJ547" s="1">
        <v>-1.148</v>
      </c>
      <c r="AK547" s="1">
        <v>-8.166</v>
      </c>
      <c r="AY547" s="2">
        <f>HYPERLINK("https://vdatum.noaa.gov/vdatumweb/api/convert?s_x=-123.902&amp;s_y=45.4817&amp;s_z=0.0&amp;region=westcoast&amp;s_h_frame=NAD83_2011&amp;s_coor=geo&amp;s_v_frame=NAVD88&amp;s_v_unit=us_ft&amp;t_h_frame=IGS14&amp;t_coor=geo&amp;t_v_frame=MLLW&amp;t_v_unit=us_ft", "NAVD88 to MLLW")</f>
        <v>0</v>
      </c>
      <c r="AZ547" s="2">
        <f>HYPERLINK("https://vdatum.noaa.gov/vdatumweb/api/convert?s_x=-123.902&amp;s_y=45.4817&amp;s_z=0.0&amp;region=westcoast&amp;s_h_frame=NAD83_2011&amp;s_coor=geo&amp;s_v_frame=NAVD88&amp;s_v_unit=us_ft&amp;t_h_frame=IGS14&amp;t_coor=geo&amp;t_v_frame=MHHW&amp;t_v_unit=us_ft", "NAVD88 to MHHW")</f>
        <v>0</v>
      </c>
    </row>
    <row r="548" spans="1:52">
      <c r="A548" s="1" t="s">
        <v>572</v>
      </c>
      <c r="B548" s="1" t="s">
        <v>641</v>
      </c>
      <c r="D548" s="1" t="s">
        <v>655</v>
      </c>
      <c r="L548" s="1">
        <v>-123.919</v>
      </c>
      <c r="M548" s="1">
        <v>45.55453</v>
      </c>
      <c r="N548" s="1">
        <v>9437540</v>
      </c>
      <c r="O548" s="1" t="s">
        <v>861</v>
      </c>
      <c r="P548" s="1" t="s">
        <v>866</v>
      </c>
      <c r="Q548" s="2">
        <f>HYPERLINK("https://tidesandcurrents.noaa.gov/stationhome.html?id=9437540", "Station Info")</f>
        <v>0</v>
      </c>
      <c r="R548" s="2">
        <f>HYPERLINK("https://tidesandcurrents.noaa.gov/datums.html?datum=MLLW&amp;units=0&amp;epoch=0&amp;id=9437540", "Datum Info")</f>
        <v>0</v>
      </c>
      <c r="S548" s="2">
        <f>HYPERLINK("https://api.tidesandcurrents.noaa.gov/mdapi/prod/webapi/stations/9437540.json", "More Info")</f>
        <v>0</v>
      </c>
      <c r="T548" s="1">
        <v>1266897</v>
      </c>
      <c r="U548" s="1">
        <v>1.23</v>
      </c>
      <c r="V548" s="1" t="s">
        <v>872</v>
      </c>
      <c r="W548" s="1" t="s">
        <v>877</v>
      </c>
      <c r="X548" s="1" t="s">
        <v>886</v>
      </c>
      <c r="Y548" s="1">
        <v>8.32</v>
      </c>
      <c r="Z548" s="1">
        <v>7.61</v>
      </c>
      <c r="AA548" s="1">
        <v>4.49</v>
      </c>
      <c r="AB548" s="1">
        <v>4.5</v>
      </c>
      <c r="AC548" s="1">
        <v>4.16</v>
      </c>
      <c r="AD548" s="1">
        <v>1.37</v>
      </c>
      <c r="AE548" s="1">
        <v>0</v>
      </c>
      <c r="AF548" s="1" t="s">
        <v>1057</v>
      </c>
      <c r="AG548" s="1">
        <v>-3.99</v>
      </c>
      <c r="AH548" s="1" t="s">
        <v>1318</v>
      </c>
      <c r="AI548" s="1" t="s">
        <v>1572</v>
      </c>
      <c r="AJ548" s="1">
        <v>0.177</v>
      </c>
      <c r="AK548" s="1">
        <v>-8.090999999999999</v>
      </c>
      <c r="AY548" s="2">
        <f>HYPERLINK("https://vdatum.noaa.gov/vdatumweb/api/convert?s_x=-123.919&amp;s_y=45.55453&amp;s_z=0.0&amp;region=westcoast&amp;s_h_frame=NAD83_2011&amp;s_coor=geo&amp;s_v_frame=NAVD88&amp;s_v_unit=us_ft&amp;t_h_frame=IGS14&amp;t_coor=geo&amp;t_v_frame=MLLW&amp;t_v_unit=us_ft", "NAVD88 to MLLW")</f>
        <v>0</v>
      </c>
      <c r="AZ548" s="2">
        <f>HYPERLINK("https://vdatum.noaa.gov/vdatumweb/api/convert?s_x=-123.919&amp;s_y=45.55453&amp;s_z=0.0&amp;region=westcoast&amp;s_h_frame=NAD83_2011&amp;s_coor=geo&amp;s_v_frame=NAVD88&amp;s_v_unit=us_ft&amp;t_h_frame=IGS14&amp;t_coor=geo&amp;t_v_frame=MHHW&amp;t_v_unit=us_ft", "NAVD88 to MHHW")</f>
        <v>0</v>
      </c>
    </row>
    <row r="549" spans="1:52">
      <c r="A549" s="1" t="s">
        <v>573</v>
      </c>
      <c r="B549" s="1" t="s">
        <v>641</v>
      </c>
      <c r="D549" s="1" t="s">
        <v>655</v>
      </c>
      <c r="L549" s="1">
        <v>-123.945</v>
      </c>
      <c r="M549" s="1">
        <v>46.2017</v>
      </c>
      <c r="N549" s="1">
        <v>9439011</v>
      </c>
      <c r="O549" s="1" t="s">
        <v>861</v>
      </c>
      <c r="P549" s="1" t="s">
        <v>866</v>
      </c>
      <c r="Q549" s="2">
        <f>HYPERLINK("https://tidesandcurrents.noaa.gov/stationhome.html?id=9439011", "Station Info")</f>
        <v>0</v>
      </c>
      <c r="R549" s="2">
        <f>HYPERLINK("https://tidesandcurrents.noaa.gov/datums.html?datum=MLLW&amp;units=0&amp;epoch=0&amp;id=9439011", "Datum Info")</f>
        <v>0</v>
      </c>
      <c r="S549" s="2">
        <f>HYPERLINK("https://api.tidesandcurrents.noaa.gov/mdapi/prod/webapi/stations/9439011.json", "More Info")</f>
        <v>0</v>
      </c>
      <c r="T549" s="1">
        <v>2504646</v>
      </c>
      <c r="U549" s="1">
        <v>0</v>
      </c>
      <c r="V549" s="1" t="s">
        <v>872</v>
      </c>
      <c r="W549" s="1" t="s">
        <v>877</v>
      </c>
      <c r="X549" s="1" t="s">
        <v>886</v>
      </c>
      <c r="Y549" s="1">
        <v>8.359999999999999</v>
      </c>
      <c r="Z549" s="1">
        <v>7.65</v>
      </c>
      <c r="AA549" s="1">
        <v>4.45</v>
      </c>
      <c r="AB549" s="1">
        <v>4.38</v>
      </c>
      <c r="AC549" s="1">
        <v>4.18</v>
      </c>
      <c r="AD549" s="1">
        <v>1.26</v>
      </c>
      <c r="AE549" s="1">
        <v>0</v>
      </c>
      <c r="AF549" s="1">
        <v>0.06</v>
      </c>
      <c r="AG549" s="1">
        <v>-2.5</v>
      </c>
      <c r="AH549" s="1" t="s">
        <v>1126</v>
      </c>
      <c r="AI549" s="1" t="s">
        <v>1573</v>
      </c>
      <c r="AJ549" s="1">
        <v>0.026</v>
      </c>
      <c r="AK549" s="1">
        <v>-8.396000000000001</v>
      </c>
      <c r="AY549" s="2">
        <f>HYPERLINK("https://vdatum.noaa.gov/vdatumweb/api/convert?s_x=-123.945&amp;s_y=46.2017&amp;s_z=0.0&amp;region=westcoast&amp;s_h_frame=NAD83_2011&amp;s_coor=geo&amp;s_v_frame=NAVD88&amp;s_v_unit=us_ft&amp;t_h_frame=IGS14&amp;t_coor=geo&amp;t_v_frame=MLLW&amp;t_v_unit=us_ft", "NAVD88 to MLLW")</f>
        <v>0</v>
      </c>
      <c r="AZ549" s="2">
        <f>HYPERLINK("https://vdatum.noaa.gov/vdatumweb/api/convert?s_x=-123.945&amp;s_y=46.2017&amp;s_z=0.0&amp;region=westcoast&amp;s_h_frame=NAD83_2011&amp;s_coor=geo&amp;s_v_frame=NAVD88&amp;s_v_unit=us_ft&amp;t_h_frame=IGS14&amp;t_coor=geo&amp;t_v_frame=MHHW&amp;t_v_unit=us_ft", "NAVD88 to MHHW")</f>
        <v>0</v>
      </c>
    </row>
    <row r="550" spans="1:52">
      <c r="A550" s="1" t="s">
        <v>574</v>
      </c>
      <c r="B550" s="1" t="s">
        <v>641</v>
      </c>
      <c r="C550" s="1" t="s">
        <v>651</v>
      </c>
      <c r="D550" s="1" t="s">
        <v>655</v>
      </c>
      <c r="E550" s="1" t="s">
        <v>818</v>
      </c>
      <c r="F550" s="1" t="s">
        <v>852</v>
      </c>
      <c r="G550" s="1" t="s">
        <v>858</v>
      </c>
      <c r="L550" s="1">
        <v>-123.768</v>
      </c>
      <c r="M550" s="1">
        <v>46.20731</v>
      </c>
      <c r="N550" s="1">
        <v>9439040</v>
      </c>
      <c r="O550" s="1" t="s">
        <v>860</v>
      </c>
      <c r="P550" s="1" t="s">
        <v>866</v>
      </c>
      <c r="Q550" s="2">
        <f>HYPERLINK("https://tidesandcurrents.noaa.gov/stationhome.html?id=9439040", "Station Info")</f>
        <v>0</v>
      </c>
      <c r="R550" s="2">
        <f>HYPERLINK("https://tidesandcurrents.noaa.gov/datums.html?datum=MLLW&amp;units=0&amp;epoch=0&amp;id=9439040", "Datum Info")</f>
        <v>0</v>
      </c>
      <c r="S550" s="2">
        <f>HYPERLINK("https://api.tidesandcurrents.noaa.gov/mdapi/prod/webapi/stations/9439040.json", "More Info")</f>
        <v>0</v>
      </c>
      <c r="T550" s="1">
        <v>899438</v>
      </c>
      <c r="U550" s="1">
        <v>0</v>
      </c>
      <c r="V550" s="1" t="s">
        <v>872</v>
      </c>
      <c r="W550" s="1" t="s">
        <v>877</v>
      </c>
      <c r="X550" s="1" t="s">
        <v>886</v>
      </c>
      <c r="Y550" s="1">
        <v>8.609999999999999</v>
      </c>
      <c r="Z550" s="1">
        <v>7.94</v>
      </c>
      <c r="AA550" s="1">
        <v>4.55</v>
      </c>
      <c r="AB550" s="1">
        <v>4.51</v>
      </c>
      <c r="AC550" s="1">
        <v>4.31</v>
      </c>
      <c r="AD550" s="1">
        <v>1.17</v>
      </c>
      <c r="AE550" s="1">
        <v>0</v>
      </c>
      <c r="AF550" s="1">
        <v>-0.21</v>
      </c>
      <c r="AG550" s="1">
        <v>-2.23</v>
      </c>
      <c r="AH550" s="1" t="s">
        <v>1319</v>
      </c>
      <c r="AI550" s="1" t="s">
        <v>1574</v>
      </c>
      <c r="AJ550" s="1">
        <v>-0.381</v>
      </c>
      <c r="AK550" s="1">
        <v>-8.989000000000001</v>
      </c>
      <c r="AY550" s="2">
        <f>HYPERLINK("https://vdatum.noaa.gov/vdatumweb/api/convert?s_x=-123.768&amp;s_y=46.20731&amp;s_z=0.0&amp;region=westcoast&amp;s_h_frame=NAD83_2011&amp;s_coor=geo&amp;s_v_frame=NAVD88&amp;s_v_unit=us_ft&amp;t_h_frame=IGS14&amp;t_coor=geo&amp;t_v_frame=MLLW&amp;t_v_unit=us_ft", "NAVD88 to MLLW")</f>
        <v>0</v>
      </c>
      <c r="AZ550" s="2">
        <f>HYPERLINK("https://vdatum.noaa.gov/vdatumweb/api/convert?s_x=-123.768&amp;s_y=46.20731&amp;s_z=0.0&amp;region=westcoast&amp;s_h_frame=NAD83_2011&amp;s_coor=geo&amp;s_v_frame=NAVD88&amp;s_v_unit=us_ft&amp;t_h_frame=IGS14&amp;t_coor=geo&amp;t_v_frame=MHHW&amp;t_v_unit=us_ft", "NAVD88 to MHHW")</f>
        <v>0</v>
      </c>
    </row>
    <row r="551" spans="1:52">
      <c r="A551" s="1" t="s">
        <v>575</v>
      </c>
      <c r="B551" s="1" t="s">
        <v>641</v>
      </c>
      <c r="D551" s="1" t="s">
        <v>655</v>
      </c>
      <c r="L551" s="1">
        <v>-123.409</v>
      </c>
      <c r="M551" s="1">
        <v>46.16167</v>
      </c>
      <c r="N551" s="1">
        <v>9439099</v>
      </c>
      <c r="O551" s="1" t="s">
        <v>861</v>
      </c>
      <c r="P551" s="1" t="s">
        <v>866</v>
      </c>
      <c r="Q551" s="2">
        <f>HYPERLINK("https://tidesandcurrents.noaa.gov/stationhome.html?id=9439099", "Station Info")</f>
        <v>0</v>
      </c>
      <c r="R551" s="2">
        <f>HYPERLINK("https://tidesandcurrents.noaa.gov/datums.html?datum=MLLW&amp;units=0&amp;epoch=0&amp;id=9439099", "Datum Info")</f>
        <v>0</v>
      </c>
      <c r="S551" s="2">
        <f>HYPERLINK("https://api.tidesandcurrents.noaa.gov/mdapi/prod/webapi/stations/9439099.json", "More Info")</f>
        <v>0</v>
      </c>
      <c r="T551" s="1">
        <v>1453191</v>
      </c>
      <c r="U551" s="1">
        <v>1.617</v>
      </c>
      <c r="V551" s="1" t="s">
        <v>872</v>
      </c>
      <c r="W551" s="1" t="s">
        <v>877</v>
      </c>
      <c r="X551" s="1" t="s">
        <v>886</v>
      </c>
      <c r="Y551" s="1">
        <v>6.99</v>
      </c>
      <c r="Z551" s="1">
        <v>6.39</v>
      </c>
      <c r="AA551" s="1">
        <v>3.53</v>
      </c>
      <c r="AB551" s="1">
        <v>3.4</v>
      </c>
      <c r="AC551" s="1">
        <v>3.49</v>
      </c>
      <c r="AD551" s="1">
        <v>0.67</v>
      </c>
      <c r="AE551" s="1">
        <v>0</v>
      </c>
      <c r="AF551" s="1" t="s">
        <v>1058</v>
      </c>
      <c r="AG551" s="1">
        <v>-1</v>
      </c>
      <c r="AH551" s="1" t="s">
        <v>1320</v>
      </c>
      <c r="AI551" s="1" t="s">
        <v>1575</v>
      </c>
      <c r="AJ551" s="1">
        <v>-2.415</v>
      </c>
      <c r="AK551" s="1">
        <v>-9.377000000000001</v>
      </c>
      <c r="AY551" s="2">
        <f>HYPERLINK("https://vdatum.noaa.gov/vdatumweb/api/convert?s_x=-123.409&amp;s_y=46.16167&amp;s_z=0.0&amp;region=westcoast&amp;s_h_frame=NAD83_2011&amp;s_coor=geo&amp;s_v_frame=NAVD88&amp;s_v_unit=us_ft&amp;t_h_frame=IGS14&amp;t_coor=geo&amp;t_v_frame=MLLW&amp;t_v_unit=us_ft", "NAVD88 to MLLW")</f>
        <v>0</v>
      </c>
      <c r="AZ551" s="2">
        <f>HYPERLINK("https://vdatum.noaa.gov/vdatumweb/api/convert?s_x=-123.409&amp;s_y=46.16167&amp;s_z=0.0&amp;region=westcoast&amp;s_h_frame=NAD83_2011&amp;s_coor=geo&amp;s_v_frame=NAVD88&amp;s_v_unit=us_ft&amp;t_h_frame=IGS14&amp;t_coor=geo&amp;t_v_frame=MHHW&amp;t_v_unit=us_ft", "NAVD88 to MHHW")</f>
        <v>0</v>
      </c>
    </row>
    <row r="552" spans="1:52">
      <c r="A552" s="1" t="s">
        <v>576</v>
      </c>
      <c r="B552" s="1" t="s">
        <v>641</v>
      </c>
      <c r="C552" s="1" t="s">
        <v>651</v>
      </c>
      <c r="D552" s="1" t="s">
        <v>655</v>
      </c>
      <c r="E552" s="1" t="s">
        <v>819</v>
      </c>
      <c r="F552" s="1" t="s">
        <v>852</v>
      </c>
      <c r="G552" s="1" t="s">
        <v>858</v>
      </c>
      <c r="L552" s="1">
        <v>-122.796</v>
      </c>
      <c r="M552" s="1">
        <v>45.86331</v>
      </c>
      <c r="N552" s="1">
        <v>9439201</v>
      </c>
      <c r="O552" s="1" t="s">
        <v>861</v>
      </c>
      <c r="P552" s="1" t="s">
        <v>866</v>
      </c>
      <c r="Q552" s="2">
        <f>HYPERLINK("https://tidesandcurrents.noaa.gov/stationhome.html?id=9439201", "Station Info")</f>
        <v>0</v>
      </c>
      <c r="R552" s="2">
        <f>HYPERLINK("https://tidesandcurrents.noaa.gov/datums.html?datum=MLLW&amp;units=0&amp;epoch=0&amp;id=9439201", "Datum Info")</f>
        <v>0</v>
      </c>
      <c r="S552" s="2">
        <f>HYPERLINK("https://api.tidesandcurrents.noaa.gov/mdapi/prod/webapi/stations/9439201.json", "More Info")</f>
        <v>0</v>
      </c>
      <c r="T552" s="1">
        <v>522680</v>
      </c>
      <c r="U552" s="1">
        <v>2.327</v>
      </c>
      <c r="V552" s="1" t="s">
        <v>872</v>
      </c>
      <c r="W552" s="1" t="s">
        <v>877</v>
      </c>
      <c r="X552" s="1" t="s">
        <v>886</v>
      </c>
      <c r="Y552" s="1">
        <v>3.23</v>
      </c>
      <c r="Z552" s="1">
        <v>2.75</v>
      </c>
      <c r="AA552" s="1">
        <v>1.49</v>
      </c>
      <c r="AB552" s="1">
        <v>1.49</v>
      </c>
      <c r="AC552" s="1">
        <v>1.62</v>
      </c>
      <c r="AD552" s="1">
        <v>0.23</v>
      </c>
      <c r="AE552" s="1">
        <v>0</v>
      </c>
      <c r="AF552" s="1" t="s">
        <v>1059</v>
      </c>
      <c r="AG552" s="1">
        <v>-2.05</v>
      </c>
      <c r="AH552" s="1" t="s">
        <v>1321</v>
      </c>
      <c r="AI552" s="1" t="s">
        <v>1576</v>
      </c>
      <c r="AJ552" s="1">
        <v>-6.365</v>
      </c>
      <c r="AK552" s="1">
        <v>-9.625999999999999</v>
      </c>
      <c r="AY552" s="2">
        <f>HYPERLINK("https://vdatum.noaa.gov/vdatumweb/api/convert?s_x=-122.796&amp;s_y=45.86331&amp;s_z=0.0&amp;region=westcoast&amp;s_h_frame=NAD83_2011&amp;s_coor=geo&amp;s_v_frame=NAVD88&amp;s_v_unit=us_ft&amp;t_h_frame=IGS14&amp;t_coor=geo&amp;t_v_frame=MLLW&amp;t_v_unit=us_ft", "NAVD88 to MLLW")</f>
        <v>0</v>
      </c>
      <c r="AZ552" s="2">
        <f>HYPERLINK("https://vdatum.noaa.gov/vdatumweb/api/convert?s_x=-122.796&amp;s_y=45.86331&amp;s_z=0.0&amp;region=westcoast&amp;s_h_frame=NAD83_2011&amp;s_coor=geo&amp;s_v_frame=NAVD88&amp;s_v_unit=us_ft&amp;t_h_frame=IGS14&amp;t_coor=geo&amp;t_v_frame=MHHW&amp;t_v_unit=us_ft", "NAVD88 to MHHW")</f>
        <v>0</v>
      </c>
    </row>
    <row r="553" spans="1:52">
      <c r="A553" s="1" t="s">
        <v>577</v>
      </c>
      <c r="B553" s="1" t="s">
        <v>641</v>
      </c>
      <c r="C553" s="1" t="s">
        <v>651</v>
      </c>
      <c r="D553" s="1" t="s">
        <v>655</v>
      </c>
      <c r="E553" s="1" t="s">
        <v>820</v>
      </c>
      <c r="F553" s="1" t="s">
        <v>853</v>
      </c>
      <c r="G553" s="1" t="s">
        <v>858</v>
      </c>
      <c r="L553" s="1">
        <v>-122.697</v>
      </c>
      <c r="M553" s="1">
        <v>45.63169</v>
      </c>
      <c r="N553" s="1">
        <v>9440083</v>
      </c>
      <c r="O553" s="1" t="s">
        <v>861</v>
      </c>
      <c r="P553" s="1" t="s">
        <v>866</v>
      </c>
      <c r="Q553" s="2">
        <f>HYPERLINK("https://tidesandcurrents.noaa.gov/stationhome.html?id=9440083", "Station Info")</f>
        <v>0</v>
      </c>
      <c r="R553" s="2">
        <f>HYPERLINK("https://tidesandcurrents.noaa.gov/datums.html?datum=MLLW&amp;units=0&amp;epoch=0&amp;id=9440083", "Datum Info")</f>
        <v>0</v>
      </c>
      <c r="S553" s="2">
        <f>HYPERLINK("https://api.tidesandcurrents.noaa.gov/mdapi/prod/webapi/stations/9440083.json", "More Info")</f>
        <v>0</v>
      </c>
      <c r="T553" s="1">
        <v>307945</v>
      </c>
      <c r="U553" s="1">
        <v>2.272</v>
      </c>
      <c r="V553" s="1" t="s">
        <v>872</v>
      </c>
      <c r="W553" s="1" t="s">
        <v>877</v>
      </c>
      <c r="X553" s="1" t="s">
        <v>886</v>
      </c>
      <c r="Y553" s="1">
        <v>3.19</v>
      </c>
      <c r="Z553" s="1">
        <v>2.66</v>
      </c>
      <c r="AA553" s="1">
        <v>1.44</v>
      </c>
      <c r="AB553" s="1">
        <v>1.35</v>
      </c>
      <c r="AC553" s="1">
        <v>1.6</v>
      </c>
      <c r="AD553" s="1">
        <v>0.22</v>
      </c>
      <c r="AE553" s="1">
        <v>0</v>
      </c>
      <c r="AF553" s="1" t="s">
        <v>1060</v>
      </c>
      <c r="AG553" s="1">
        <v>-1.78</v>
      </c>
      <c r="AH553" s="1" t="s">
        <v>1322</v>
      </c>
      <c r="AI553" s="1" t="s">
        <v>1577</v>
      </c>
      <c r="AJ553" s="1">
        <v>-7.096</v>
      </c>
      <c r="AK553" s="1">
        <v>-10.292</v>
      </c>
      <c r="AY553" s="2">
        <f>HYPERLINK("https://vdatum.noaa.gov/vdatumweb/api/convert?s_x=-122.697&amp;s_y=45.63169&amp;s_z=0.0&amp;region=westcoast&amp;s_h_frame=NAD83_2011&amp;s_coor=geo&amp;s_v_frame=NAVD88&amp;s_v_unit=us_ft&amp;t_h_frame=IGS14&amp;t_coor=geo&amp;t_v_frame=MLLW&amp;t_v_unit=us_ft", "NAVD88 to MLLW")</f>
        <v>0</v>
      </c>
      <c r="AZ553" s="2">
        <f>HYPERLINK("https://vdatum.noaa.gov/vdatumweb/api/convert?s_x=-122.697&amp;s_y=45.63169&amp;s_z=0.0&amp;region=westcoast&amp;s_h_frame=NAD83_2011&amp;s_coor=geo&amp;s_v_frame=NAVD88&amp;s_v_unit=us_ft&amp;t_h_frame=IGS14&amp;t_coor=geo&amp;t_v_frame=MHHW&amp;t_v_unit=us_ft", "NAVD88 to MHHW")</f>
        <v>0</v>
      </c>
    </row>
    <row r="554" spans="1:52">
      <c r="A554" s="1" t="s">
        <v>578</v>
      </c>
      <c r="B554" s="1" t="s">
        <v>641</v>
      </c>
      <c r="C554" s="1" t="s">
        <v>651</v>
      </c>
      <c r="D554" s="1" t="s">
        <v>655</v>
      </c>
      <c r="E554" s="1" t="s">
        <v>821</v>
      </c>
      <c r="F554" s="1" t="s">
        <v>853</v>
      </c>
      <c r="G554" s="1" t="s">
        <v>858</v>
      </c>
      <c r="L554" s="1">
        <v>-122.954</v>
      </c>
      <c r="M554" s="1">
        <v>46.10614</v>
      </c>
      <c r="N554" s="1">
        <v>9440422</v>
      </c>
      <c r="O554" s="1" t="s">
        <v>861</v>
      </c>
      <c r="P554" s="1" t="s">
        <v>866</v>
      </c>
      <c r="Q554" s="2">
        <f>HYPERLINK("https://tidesandcurrents.noaa.gov/stationhome.html?id=9440422", "Station Info")</f>
        <v>0</v>
      </c>
      <c r="R554" s="2">
        <f>HYPERLINK("https://tidesandcurrents.noaa.gov/datums.html?datum=MLLW&amp;units=0&amp;epoch=0&amp;id=9440422", "Datum Info")</f>
        <v>0</v>
      </c>
      <c r="S554" s="2">
        <f>HYPERLINK("https://api.tidesandcurrents.noaa.gov/mdapi/prod/webapi/stations/9440422.json", "More Info")</f>
        <v>0</v>
      </c>
      <c r="T554" s="1">
        <v>2304321</v>
      </c>
      <c r="U554" s="1">
        <v>2.129</v>
      </c>
      <c r="V554" s="1" t="s">
        <v>872</v>
      </c>
      <c r="W554" s="1" t="s">
        <v>877</v>
      </c>
      <c r="X554" s="1" t="s">
        <v>886</v>
      </c>
      <c r="Y554" s="1">
        <v>4.55</v>
      </c>
      <c r="Z554" s="1">
        <v>4.08</v>
      </c>
      <c r="AA554" s="1">
        <v>2.2</v>
      </c>
      <c r="AB554" s="1">
        <v>2.05</v>
      </c>
      <c r="AC554" s="1">
        <v>2.28</v>
      </c>
      <c r="AD554" s="1">
        <v>0.33</v>
      </c>
      <c r="AE554" s="1">
        <v>0</v>
      </c>
      <c r="AF554" s="1" t="s">
        <v>1061</v>
      </c>
      <c r="AG554" s="1">
        <v>-2.53</v>
      </c>
      <c r="AH554" s="1" t="s">
        <v>1323</v>
      </c>
      <c r="AI554" s="1" t="s">
        <v>1578</v>
      </c>
      <c r="AJ554" s="1">
        <v>-4.905</v>
      </c>
      <c r="AK554" s="1">
        <v>-9.423</v>
      </c>
      <c r="AY554" s="2">
        <f>HYPERLINK("https://vdatum.noaa.gov/vdatumweb/api/convert?s_x=-122.954&amp;s_y=46.10614&amp;s_z=0.0&amp;region=westcoast&amp;s_h_frame=NAD83_2011&amp;s_coor=geo&amp;s_v_frame=NAVD88&amp;s_v_unit=us_ft&amp;t_h_frame=IGS14&amp;t_coor=geo&amp;t_v_frame=MLLW&amp;t_v_unit=us_ft", "NAVD88 to MLLW")</f>
        <v>0</v>
      </c>
      <c r="AZ554" s="2">
        <f>HYPERLINK("https://vdatum.noaa.gov/vdatumweb/api/convert?s_x=-122.954&amp;s_y=46.10614&amp;s_z=0.0&amp;region=westcoast&amp;s_h_frame=NAD83_2011&amp;s_coor=geo&amp;s_v_frame=NAVD88&amp;s_v_unit=us_ft&amp;t_h_frame=IGS14&amp;t_coor=geo&amp;t_v_frame=MHHW&amp;t_v_unit=us_ft", "NAVD88 to MHHW")</f>
        <v>0</v>
      </c>
    </row>
    <row r="555" spans="1:52">
      <c r="A555" s="1" t="s">
        <v>579</v>
      </c>
      <c r="B555" s="1" t="s">
        <v>641</v>
      </c>
      <c r="C555" s="1" t="s">
        <v>651</v>
      </c>
      <c r="D555" s="1" t="s">
        <v>655</v>
      </c>
      <c r="E555" s="1" t="s">
        <v>822</v>
      </c>
      <c r="F555" s="1" t="s">
        <v>853</v>
      </c>
      <c r="G555" s="1" t="s">
        <v>858</v>
      </c>
      <c r="L555" s="1">
        <v>-123.457</v>
      </c>
      <c r="M555" s="1">
        <v>46.27031</v>
      </c>
      <c r="N555" s="1">
        <v>9440569</v>
      </c>
      <c r="O555" s="1" t="s">
        <v>861</v>
      </c>
      <c r="P555" s="1" t="s">
        <v>866</v>
      </c>
      <c r="Q555" s="2">
        <f>HYPERLINK("https://tidesandcurrents.noaa.gov/stationhome.html?id=9440569", "Station Info")</f>
        <v>0</v>
      </c>
      <c r="R555" s="2">
        <f>HYPERLINK("https://tidesandcurrents.noaa.gov/datums.html?datum=MLLW&amp;units=0&amp;epoch=0&amp;id=9440569", "Datum Info")</f>
        <v>0</v>
      </c>
      <c r="S555" s="2">
        <f>HYPERLINK("https://api.tidesandcurrents.noaa.gov/mdapi/prod/webapi/stations/9440569.json", "More Info")</f>
        <v>0</v>
      </c>
      <c r="T555" s="1">
        <v>2075803</v>
      </c>
      <c r="U555" s="1">
        <v>1.551</v>
      </c>
      <c r="V555" s="1" t="s">
        <v>872</v>
      </c>
      <c r="W555" s="1" t="s">
        <v>877</v>
      </c>
      <c r="X555" s="1" t="s">
        <v>886</v>
      </c>
      <c r="Y555" s="1">
        <v>7.49</v>
      </c>
      <c r="Z555" s="1">
        <v>6.86</v>
      </c>
      <c r="AA555" s="1">
        <v>3.82</v>
      </c>
      <c r="AB555" s="1">
        <v>3.73</v>
      </c>
      <c r="AC555" s="1">
        <v>3.75</v>
      </c>
      <c r="AD555" s="1">
        <v>0.77</v>
      </c>
      <c r="AE555" s="1">
        <v>0</v>
      </c>
      <c r="AF555" s="1" t="s">
        <v>1062</v>
      </c>
      <c r="AG555" s="1">
        <v>-0.48</v>
      </c>
      <c r="AH555" s="1" t="s">
        <v>1324</v>
      </c>
      <c r="AI555" s="1" t="s">
        <v>1579</v>
      </c>
      <c r="AJ555" s="1">
        <v>-1.821</v>
      </c>
      <c r="AK555" s="1">
        <v>-9.334</v>
      </c>
      <c r="AY555" s="2">
        <f>HYPERLINK("https://vdatum.noaa.gov/vdatumweb/api/convert?s_x=-123.457&amp;s_y=46.27031&amp;s_z=0.0&amp;region=westcoast&amp;s_h_frame=NAD83_2011&amp;s_coor=geo&amp;s_v_frame=NAVD88&amp;s_v_unit=us_ft&amp;t_h_frame=IGS14&amp;t_coor=geo&amp;t_v_frame=MLLW&amp;t_v_unit=us_ft", "NAVD88 to MLLW")</f>
        <v>0</v>
      </c>
      <c r="AZ555" s="2">
        <f>HYPERLINK("https://vdatum.noaa.gov/vdatumweb/api/convert?s_x=-123.457&amp;s_y=46.27031&amp;s_z=0.0&amp;region=westcoast&amp;s_h_frame=NAD83_2011&amp;s_coor=geo&amp;s_v_frame=NAVD88&amp;s_v_unit=us_ft&amp;t_h_frame=IGS14&amp;t_coor=geo&amp;t_v_frame=MHHW&amp;t_v_unit=us_ft", "NAVD88 to MHHW")</f>
        <v>0</v>
      </c>
    </row>
    <row r="556" spans="1:52">
      <c r="A556" s="1" t="s">
        <v>580</v>
      </c>
      <c r="B556" s="1" t="s">
        <v>641</v>
      </c>
      <c r="D556" s="1" t="s">
        <v>655</v>
      </c>
      <c r="L556" s="1">
        <v>-124.037</v>
      </c>
      <c r="M556" s="1">
        <v>46.2683</v>
      </c>
      <c r="N556" s="1">
        <v>9440572</v>
      </c>
      <c r="O556" s="1" t="s">
        <v>861</v>
      </c>
      <c r="P556" s="1" t="s">
        <v>866</v>
      </c>
      <c r="Q556" s="2">
        <f>HYPERLINK("https://tidesandcurrents.noaa.gov/stationhome.html?id=9440572", "Station Info")</f>
        <v>0</v>
      </c>
      <c r="R556" s="2">
        <f>HYPERLINK("https://tidesandcurrents.noaa.gov/datums.html?datum=MLLW&amp;units=0&amp;epoch=0&amp;id=9440572", "Datum Info")</f>
        <v>0</v>
      </c>
      <c r="S556" s="2">
        <f>HYPERLINK("https://api.tidesandcurrents.noaa.gov/mdapi/prod/webapi/stations/9440572.json", "More Info")</f>
        <v>0</v>
      </c>
      <c r="T556" s="1">
        <v>2504446</v>
      </c>
      <c r="U556" s="1">
        <v>0</v>
      </c>
      <c r="V556" s="1" t="s">
        <v>872</v>
      </c>
      <c r="W556" s="1" t="s">
        <v>877</v>
      </c>
      <c r="X556" s="1" t="s">
        <v>886</v>
      </c>
      <c r="Y556" s="1">
        <v>8.49</v>
      </c>
      <c r="Z556" s="1">
        <v>7.74</v>
      </c>
      <c r="AA556" s="1">
        <v>4.58</v>
      </c>
      <c r="AB556" s="1">
        <v>4.58</v>
      </c>
      <c r="AC556" s="1">
        <v>4.24</v>
      </c>
      <c r="AD556" s="1">
        <v>1.43</v>
      </c>
      <c r="AE556" s="1">
        <v>0</v>
      </c>
      <c r="AF556" s="1" t="s">
        <v>1063</v>
      </c>
      <c r="AG556" s="1">
        <v>-4.11</v>
      </c>
      <c r="AH556" s="1" t="s">
        <v>1325</v>
      </c>
      <c r="AI556" s="1" t="s">
        <v>1580</v>
      </c>
      <c r="AJ556" s="1">
        <v>0.335</v>
      </c>
      <c r="AK556" s="1">
        <v>-8.090999999999999</v>
      </c>
      <c r="AY556" s="2">
        <f>HYPERLINK("https://vdatum.noaa.gov/vdatumweb/api/convert?s_x=-124.037&amp;s_y=46.2683&amp;s_z=0.0&amp;region=westcoast&amp;s_h_frame=NAD83_2011&amp;s_coor=geo&amp;s_v_frame=NAVD88&amp;s_v_unit=us_ft&amp;t_h_frame=IGS14&amp;t_coor=geo&amp;t_v_frame=MLLW&amp;t_v_unit=us_ft", "NAVD88 to MLLW")</f>
        <v>0</v>
      </c>
      <c r="AZ556" s="2">
        <f>HYPERLINK("https://vdatum.noaa.gov/vdatumweb/api/convert?s_x=-124.037&amp;s_y=46.2683&amp;s_z=0.0&amp;region=westcoast&amp;s_h_frame=NAD83_2011&amp;s_coor=geo&amp;s_v_frame=NAVD88&amp;s_v_unit=us_ft&amp;t_h_frame=IGS14&amp;t_coor=geo&amp;t_v_frame=MHHW&amp;t_v_unit=us_ft", "NAVD88 to MHHW")</f>
        <v>0</v>
      </c>
    </row>
    <row r="557" spans="1:52">
      <c r="A557" s="1" t="s">
        <v>581</v>
      </c>
      <c r="B557" s="1" t="s">
        <v>641</v>
      </c>
      <c r="D557" s="1" t="s">
        <v>655</v>
      </c>
      <c r="L557" s="1">
        <v>-124.046</v>
      </c>
      <c r="M557" s="1">
        <v>46.28103</v>
      </c>
      <c r="N557" s="1">
        <v>9440581</v>
      </c>
      <c r="O557" s="1" t="s">
        <v>860</v>
      </c>
      <c r="P557" s="1" t="s">
        <v>866</v>
      </c>
      <c r="Q557" s="2">
        <f>HYPERLINK("https://tidesandcurrents.noaa.gov/stationhome.html?id=9440581", "Station Info")</f>
        <v>0</v>
      </c>
      <c r="R557" s="2">
        <f>HYPERLINK("https://tidesandcurrents.noaa.gov/datums.html?datum=MLLW&amp;units=0&amp;epoch=0&amp;id=9440581", "Datum Info")</f>
        <v>0</v>
      </c>
      <c r="S557" s="2">
        <f>HYPERLINK("https://api.tidesandcurrents.noaa.gov/mdapi/prod/webapi/stations/9440581.json", "More Info")</f>
        <v>0</v>
      </c>
      <c r="T557" s="1">
        <v>2504473</v>
      </c>
      <c r="U557" s="1">
        <v>0</v>
      </c>
      <c r="V557" s="1" t="s">
        <v>872</v>
      </c>
      <c r="W557" s="1" t="s">
        <v>877</v>
      </c>
      <c r="X557" s="1" t="s">
        <v>886</v>
      </c>
      <c r="Y557" s="1">
        <v>8.07</v>
      </c>
      <c r="Z557" s="1">
        <v>7.37</v>
      </c>
      <c r="AA557" s="1">
        <v>4.36</v>
      </c>
      <c r="AB557" s="1">
        <v>4.3</v>
      </c>
      <c r="AC557" s="1">
        <v>4.03</v>
      </c>
      <c r="AD557" s="1">
        <v>1.35</v>
      </c>
      <c r="AE557" s="1">
        <v>0</v>
      </c>
      <c r="AF557" s="1">
        <v>0.46</v>
      </c>
      <c r="AG557" s="1">
        <v>-52.27</v>
      </c>
      <c r="AH557" s="1" t="s">
        <v>1326</v>
      </c>
      <c r="AI557" s="1" t="s">
        <v>1581</v>
      </c>
      <c r="AJ557" s="1">
        <v>-0.121</v>
      </c>
      <c r="AK557" s="1">
        <v>-7.943</v>
      </c>
      <c r="AY557" s="2">
        <f>HYPERLINK("https://vdatum.noaa.gov/vdatumweb/api/convert?s_x=-124.046&amp;s_y=46.28103&amp;s_z=0.0&amp;region=westcoast&amp;s_h_frame=NAD83_2011&amp;s_coor=geo&amp;s_v_frame=NAVD88&amp;s_v_unit=us_ft&amp;t_h_frame=IGS14&amp;t_coor=geo&amp;t_v_frame=MLLW&amp;t_v_unit=us_ft", "NAVD88 to MLLW")</f>
        <v>0</v>
      </c>
      <c r="AZ557" s="2">
        <f>HYPERLINK("https://vdatum.noaa.gov/vdatumweb/api/convert?s_x=-124.046&amp;s_y=46.28103&amp;s_z=0.0&amp;region=westcoast&amp;s_h_frame=NAD83_2011&amp;s_coor=geo&amp;s_v_frame=NAVD88&amp;s_v_unit=us_ft&amp;t_h_frame=IGS14&amp;t_coor=geo&amp;t_v_frame=MHHW&amp;t_v_unit=us_ft", "NAVD88 to MHHW")</f>
        <v>0</v>
      </c>
    </row>
    <row r="558" spans="1:52">
      <c r="A558" s="1" t="s">
        <v>582</v>
      </c>
      <c r="B558" s="1" t="s">
        <v>641</v>
      </c>
      <c r="D558" s="1" t="s">
        <v>655</v>
      </c>
      <c r="L558" s="1">
        <v>-123.967</v>
      </c>
      <c r="M558" s="1">
        <v>46.7075</v>
      </c>
      <c r="N558" s="1">
        <v>9440910</v>
      </c>
      <c r="O558" s="1" t="s">
        <v>861</v>
      </c>
      <c r="P558" s="1" t="s">
        <v>866</v>
      </c>
      <c r="Q558" s="2">
        <f>HYPERLINK("https://tidesandcurrents.noaa.gov/stationhome.html?id=9440910", "Station Info")</f>
        <v>0</v>
      </c>
      <c r="R558" s="2">
        <f>HYPERLINK("https://tidesandcurrents.noaa.gov/datums.html?datum=MLLW&amp;units=0&amp;epoch=0&amp;id=9440910", "Datum Info")</f>
        <v>0</v>
      </c>
      <c r="S558" s="2">
        <f>HYPERLINK("https://api.tidesandcurrents.noaa.gov/mdapi/prod/webapi/stations/9440910.json", "More Info")</f>
        <v>0</v>
      </c>
      <c r="T558" s="1">
        <v>2076297</v>
      </c>
      <c r="U558" s="1">
        <v>0</v>
      </c>
      <c r="V558" s="1" t="s">
        <v>872</v>
      </c>
      <c r="W558" s="1" t="s">
        <v>877</v>
      </c>
      <c r="X558" s="1" t="s">
        <v>886</v>
      </c>
      <c r="Y558" s="1">
        <v>8.92</v>
      </c>
      <c r="Z558" s="1">
        <v>8.18</v>
      </c>
      <c r="AA558" s="1">
        <v>4.78</v>
      </c>
      <c r="AB558" s="1">
        <v>4.78</v>
      </c>
      <c r="AC558" s="1">
        <v>4.46</v>
      </c>
      <c r="AD558" s="1">
        <v>1.37</v>
      </c>
      <c r="AE558" s="1">
        <v>0</v>
      </c>
      <c r="AF558" s="1">
        <v>0.82</v>
      </c>
      <c r="AG558" s="1">
        <v>-4.52</v>
      </c>
      <c r="AH558" s="1" t="s">
        <v>1327</v>
      </c>
      <c r="AI558" s="1" t="s">
        <v>1582</v>
      </c>
      <c r="AJ558" s="1">
        <v>0.64</v>
      </c>
      <c r="AK558" s="1">
        <v>-8.284000000000001</v>
      </c>
      <c r="AY558" s="2">
        <f>HYPERLINK("https://vdatum.noaa.gov/vdatumweb/api/convert?s_x=-123.967&amp;s_y=46.7075&amp;s_z=0.0&amp;region=westcoast&amp;s_h_frame=NAD83_2011&amp;s_coor=geo&amp;s_v_frame=NAVD88&amp;s_v_unit=us_ft&amp;t_h_frame=IGS14&amp;t_coor=geo&amp;t_v_frame=MLLW&amp;t_v_unit=us_ft", "NAVD88 to MLLW")</f>
        <v>0</v>
      </c>
      <c r="AZ558" s="2">
        <f>HYPERLINK("https://vdatum.noaa.gov/vdatumweb/api/convert?s_x=-123.967&amp;s_y=46.7075&amp;s_z=0.0&amp;region=westcoast&amp;s_h_frame=NAD83_2011&amp;s_coor=geo&amp;s_v_frame=NAVD88&amp;s_v_unit=us_ft&amp;t_h_frame=IGS14&amp;t_coor=geo&amp;t_v_frame=MHHW&amp;t_v_unit=us_ft", "NAVD88 to MHHW")</f>
        <v>0</v>
      </c>
    </row>
    <row r="559" spans="1:52">
      <c r="A559" s="1" t="s">
        <v>583</v>
      </c>
      <c r="B559" s="1" t="s">
        <v>642</v>
      </c>
      <c r="C559" s="1" t="s">
        <v>651</v>
      </c>
      <c r="D559" s="1" t="s">
        <v>655</v>
      </c>
      <c r="L559" s="1">
        <v>-124.105</v>
      </c>
      <c r="M559" s="1">
        <v>46.90431</v>
      </c>
      <c r="N559" s="1">
        <v>9441102</v>
      </c>
      <c r="O559" s="1" t="s">
        <v>861</v>
      </c>
      <c r="P559" s="1" t="s">
        <v>866</v>
      </c>
      <c r="Q559" s="2">
        <f>HYPERLINK("https://tidesandcurrents.noaa.gov/stationhome.html?id=9441102", "Station Info")</f>
        <v>0</v>
      </c>
      <c r="R559" s="2">
        <f>HYPERLINK("https://tidesandcurrents.noaa.gov/datums.html?datum=MLLW&amp;units=0&amp;epoch=0&amp;id=9441102", "Datum Info")</f>
        <v>0</v>
      </c>
      <c r="S559" s="2">
        <f>HYPERLINK("https://api.tidesandcurrents.noaa.gov/mdapi/prod/webapi/stations/9441102.json", "More Info")</f>
        <v>0</v>
      </c>
      <c r="T559" s="1">
        <v>2581408</v>
      </c>
      <c r="U559" s="1">
        <v>0</v>
      </c>
      <c r="V559" s="1" t="s">
        <v>872</v>
      </c>
      <c r="W559" s="1" t="s">
        <v>877</v>
      </c>
      <c r="X559" s="1" t="s">
        <v>886</v>
      </c>
      <c r="Y559" s="1">
        <v>9.140000000000001</v>
      </c>
      <c r="Z559" s="1">
        <v>8.4</v>
      </c>
      <c r="AA559" s="1">
        <v>4.9</v>
      </c>
      <c r="AB559" s="1">
        <v>4.87</v>
      </c>
      <c r="AC559" s="1">
        <v>4.57</v>
      </c>
      <c r="AD559" s="1">
        <v>1.4</v>
      </c>
      <c r="AE559" s="1">
        <v>0</v>
      </c>
      <c r="AF559" s="1">
        <v>1.12</v>
      </c>
      <c r="AG559" s="1">
        <v>-3</v>
      </c>
      <c r="AH559" s="1" t="s">
        <v>1328</v>
      </c>
      <c r="AI559" s="1" t="s">
        <v>1583</v>
      </c>
      <c r="AJ559" s="1">
        <v>1.086</v>
      </c>
      <c r="AK559" s="1">
        <v>-8.064</v>
      </c>
      <c r="AY559" s="2">
        <f>HYPERLINK("https://vdatum.noaa.gov/vdatumweb/api/convert?s_x=-124.105&amp;s_y=46.90431&amp;s_z=0.0&amp;region=westcoast&amp;s_h_frame=NAD83_2011&amp;s_coor=geo&amp;s_v_frame=NAVD88&amp;s_v_unit=us_ft&amp;t_h_frame=IGS14&amp;t_coor=geo&amp;t_v_frame=MLLW&amp;t_v_unit=us_ft", "NAVD88 to MLLW")</f>
        <v>0</v>
      </c>
      <c r="AZ559" s="2">
        <f>HYPERLINK("https://vdatum.noaa.gov/vdatumweb/api/convert?s_x=-124.105&amp;s_y=46.90431&amp;s_z=0.0&amp;region=westcoast&amp;s_h_frame=NAD83_2011&amp;s_coor=geo&amp;s_v_frame=NAVD88&amp;s_v_unit=us_ft&amp;t_h_frame=IGS14&amp;t_coor=geo&amp;t_v_frame=MHHW&amp;t_v_unit=us_ft", "NAVD88 to MHHW")</f>
        <v>0</v>
      </c>
    </row>
    <row r="560" spans="1:52">
      <c r="A560" s="1" t="s">
        <v>584</v>
      </c>
      <c r="B560" s="1" t="s">
        <v>642</v>
      </c>
      <c r="D560" s="1" t="s">
        <v>655</v>
      </c>
      <c r="E560" s="1" t="s">
        <v>823</v>
      </c>
      <c r="F560" s="1" t="s">
        <v>853</v>
      </c>
      <c r="G560" s="1" t="s">
        <v>858</v>
      </c>
      <c r="L560" s="1">
        <v>-123.853</v>
      </c>
      <c r="M560" s="1">
        <v>46.9683</v>
      </c>
      <c r="N560" s="1">
        <v>9441187</v>
      </c>
      <c r="O560" s="1" t="s">
        <v>860</v>
      </c>
      <c r="P560" s="1" t="s">
        <v>866</v>
      </c>
      <c r="Q560" s="2">
        <f>HYPERLINK("https://tidesandcurrents.noaa.gov/stationhome.html?id=9441187", "Station Info")</f>
        <v>0</v>
      </c>
      <c r="R560" s="2">
        <f>HYPERLINK("https://tidesandcurrents.noaa.gov/datums.html?datum=MLLW&amp;units=0&amp;epoch=0&amp;id=9441187", "Datum Info")</f>
        <v>0</v>
      </c>
      <c r="S560" s="2">
        <f>HYPERLINK("https://api.tidesandcurrents.noaa.gov/mdapi/prod/webapi/stations/9441187.json", "More Info")</f>
        <v>0</v>
      </c>
      <c r="T560" s="1">
        <v>2114016</v>
      </c>
      <c r="U560" s="1">
        <v>0</v>
      </c>
      <c r="V560" s="1" t="s">
        <v>872</v>
      </c>
      <c r="W560" s="1" t="s">
        <v>877</v>
      </c>
      <c r="X560" s="1" t="s">
        <v>886</v>
      </c>
      <c r="Y560" s="1">
        <v>10.11</v>
      </c>
      <c r="Z560" s="1">
        <v>9.41</v>
      </c>
      <c r="AA560" s="1">
        <v>5.44</v>
      </c>
      <c r="AB560" s="1">
        <v>5.6</v>
      </c>
      <c r="AC560" s="1">
        <v>5.05</v>
      </c>
      <c r="AD560" s="1">
        <v>1.47</v>
      </c>
      <c r="AE560" s="1">
        <v>0</v>
      </c>
      <c r="AF560" s="1">
        <v>1.64</v>
      </c>
      <c r="AG560" s="1">
        <v>-7.04</v>
      </c>
      <c r="AH560" s="1" t="s">
        <v>1329</v>
      </c>
      <c r="AI560" s="1" t="s">
        <v>1584</v>
      </c>
      <c r="AJ560" s="1">
        <v>1.732</v>
      </c>
      <c r="AK560" s="1">
        <v>-8.396000000000001</v>
      </c>
      <c r="AY560" s="2">
        <f>HYPERLINK("https://vdatum.noaa.gov/vdatumweb/api/convert?s_x=-123.853&amp;s_y=46.9683&amp;s_z=0.0&amp;region=westcoast&amp;s_h_frame=NAD83_2011&amp;s_coor=geo&amp;s_v_frame=NAVD88&amp;s_v_unit=us_ft&amp;t_h_frame=IGS14&amp;t_coor=geo&amp;t_v_frame=MLLW&amp;t_v_unit=us_ft", "NAVD88 to MLLW")</f>
        <v>0</v>
      </c>
      <c r="AZ560" s="2">
        <f>HYPERLINK("https://vdatum.noaa.gov/vdatumweb/api/convert?s_x=-123.853&amp;s_y=46.9683&amp;s_z=0.0&amp;region=westcoast&amp;s_h_frame=NAD83_2011&amp;s_coor=geo&amp;s_v_frame=NAVD88&amp;s_v_unit=us_ft&amp;t_h_frame=IGS14&amp;t_coor=geo&amp;t_v_frame=MHHW&amp;t_v_unit=us_ft", "NAVD88 to MHHW")</f>
        <v>0</v>
      </c>
    </row>
    <row r="561" spans="1:52">
      <c r="A561" s="1" t="s">
        <v>585</v>
      </c>
      <c r="B561" s="1" t="s">
        <v>642</v>
      </c>
      <c r="C561" s="1" t="s">
        <v>651</v>
      </c>
      <c r="D561" s="1" t="s">
        <v>655</v>
      </c>
      <c r="E561" s="1" t="s">
        <v>823</v>
      </c>
      <c r="F561" s="1" t="s">
        <v>853</v>
      </c>
      <c r="G561" s="1" t="s">
        <v>858</v>
      </c>
      <c r="L561" s="1">
        <v>-124.285</v>
      </c>
      <c r="M561" s="1">
        <v>47.34833</v>
      </c>
      <c r="N561" s="1">
        <v>9441644</v>
      </c>
      <c r="O561" s="1" t="s">
        <v>861</v>
      </c>
      <c r="P561" s="1" t="s">
        <v>866</v>
      </c>
      <c r="Q561" s="2">
        <f>HYPERLINK("https://tidesandcurrents.noaa.gov/stationhome.html?id=9441644", "Station Info")</f>
        <v>0</v>
      </c>
      <c r="R561" s="2">
        <f>HYPERLINK("https://tidesandcurrents.noaa.gov/datums.html?datum=MHHW&amp;units=0&amp;epoch=0&amp;id=9441644", "Datum Info")</f>
        <v>0</v>
      </c>
      <c r="S561" s="2">
        <f>HYPERLINK("https://api.tidesandcurrents.noaa.gov/mdapi/prod/webapi/stations/9441644.json", "More Info")</f>
        <v>0</v>
      </c>
      <c r="T561" s="1">
        <v>1017515</v>
      </c>
      <c r="U561" s="1">
        <v>0</v>
      </c>
      <c r="V561" s="1" t="s">
        <v>872</v>
      </c>
      <c r="W561" s="1" t="s">
        <v>877</v>
      </c>
      <c r="X561" s="1" t="s">
        <v>880</v>
      </c>
      <c r="Y561" s="1">
        <v>0</v>
      </c>
      <c r="Z561" s="1">
        <v>-0.7</v>
      </c>
      <c r="AG561" s="1">
        <v>-33.15</v>
      </c>
      <c r="AJ561" s="1">
        <v>-999999</v>
      </c>
      <c r="AK561" s="1">
        <v>-999999</v>
      </c>
      <c r="AY561" s="2">
        <f>HYPERLINK("https://vdatum.noaa.gov/vdatumweb/api/convert?s_x=-124.285&amp;s_y=47.34833&amp;s_z=0.0&amp;region=westcoast&amp;s_h_frame=NAD83_2011&amp;s_coor=geo&amp;s_v_frame=NAVD88&amp;s_v_unit=us_ft&amp;t_h_frame=IGS14&amp;t_coor=geo&amp;t_v_frame=MLLW&amp;t_v_unit=us_ft", "Missing")</f>
        <v>0</v>
      </c>
      <c r="AZ561" s="2">
        <f>HYPERLINK("https://vdatum.noaa.gov/vdatumweb/api/convert?s_x=-124.285&amp;s_y=47.34833&amp;s_z=0.0&amp;region=westcoast&amp;s_h_frame=NAD83_2011&amp;s_coor=geo&amp;s_v_frame=NAVD88&amp;s_v_unit=us_ft&amp;t_h_frame=IGS14&amp;t_coor=geo&amp;t_v_frame=MHHW&amp;t_v_unit=us_ft", "Missing")</f>
        <v>0</v>
      </c>
    </row>
    <row r="562" spans="1:52">
      <c r="A562" s="1" t="s">
        <v>586</v>
      </c>
      <c r="B562" s="1" t="s">
        <v>642</v>
      </c>
      <c r="D562" s="1" t="s">
        <v>655</v>
      </c>
      <c r="E562" s="1" t="s">
        <v>824</v>
      </c>
      <c r="F562" s="1" t="s">
        <v>853</v>
      </c>
      <c r="G562" s="1" t="s">
        <v>858</v>
      </c>
      <c r="L562" s="1">
        <v>-124.637</v>
      </c>
      <c r="M562" s="1">
        <v>47.913</v>
      </c>
      <c r="N562" s="1">
        <v>9442396</v>
      </c>
      <c r="O562" s="1" t="s">
        <v>861</v>
      </c>
      <c r="P562" s="1" t="s">
        <v>866</v>
      </c>
      <c r="Q562" s="2">
        <f>HYPERLINK("https://tidesandcurrents.noaa.gov/stationhome.html?id=9442396", "Station Info")</f>
        <v>0</v>
      </c>
      <c r="R562" s="2">
        <f>HYPERLINK("https://tidesandcurrents.noaa.gov/datums.html?datum=MLLW&amp;units=0&amp;epoch=0&amp;id=9442396", "Datum Info")</f>
        <v>0</v>
      </c>
      <c r="S562" s="2">
        <f>HYPERLINK("https://api.tidesandcurrents.noaa.gov/mdapi/prod/webapi/stations/9442396.json", "More Info")</f>
        <v>0</v>
      </c>
      <c r="T562" s="1">
        <v>1919409</v>
      </c>
      <c r="U562" s="1">
        <v>0</v>
      </c>
      <c r="V562" s="1" t="s">
        <v>872</v>
      </c>
      <c r="W562" s="1" t="s">
        <v>877</v>
      </c>
      <c r="X562" s="1" t="s">
        <v>886</v>
      </c>
      <c r="Y562" s="1">
        <v>8.52</v>
      </c>
      <c r="Z562" s="1">
        <v>7.81</v>
      </c>
      <c r="AA562" s="1">
        <v>4.6</v>
      </c>
      <c r="AB562" s="1">
        <v>4.58</v>
      </c>
      <c r="AC562" s="1">
        <v>4.26</v>
      </c>
      <c r="AD562" s="1">
        <v>1.38</v>
      </c>
      <c r="AE562" s="1">
        <v>0</v>
      </c>
      <c r="AF562" s="1">
        <v>1.45</v>
      </c>
      <c r="AG562" s="1">
        <v>-5.17</v>
      </c>
      <c r="AH562" s="1" t="s">
        <v>1330</v>
      </c>
      <c r="AI562" s="1" t="s">
        <v>1585</v>
      </c>
      <c r="AJ562" s="1">
        <v>0.978</v>
      </c>
      <c r="AK562" s="1">
        <v>-7.477</v>
      </c>
      <c r="AY562" s="2">
        <f>HYPERLINK("https://vdatum.noaa.gov/vdatumweb/api/convert?s_x=-124.637&amp;s_y=47.913&amp;s_z=0.0&amp;region=westcoast&amp;s_h_frame=NAD83_2011&amp;s_coor=geo&amp;s_v_frame=NAVD88&amp;s_v_unit=us_ft&amp;t_h_frame=IGS14&amp;t_coor=geo&amp;t_v_frame=MLLW&amp;t_v_unit=us_ft", "NAVD88 to MLLW")</f>
        <v>0</v>
      </c>
      <c r="AZ562" s="2">
        <f>HYPERLINK("https://vdatum.noaa.gov/vdatumweb/api/convert?s_x=-124.637&amp;s_y=47.913&amp;s_z=0.0&amp;region=westcoast&amp;s_h_frame=NAD83_2011&amp;s_coor=geo&amp;s_v_frame=NAVD88&amp;s_v_unit=us_ft&amp;t_h_frame=IGS14&amp;t_coor=geo&amp;t_v_frame=MHHW&amp;t_v_unit=us_ft", "NAVD88 to MHHW")</f>
        <v>0</v>
      </c>
    </row>
    <row r="563" spans="1:52">
      <c r="A563" s="1" t="s">
        <v>587</v>
      </c>
      <c r="B563" s="1" t="s">
        <v>642</v>
      </c>
      <c r="D563" s="1" t="s">
        <v>655</v>
      </c>
      <c r="L563" s="1">
        <v>-124.602</v>
      </c>
      <c r="M563" s="1">
        <v>48.37028</v>
      </c>
      <c r="N563" s="1">
        <v>9443090</v>
      </c>
      <c r="O563" s="1" t="s">
        <v>861</v>
      </c>
      <c r="P563" s="1" t="s">
        <v>866</v>
      </c>
      <c r="Q563" s="2">
        <f>HYPERLINK("https://tidesandcurrents.noaa.gov/stationhome.html?id=9443090", "Station Info")</f>
        <v>0</v>
      </c>
      <c r="R563" s="2">
        <f>HYPERLINK("https://tidesandcurrents.noaa.gov/datums.html?datum=MLLW&amp;units=0&amp;epoch=0&amp;id=9443090", "Datum Info")</f>
        <v>0</v>
      </c>
      <c r="S563" s="2">
        <f>HYPERLINK("https://api.tidesandcurrents.noaa.gov/mdapi/prod/webapi/stations/9443090.json", "More Info")</f>
        <v>0</v>
      </c>
      <c r="T563" s="1">
        <v>682876</v>
      </c>
      <c r="U563" s="1">
        <v>0</v>
      </c>
      <c r="V563" s="1" t="s">
        <v>872</v>
      </c>
      <c r="W563" s="1" t="s">
        <v>877</v>
      </c>
      <c r="X563" s="1" t="s">
        <v>886</v>
      </c>
      <c r="Y563" s="1">
        <v>7.96</v>
      </c>
      <c r="Z563" s="1">
        <v>7.11</v>
      </c>
      <c r="AA563" s="1">
        <v>4.36</v>
      </c>
      <c r="AB563" s="1">
        <v>4.32</v>
      </c>
      <c r="AC563" s="1">
        <v>3.98</v>
      </c>
      <c r="AD563" s="1">
        <v>1.6</v>
      </c>
      <c r="AE563" s="1">
        <v>0</v>
      </c>
      <c r="AF563" s="1">
        <v>0.84</v>
      </c>
      <c r="AG563" s="1">
        <v>-2</v>
      </c>
      <c r="AH563" s="1" t="s">
        <v>1331</v>
      </c>
      <c r="AI563" s="1" t="s">
        <v>1586</v>
      </c>
      <c r="AJ563" s="1">
        <v>0.696</v>
      </c>
      <c r="AK563" s="1">
        <v>-7.264</v>
      </c>
      <c r="AY563" s="2">
        <f>HYPERLINK("https://vdatum.noaa.gov/vdatumweb/api/convert?s_x=-124.602&amp;s_y=48.37028&amp;s_z=0.0&amp;region=westcoast&amp;s_h_frame=NAD83_2011&amp;s_coor=geo&amp;s_v_frame=NAVD88&amp;s_v_unit=us_ft&amp;t_h_frame=IGS14&amp;t_coor=geo&amp;t_v_frame=MLLW&amp;t_v_unit=us_ft", "NAVD88 to MLLW")</f>
        <v>0</v>
      </c>
      <c r="AZ563" s="2">
        <f>HYPERLINK("https://vdatum.noaa.gov/vdatumweb/api/convert?s_x=-124.602&amp;s_y=48.37028&amp;s_z=0.0&amp;region=westcoast&amp;s_h_frame=NAD83_2011&amp;s_coor=geo&amp;s_v_frame=NAVD88&amp;s_v_unit=us_ft&amp;t_h_frame=IGS14&amp;t_coor=geo&amp;t_v_frame=MHHW&amp;t_v_unit=us_ft", "NAVD88 to MHHW")</f>
        <v>0</v>
      </c>
    </row>
    <row r="564" spans="1:52">
      <c r="A564" s="1" t="s">
        <v>588</v>
      </c>
      <c r="B564" s="1" t="s">
        <v>642</v>
      </c>
      <c r="C564" s="1" t="s">
        <v>651</v>
      </c>
      <c r="D564" s="1" t="s">
        <v>655</v>
      </c>
      <c r="L564" s="1">
        <v>-123.44</v>
      </c>
      <c r="M564" s="1">
        <v>48.125</v>
      </c>
      <c r="N564" s="1">
        <v>9444090</v>
      </c>
      <c r="O564" s="1" t="s">
        <v>861</v>
      </c>
      <c r="P564" s="1" t="s">
        <v>866</v>
      </c>
      <c r="Q564" s="2">
        <f>HYPERLINK("https://tidesandcurrents.noaa.gov/stationhome.html?id=9444090", "Station Info")</f>
        <v>0</v>
      </c>
      <c r="R564" s="2">
        <f>HYPERLINK("https://tidesandcurrents.noaa.gov/datums.html?datum=MLLW&amp;units=0&amp;epoch=0&amp;id=9444090", "Datum Info")</f>
        <v>0</v>
      </c>
      <c r="S564" s="2">
        <f>HYPERLINK("https://api.tidesandcurrents.noaa.gov/mdapi/prod/webapi/stations/9444090.json", "More Info")</f>
        <v>0</v>
      </c>
      <c r="T564" s="1">
        <v>681597</v>
      </c>
      <c r="U564" s="1">
        <v>0</v>
      </c>
      <c r="V564" s="1" t="s">
        <v>872</v>
      </c>
      <c r="W564" s="1" t="s">
        <v>877</v>
      </c>
      <c r="X564" s="1" t="s">
        <v>886</v>
      </c>
      <c r="Y564" s="1">
        <v>7.06</v>
      </c>
      <c r="Z564" s="1">
        <v>6.51</v>
      </c>
      <c r="AA564" s="1">
        <v>4.21</v>
      </c>
      <c r="AB564" s="1">
        <v>4.24</v>
      </c>
      <c r="AC564" s="1">
        <v>3.53</v>
      </c>
      <c r="AD564" s="1">
        <v>1.92</v>
      </c>
      <c r="AE564" s="1">
        <v>0</v>
      </c>
      <c r="AF564" s="1">
        <v>0.42</v>
      </c>
      <c r="AG564" s="1">
        <v>-30.32</v>
      </c>
      <c r="AH564" s="1" t="s">
        <v>1332</v>
      </c>
      <c r="AI564" s="1" t="s">
        <v>1587</v>
      </c>
      <c r="AJ564" s="1">
        <v>0.328</v>
      </c>
      <c r="AK564" s="1">
        <v>-6.736</v>
      </c>
      <c r="AY564" s="2">
        <f>HYPERLINK("https://vdatum.noaa.gov/vdatumweb/api/convert?s_x=-123.44&amp;s_y=48.125&amp;s_z=0.0&amp;region=westcoast&amp;s_h_frame=NAD83_2011&amp;s_coor=geo&amp;s_v_frame=NAVD88&amp;s_v_unit=us_ft&amp;t_h_frame=IGS14&amp;t_coor=geo&amp;t_v_frame=MLLW&amp;t_v_unit=us_ft", "NAVD88 to MLLW")</f>
        <v>0</v>
      </c>
      <c r="AZ564" s="2">
        <f>HYPERLINK("https://vdatum.noaa.gov/vdatumweb/api/convert?s_x=-123.44&amp;s_y=48.125&amp;s_z=0.0&amp;region=westcoast&amp;s_h_frame=NAD83_2011&amp;s_coor=geo&amp;s_v_frame=NAVD88&amp;s_v_unit=us_ft&amp;t_h_frame=IGS14&amp;t_coor=geo&amp;t_v_frame=MHHW&amp;t_v_unit=us_ft", "NAVD88 to MHHW")</f>
        <v>0</v>
      </c>
    </row>
    <row r="565" spans="1:52">
      <c r="A565" s="1" t="s">
        <v>589</v>
      </c>
      <c r="B565" s="1" t="s">
        <v>642</v>
      </c>
      <c r="C565" s="1" t="s">
        <v>651</v>
      </c>
      <c r="D565" s="1" t="s">
        <v>655</v>
      </c>
      <c r="E565" s="1" t="s">
        <v>758</v>
      </c>
      <c r="F565" s="1" t="s">
        <v>853</v>
      </c>
      <c r="G565" s="1" t="s">
        <v>858</v>
      </c>
      <c r="L565" s="1">
        <v>-122.76</v>
      </c>
      <c r="M565" s="1">
        <v>48.1129</v>
      </c>
      <c r="N565" s="1">
        <v>9444900</v>
      </c>
      <c r="O565" s="1" t="s">
        <v>861</v>
      </c>
      <c r="P565" s="1" t="s">
        <v>866</v>
      </c>
      <c r="Q565" s="2">
        <f>HYPERLINK("https://tidesandcurrents.noaa.gov/stationhome.html?id=9444900", "Station Info")</f>
        <v>0</v>
      </c>
      <c r="R565" s="2">
        <f>HYPERLINK("https://tidesandcurrents.noaa.gov/datums.html?datum=MLLW&amp;units=0&amp;epoch=0&amp;id=9444900", "Datum Info")</f>
        <v>0</v>
      </c>
      <c r="S565" s="2">
        <f>HYPERLINK("https://api.tidesandcurrents.noaa.gov/mdapi/prod/webapi/stations/9444900.json", "More Info")</f>
        <v>0</v>
      </c>
      <c r="T565" s="1">
        <v>1306902</v>
      </c>
      <c r="U565" s="1">
        <v>1.19</v>
      </c>
      <c r="V565" s="1" t="s">
        <v>872</v>
      </c>
      <c r="W565" s="1" t="s">
        <v>877</v>
      </c>
      <c r="X565" s="1" t="s">
        <v>886</v>
      </c>
      <c r="Y565" s="1">
        <v>8.52</v>
      </c>
      <c r="Z565" s="1">
        <v>7.84</v>
      </c>
      <c r="AA565" s="1">
        <v>5.17</v>
      </c>
      <c r="AB565" s="1">
        <v>5</v>
      </c>
      <c r="AC565" s="1">
        <v>4.26</v>
      </c>
      <c r="AD565" s="1">
        <v>2.5</v>
      </c>
      <c r="AE565" s="1">
        <v>0</v>
      </c>
      <c r="AF565" s="1" t="s">
        <v>1064</v>
      </c>
      <c r="AG565" s="1">
        <v>-3.36</v>
      </c>
      <c r="AH565" s="1" t="s">
        <v>1333</v>
      </c>
      <c r="AI565" s="1" t="s">
        <v>1588</v>
      </c>
      <c r="AJ565" s="1">
        <v>0.928</v>
      </c>
      <c r="AK565" s="1">
        <v>-7.592</v>
      </c>
      <c r="AY565" s="2">
        <f>HYPERLINK("https://vdatum.noaa.gov/vdatumweb/api/convert?s_x=-122.76&amp;s_y=48.1129&amp;s_z=0.0&amp;region=westcoast&amp;s_h_frame=NAD83_2011&amp;s_coor=geo&amp;s_v_frame=NAVD88&amp;s_v_unit=us_ft&amp;t_h_frame=IGS14&amp;t_coor=geo&amp;t_v_frame=MLLW&amp;t_v_unit=us_ft", "NAVD88 to MLLW")</f>
        <v>0</v>
      </c>
      <c r="AZ565" s="2">
        <f>HYPERLINK("https://vdatum.noaa.gov/vdatumweb/api/convert?s_x=-122.76&amp;s_y=48.1129&amp;s_z=0.0&amp;region=westcoast&amp;s_h_frame=NAD83_2011&amp;s_coor=geo&amp;s_v_frame=NAVD88&amp;s_v_unit=us_ft&amp;t_h_frame=IGS14&amp;t_coor=geo&amp;t_v_frame=MHHW&amp;t_v_unit=us_ft", "NAVD88 to MHHW")</f>
        <v>0</v>
      </c>
    </row>
    <row r="566" spans="1:52">
      <c r="A566" s="1" t="s">
        <v>590</v>
      </c>
      <c r="B566" s="1" t="s">
        <v>642</v>
      </c>
      <c r="D566" s="1" t="s">
        <v>655</v>
      </c>
      <c r="L566" s="1">
        <v>-122.623</v>
      </c>
      <c r="M566" s="1">
        <v>47.5617</v>
      </c>
      <c r="N566" s="1">
        <v>9445958</v>
      </c>
      <c r="O566" s="1" t="s">
        <v>860</v>
      </c>
      <c r="P566" s="1" t="s">
        <v>866</v>
      </c>
      <c r="Q566" s="2">
        <f>HYPERLINK("https://tidesandcurrents.noaa.gov/stationhome.html?id=9445958", "Station Info")</f>
        <v>0</v>
      </c>
      <c r="R566" s="2">
        <f>HYPERLINK("https://tidesandcurrents.noaa.gov/datums.html?datum=MLLW&amp;units=0&amp;epoch=0&amp;id=9445958", "Datum Info")</f>
        <v>0</v>
      </c>
      <c r="S566" s="2">
        <f>HYPERLINK("https://api.tidesandcurrents.noaa.gov/mdapi/prod/webapi/stations/9445958.json", "More Info")</f>
        <v>0</v>
      </c>
      <c r="T566" s="1">
        <v>958502</v>
      </c>
      <c r="U566" s="1">
        <v>1.311</v>
      </c>
      <c r="V566" s="1" t="s">
        <v>872</v>
      </c>
      <c r="W566" s="1" t="s">
        <v>877</v>
      </c>
      <c r="X566" s="1" t="s">
        <v>886</v>
      </c>
      <c r="Y566" s="1">
        <v>11.71</v>
      </c>
      <c r="Z566" s="1">
        <v>10.81</v>
      </c>
      <c r="AA566" s="1">
        <v>6.82</v>
      </c>
      <c r="AB566" s="1">
        <v>6.79</v>
      </c>
      <c r="AC566" s="1">
        <v>5.85</v>
      </c>
      <c r="AD566" s="1">
        <v>2.83</v>
      </c>
      <c r="AE566" s="1">
        <v>0</v>
      </c>
      <c r="AF566" s="1" t="s">
        <v>1065</v>
      </c>
      <c r="AG566" s="1">
        <v>-11.44</v>
      </c>
      <c r="AH566" s="1" t="s">
        <v>1334</v>
      </c>
      <c r="AI566" s="1" t="s">
        <v>1589</v>
      </c>
      <c r="AJ566" s="1">
        <v>2.648</v>
      </c>
      <c r="AK566" s="1">
        <v>-9.098000000000001</v>
      </c>
      <c r="AY566" s="2">
        <f>HYPERLINK("https://vdatum.noaa.gov/vdatumweb/api/convert?s_x=-122.623&amp;s_y=47.5617&amp;s_z=0.0&amp;region=westcoast&amp;s_h_frame=NAD83_2011&amp;s_coor=geo&amp;s_v_frame=NAVD88&amp;s_v_unit=us_ft&amp;t_h_frame=IGS14&amp;t_coor=geo&amp;t_v_frame=MLLW&amp;t_v_unit=us_ft", "NAVD88 to MLLW")</f>
        <v>0</v>
      </c>
      <c r="AZ566" s="2">
        <f>HYPERLINK("https://vdatum.noaa.gov/vdatumweb/api/convert?s_x=-122.623&amp;s_y=47.5617&amp;s_z=0.0&amp;region=westcoast&amp;s_h_frame=NAD83_2011&amp;s_coor=geo&amp;s_v_frame=NAVD88&amp;s_v_unit=us_ft&amp;t_h_frame=IGS14&amp;t_coor=geo&amp;t_v_frame=MHHW&amp;t_v_unit=us_ft", "NAVD88 to MHHW")</f>
        <v>0</v>
      </c>
    </row>
    <row r="567" spans="1:52">
      <c r="A567" s="1" t="s">
        <v>591</v>
      </c>
      <c r="B567" s="1" t="s">
        <v>642</v>
      </c>
      <c r="D567" s="1" t="s">
        <v>655</v>
      </c>
      <c r="L567" s="1">
        <v>-122.634</v>
      </c>
      <c r="M567" s="1">
        <v>47.3783</v>
      </c>
      <c r="N567" s="1">
        <v>9446291</v>
      </c>
      <c r="O567" s="1" t="s">
        <v>861</v>
      </c>
      <c r="P567" s="1" t="s">
        <v>866</v>
      </c>
      <c r="Q567" s="2">
        <f>HYPERLINK("https://tidesandcurrents.noaa.gov/stationhome.html?id=9446291", "Station Info")</f>
        <v>0</v>
      </c>
      <c r="R567" s="2">
        <f>HYPERLINK("https://tidesandcurrents.noaa.gov/datums.html?datum=MLLW&amp;units=0&amp;epoch=0&amp;id=9446291", "Datum Info")</f>
        <v>0</v>
      </c>
      <c r="S567" s="2">
        <f>HYPERLINK("https://api.tidesandcurrents.noaa.gov/mdapi/prod/webapi/stations/9446291.json", "More Info")</f>
        <v>0</v>
      </c>
      <c r="T567" s="1">
        <v>1392814</v>
      </c>
      <c r="U567" s="1">
        <v>0</v>
      </c>
      <c r="V567" s="1" t="s">
        <v>872</v>
      </c>
      <c r="W567" s="1" t="s">
        <v>877</v>
      </c>
      <c r="X567" s="1" t="s">
        <v>886</v>
      </c>
      <c r="Y567" s="1">
        <v>13.51</v>
      </c>
      <c r="Z567" s="1">
        <v>12.58</v>
      </c>
      <c r="AA567" s="1">
        <v>7.76</v>
      </c>
      <c r="AB567" s="1">
        <v>7.64</v>
      </c>
      <c r="AC567" s="1">
        <v>6.76</v>
      </c>
      <c r="AD567" s="1">
        <v>2.94</v>
      </c>
      <c r="AE567" s="1">
        <v>0</v>
      </c>
      <c r="AF567" s="1" t="s">
        <v>1066</v>
      </c>
      <c r="AG567" s="1">
        <v>-8.19</v>
      </c>
      <c r="AH567" s="1" t="s">
        <v>1335</v>
      </c>
      <c r="AI567" s="1" t="s">
        <v>1590</v>
      </c>
      <c r="AJ567" s="1">
        <v>3.491</v>
      </c>
      <c r="AK567" s="1">
        <v>-10.02</v>
      </c>
      <c r="AY567" s="2">
        <f>HYPERLINK("https://vdatum.noaa.gov/vdatumweb/api/convert?s_x=-122.634&amp;s_y=47.3783&amp;s_z=0.0&amp;region=westcoast&amp;s_h_frame=NAD83_2011&amp;s_coor=geo&amp;s_v_frame=NAVD88&amp;s_v_unit=us_ft&amp;t_h_frame=IGS14&amp;t_coor=geo&amp;t_v_frame=MLLW&amp;t_v_unit=us_ft", "NAVD88 to MLLW")</f>
        <v>0</v>
      </c>
      <c r="AZ567" s="2">
        <f>HYPERLINK("https://vdatum.noaa.gov/vdatumweb/api/convert?s_x=-122.634&amp;s_y=47.3783&amp;s_z=0.0&amp;region=westcoast&amp;s_h_frame=NAD83_2011&amp;s_coor=geo&amp;s_v_frame=NAVD88&amp;s_v_unit=us_ft&amp;t_h_frame=IGS14&amp;t_coor=geo&amp;t_v_frame=MHHW&amp;t_v_unit=us_ft", "NAVD88 to MHHW")</f>
        <v>0</v>
      </c>
    </row>
    <row r="568" spans="1:52">
      <c r="A568" s="1" t="s">
        <v>592</v>
      </c>
      <c r="B568" s="1" t="s">
        <v>642</v>
      </c>
      <c r="C568" s="1" t="s">
        <v>651</v>
      </c>
      <c r="D568" s="1" t="s">
        <v>655</v>
      </c>
      <c r="L568" s="1">
        <v>-122.413</v>
      </c>
      <c r="M568" s="1">
        <v>47.27</v>
      </c>
      <c r="N568" s="1">
        <v>9446484</v>
      </c>
      <c r="O568" s="1" t="s">
        <v>861</v>
      </c>
      <c r="P568" s="1" t="s">
        <v>866</v>
      </c>
      <c r="Q568" s="2">
        <f>HYPERLINK("https://tidesandcurrents.noaa.gov/stationhome.html?id=9446484", "Station Info")</f>
        <v>0</v>
      </c>
      <c r="R568" s="2">
        <f>HYPERLINK("https://tidesandcurrents.noaa.gov/datums.html?datum=MLLW&amp;units=0&amp;epoch=0&amp;id=9446484", "Datum Info")</f>
        <v>0</v>
      </c>
      <c r="S568" s="2">
        <f>HYPERLINK("https://api.tidesandcurrents.noaa.gov/mdapi/prod/webapi/stations/9446484.json", "More Info")</f>
        <v>0</v>
      </c>
      <c r="T568" s="1">
        <v>1552094</v>
      </c>
      <c r="U568" s="1">
        <v>0</v>
      </c>
      <c r="V568" s="1" t="s">
        <v>872</v>
      </c>
      <c r="W568" s="1" t="s">
        <v>877</v>
      </c>
      <c r="X568" s="1" t="s">
        <v>886</v>
      </c>
      <c r="Y568" s="1">
        <v>11.78</v>
      </c>
      <c r="Z568" s="1">
        <v>10.9</v>
      </c>
      <c r="AA568" s="1">
        <v>6.87</v>
      </c>
      <c r="AB568" s="1">
        <v>6.84</v>
      </c>
      <c r="AC568" s="1">
        <v>5.89</v>
      </c>
      <c r="AD568" s="1">
        <v>2.84</v>
      </c>
      <c r="AE568" s="1">
        <v>0</v>
      </c>
      <c r="AF568" s="1">
        <v>2.39</v>
      </c>
      <c r="AG568" s="1">
        <v>-0.62</v>
      </c>
      <c r="AH568" s="1" t="s">
        <v>1336</v>
      </c>
      <c r="AI568" s="1" t="s">
        <v>1591</v>
      </c>
      <c r="AJ568" s="1">
        <v>2.431</v>
      </c>
      <c r="AK568" s="1">
        <v>-9.343999999999999</v>
      </c>
      <c r="AY568" s="2">
        <f>HYPERLINK("https://vdatum.noaa.gov/vdatumweb/api/convert?s_x=-122.413&amp;s_y=47.27&amp;s_z=0.0&amp;region=westcoast&amp;s_h_frame=NAD83_2011&amp;s_coor=geo&amp;s_v_frame=NAVD88&amp;s_v_unit=us_ft&amp;t_h_frame=IGS14&amp;t_coor=geo&amp;t_v_frame=MLLW&amp;t_v_unit=us_ft", "NAVD88 to MLLW")</f>
        <v>0</v>
      </c>
      <c r="AZ568" s="2">
        <f>HYPERLINK("https://vdatum.noaa.gov/vdatumweb/api/convert?s_x=-122.413&amp;s_y=47.27&amp;s_z=0.0&amp;region=westcoast&amp;s_h_frame=NAD83_2011&amp;s_coor=geo&amp;s_v_frame=NAVD88&amp;s_v_unit=us_ft&amp;t_h_frame=IGS14&amp;t_coor=geo&amp;t_v_frame=MHHW&amp;t_v_unit=us_ft", "NAVD88 to MHHW")</f>
        <v>0</v>
      </c>
    </row>
    <row r="569" spans="1:52">
      <c r="A569" s="1" t="s">
        <v>593</v>
      </c>
      <c r="B569" s="1" t="s">
        <v>642</v>
      </c>
      <c r="D569" s="1" t="s">
        <v>655</v>
      </c>
      <c r="L569" s="1">
        <v>-122.675</v>
      </c>
      <c r="M569" s="1">
        <v>47.18</v>
      </c>
      <c r="N569" s="1">
        <v>9446705</v>
      </c>
      <c r="O569" s="1" t="s">
        <v>861</v>
      </c>
      <c r="P569" s="1" t="s">
        <v>866</v>
      </c>
      <c r="Q569" s="2">
        <f>HYPERLINK("https://tidesandcurrents.noaa.gov/stationhome.html?id=9446705", "Station Info")</f>
        <v>0</v>
      </c>
      <c r="R569" s="2">
        <f>HYPERLINK("https://tidesandcurrents.noaa.gov/datums.html?datum=MLLW&amp;units=0&amp;epoch=0&amp;id=9446705", "Datum Info")</f>
        <v>0</v>
      </c>
      <c r="S569" s="2">
        <f>HYPERLINK("https://api.tidesandcurrents.noaa.gov/mdapi/prod/webapi/stations/9446705.json", "More Info")</f>
        <v>0</v>
      </c>
      <c r="T569" s="1">
        <v>2048554</v>
      </c>
      <c r="U569" s="1">
        <v>0</v>
      </c>
      <c r="V569" s="1" t="s">
        <v>872</v>
      </c>
      <c r="W569" s="1" t="s">
        <v>877</v>
      </c>
      <c r="X569" s="1" t="s">
        <v>886</v>
      </c>
      <c r="Y569" s="1">
        <v>13.48</v>
      </c>
      <c r="Z569" s="1">
        <v>12.55</v>
      </c>
      <c r="AA569" s="1">
        <v>7.75</v>
      </c>
      <c r="AB569" s="1">
        <v>7.71</v>
      </c>
      <c r="AC569" s="1">
        <v>6.74</v>
      </c>
      <c r="AD569" s="1">
        <v>2.94</v>
      </c>
      <c r="AE569" s="1">
        <v>0</v>
      </c>
      <c r="AF569" s="1" t="s">
        <v>1067</v>
      </c>
      <c r="AG569" s="1">
        <v>-1.14</v>
      </c>
      <c r="AH569" s="1" t="s">
        <v>1337</v>
      </c>
      <c r="AI569" s="1" t="s">
        <v>1592</v>
      </c>
      <c r="AJ569" s="1">
        <v>3.543</v>
      </c>
      <c r="AK569" s="1">
        <v>-9.862</v>
      </c>
      <c r="AY569" s="2">
        <f>HYPERLINK("https://vdatum.noaa.gov/vdatumweb/api/convert?s_x=-122.675&amp;s_y=47.18&amp;s_z=0.0&amp;region=westcoast&amp;s_h_frame=NAD83_2011&amp;s_coor=geo&amp;s_v_frame=NAVD88&amp;s_v_unit=us_ft&amp;t_h_frame=IGS14&amp;t_coor=geo&amp;t_v_frame=MLLW&amp;t_v_unit=us_ft", "NAVD88 to MLLW")</f>
        <v>0</v>
      </c>
      <c r="AZ569" s="2">
        <f>HYPERLINK("https://vdatum.noaa.gov/vdatumweb/api/convert?s_x=-122.675&amp;s_y=47.18&amp;s_z=0.0&amp;region=westcoast&amp;s_h_frame=NAD83_2011&amp;s_coor=geo&amp;s_v_frame=NAVD88&amp;s_v_unit=us_ft&amp;t_h_frame=IGS14&amp;t_coor=geo&amp;t_v_frame=MHHW&amp;t_v_unit=us_ft", "NAVD88 to MHHW")</f>
        <v>0</v>
      </c>
    </row>
    <row r="570" spans="1:52">
      <c r="A570" s="1" t="s">
        <v>594</v>
      </c>
      <c r="B570" s="1" t="s">
        <v>642</v>
      </c>
      <c r="C570" s="1" t="s">
        <v>651</v>
      </c>
      <c r="D570" s="1" t="s">
        <v>655</v>
      </c>
      <c r="E570" s="1" t="s">
        <v>825</v>
      </c>
      <c r="F570" s="1" t="s">
        <v>853</v>
      </c>
      <c r="G570" s="1" t="s">
        <v>858</v>
      </c>
      <c r="L570" s="1">
        <v>-122.316</v>
      </c>
      <c r="M570" s="1">
        <v>47.5304</v>
      </c>
      <c r="N570" s="1">
        <v>9447029</v>
      </c>
      <c r="O570" s="1" t="s">
        <v>861</v>
      </c>
      <c r="P570" s="1" t="s">
        <v>866</v>
      </c>
      <c r="Q570" s="2">
        <f>HYPERLINK("https://tidesandcurrents.noaa.gov/stationhome.html?id=9447029", "Station Info")</f>
        <v>0</v>
      </c>
      <c r="R570" s="2">
        <f>HYPERLINK("https://tidesandcurrents.noaa.gov/datums.html?datum=MLLW&amp;units=0&amp;epoch=0&amp;id=9447029", "Datum Info")</f>
        <v>0</v>
      </c>
      <c r="S570" s="2">
        <f>HYPERLINK("https://api.tidesandcurrents.noaa.gov/mdapi/prod/webapi/stations/9447029.json", "More Info")</f>
        <v>0</v>
      </c>
      <c r="T570" s="1">
        <v>1551593</v>
      </c>
      <c r="U570" s="1">
        <v>0</v>
      </c>
      <c r="V570" s="1" t="s">
        <v>872</v>
      </c>
      <c r="W570" s="1" t="s">
        <v>877</v>
      </c>
      <c r="AJ570" s="1">
        <v>-999999</v>
      </c>
      <c r="AK570" s="1">
        <v>-999999</v>
      </c>
      <c r="AY570" s="2">
        <f>HYPERLINK("https://vdatum.noaa.gov/vdatumweb/api/convert?s_x=-122.316&amp;s_y=47.5304&amp;s_z=0.0&amp;region=westcoast&amp;s_h_frame=NAD83_2011&amp;s_coor=geo&amp;s_v_frame=NAVD88&amp;s_v_unit=us_ft&amp;t_h_frame=IGS14&amp;t_coor=geo&amp;t_v_frame=MLLW&amp;t_v_unit=us_ft", "Missing")</f>
        <v>0</v>
      </c>
      <c r="AZ570" s="2">
        <f>HYPERLINK("https://vdatum.noaa.gov/vdatumweb/api/convert?s_x=-122.316&amp;s_y=47.5304&amp;s_z=0.0&amp;region=westcoast&amp;s_h_frame=NAD83_2011&amp;s_coor=geo&amp;s_v_frame=NAVD88&amp;s_v_unit=us_ft&amp;t_h_frame=IGS14&amp;t_coor=geo&amp;t_v_frame=MHHW&amp;t_v_unit=us_ft", "Missing")</f>
        <v>0</v>
      </c>
    </row>
    <row r="571" spans="1:52">
      <c r="A571" s="1" t="s">
        <v>595</v>
      </c>
      <c r="B571" s="1" t="s">
        <v>642</v>
      </c>
      <c r="C571" s="1" t="s">
        <v>651</v>
      </c>
      <c r="D571" s="1" t="s">
        <v>655</v>
      </c>
      <c r="E571" s="1" t="s">
        <v>825</v>
      </c>
      <c r="F571" s="1" t="s">
        <v>853</v>
      </c>
      <c r="G571" s="1" t="s">
        <v>858</v>
      </c>
      <c r="L571" s="1">
        <v>-122.339</v>
      </c>
      <c r="M571" s="1">
        <v>47.60194</v>
      </c>
      <c r="N571" s="1">
        <v>9447130</v>
      </c>
      <c r="O571" s="1" t="s">
        <v>861</v>
      </c>
      <c r="P571" s="1" t="s">
        <v>866</v>
      </c>
      <c r="Q571" s="2">
        <f>HYPERLINK("https://tidesandcurrents.noaa.gov/stationhome.html?id=9447130", "Station Info")</f>
        <v>0</v>
      </c>
      <c r="R571" s="2">
        <f>HYPERLINK("https://tidesandcurrents.noaa.gov/datums.html?datum=MLLW&amp;units=0&amp;epoch=0&amp;id=9447130", "Datum Info")</f>
        <v>0</v>
      </c>
      <c r="S571" s="2">
        <f>HYPERLINK("https://api.tidesandcurrents.noaa.gov/mdapi/prod/webapi/stations/9447130.json", "More Info")</f>
        <v>0</v>
      </c>
      <c r="T571" s="1">
        <v>945334</v>
      </c>
      <c r="U571" s="1">
        <v>0</v>
      </c>
      <c r="V571" s="1" t="s">
        <v>872</v>
      </c>
      <c r="W571" s="1" t="s">
        <v>877</v>
      </c>
      <c r="X571" s="1" t="s">
        <v>886</v>
      </c>
      <c r="Y571" s="1">
        <v>11.36</v>
      </c>
      <c r="Z571" s="1">
        <v>10.49</v>
      </c>
      <c r="AA571" s="1">
        <v>6.66</v>
      </c>
      <c r="AB571" s="1">
        <v>6.64</v>
      </c>
      <c r="AC571" s="1">
        <v>5.68</v>
      </c>
      <c r="AD571" s="1">
        <v>2.83</v>
      </c>
      <c r="AE571" s="1">
        <v>0</v>
      </c>
      <c r="AF571" s="1">
        <v>2.34</v>
      </c>
      <c r="AG571" s="1">
        <v>-7.94</v>
      </c>
      <c r="AH571" s="1" t="s">
        <v>1338</v>
      </c>
      <c r="AI571" s="1" t="s">
        <v>1593</v>
      </c>
      <c r="AJ571" s="1">
        <v>2.3</v>
      </c>
      <c r="AK571" s="1">
        <v>-9.058</v>
      </c>
      <c r="AY571" s="2">
        <f>HYPERLINK("https://vdatum.noaa.gov/vdatumweb/api/convert?s_x=-122.339&amp;s_y=47.60194&amp;s_z=0.0&amp;region=westcoast&amp;s_h_frame=NAD83_2011&amp;s_coor=geo&amp;s_v_frame=NAVD88&amp;s_v_unit=us_ft&amp;t_h_frame=IGS14&amp;t_coor=geo&amp;t_v_frame=MLLW&amp;t_v_unit=us_ft", "NAVD88 to MLLW")</f>
        <v>0</v>
      </c>
      <c r="AZ571" s="2">
        <f>HYPERLINK("https://vdatum.noaa.gov/vdatumweb/api/convert?s_x=-122.339&amp;s_y=47.60194&amp;s_z=0.0&amp;region=westcoast&amp;s_h_frame=NAD83_2011&amp;s_coor=geo&amp;s_v_frame=NAVD88&amp;s_v_unit=us_ft&amp;t_h_frame=IGS14&amp;t_coor=geo&amp;t_v_frame=MHHW&amp;t_v_unit=us_ft", "NAVD88 to MHHW")</f>
        <v>0</v>
      </c>
    </row>
    <row r="572" spans="1:52">
      <c r="A572" s="1" t="s">
        <v>596</v>
      </c>
      <c r="B572" s="1" t="s">
        <v>642</v>
      </c>
      <c r="D572" s="1" t="s">
        <v>655</v>
      </c>
      <c r="L572" s="1">
        <v>-122.42</v>
      </c>
      <c r="M572" s="1">
        <v>47.67</v>
      </c>
      <c r="N572" s="1">
        <v>9447214</v>
      </c>
      <c r="O572" s="1" t="s">
        <v>861</v>
      </c>
      <c r="P572" s="1" t="s">
        <v>866</v>
      </c>
      <c r="Q572" s="2">
        <f>HYPERLINK("https://tidesandcurrents.noaa.gov/stationhome.html?id=9447214", "Station Info")</f>
        <v>0</v>
      </c>
      <c r="R572" s="2">
        <f>HYPERLINK("https://tidesandcurrents.noaa.gov/datums.html?datum=MLLW&amp;units=0&amp;epoch=0&amp;id=9447214", "Datum Info")</f>
        <v>0</v>
      </c>
      <c r="S572" s="2">
        <f>HYPERLINK("https://api.tidesandcurrents.noaa.gov/mdapi/prod/webapi/stations/9447214.json", "More Info")</f>
        <v>0</v>
      </c>
      <c r="T572" s="1">
        <v>1680564</v>
      </c>
      <c r="U572" s="1">
        <v>0</v>
      </c>
      <c r="V572" s="1" t="s">
        <v>872</v>
      </c>
      <c r="W572" s="1" t="s">
        <v>877</v>
      </c>
      <c r="AJ572" s="1">
        <v>2.274</v>
      </c>
      <c r="AK572" s="1">
        <v>-8.875</v>
      </c>
      <c r="AY572" s="2">
        <f>HYPERLINK("https://vdatum.noaa.gov/vdatumweb/api/convert?s_x=-122.42&amp;s_y=47.67&amp;s_z=0.0&amp;region=westcoast&amp;s_h_frame=NAD83_2011&amp;s_coor=geo&amp;s_v_frame=NAVD88&amp;s_v_unit=us_ft&amp;t_h_frame=IGS14&amp;t_coor=geo&amp;t_v_frame=MLLW&amp;t_v_unit=us_ft", "NAVD88 to MLLW")</f>
        <v>0</v>
      </c>
      <c r="AZ572" s="2">
        <f>HYPERLINK("https://vdatum.noaa.gov/vdatumweb/api/convert?s_x=-122.42&amp;s_y=47.67&amp;s_z=0.0&amp;region=westcoast&amp;s_h_frame=NAD83_2011&amp;s_coor=geo&amp;s_v_frame=NAVD88&amp;s_v_unit=us_ft&amp;t_h_frame=IGS14&amp;t_coor=geo&amp;t_v_frame=MHHW&amp;t_v_unit=us_ft", "NAVD88 to MHHW")</f>
        <v>0</v>
      </c>
    </row>
    <row r="573" spans="1:52">
      <c r="A573" s="1" t="s">
        <v>597</v>
      </c>
      <c r="B573" s="1" t="s">
        <v>642</v>
      </c>
      <c r="D573" s="1" t="s">
        <v>655</v>
      </c>
      <c r="L573" s="1">
        <v>-122.57</v>
      </c>
      <c r="M573" s="1">
        <v>48.105</v>
      </c>
      <c r="N573" s="1">
        <v>9447883</v>
      </c>
      <c r="O573" s="1" t="s">
        <v>861</v>
      </c>
      <c r="P573" s="1" t="s">
        <v>866</v>
      </c>
      <c r="Q573" s="2">
        <f>HYPERLINK("https://tidesandcurrents.noaa.gov/stationhome.html?id=9447883", "Station Info")</f>
        <v>0</v>
      </c>
      <c r="R573" s="2">
        <f>HYPERLINK("https://tidesandcurrents.noaa.gov/datums.html?datum=MLLW&amp;units=0&amp;epoch=0&amp;id=9447883", "Datum Info")</f>
        <v>0</v>
      </c>
      <c r="S573" s="2">
        <f>HYPERLINK("https://api.tidesandcurrents.noaa.gov/mdapi/prod/webapi/stations/9447883.json", "More Info")</f>
        <v>0</v>
      </c>
      <c r="T573" s="1">
        <v>1467272</v>
      </c>
      <c r="U573" s="1">
        <v>0</v>
      </c>
      <c r="V573" s="1" t="s">
        <v>872</v>
      </c>
      <c r="W573" s="1" t="s">
        <v>877</v>
      </c>
      <c r="X573" s="1" t="s">
        <v>886</v>
      </c>
      <c r="Y573" s="1">
        <v>11.35</v>
      </c>
      <c r="Z573" s="1">
        <v>10.49</v>
      </c>
      <c r="AA573" s="1">
        <v>6.63</v>
      </c>
      <c r="AB573" s="1">
        <v>6.61</v>
      </c>
      <c r="AC573" s="1">
        <v>5.68</v>
      </c>
      <c r="AD573" s="1">
        <v>2.78</v>
      </c>
      <c r="AE573" s="1">
        <v>0</v>
      </c>
      <c r="AF573" s="1" t="s">
        <v>1068</v>
      </c>
      <c r="AG573" s="1">
        <v>-12.34</v>
      </c>
      <c r="AH573" s="1" t="s">
        <v>1339</v>
      </c>
      <c r="AI573" s="1" t="s">
        <v>1594</v>
      </c>
      <c r="AJ573" s="1">
        <v>2.336</v>
      </c>
      <c r="AK573" s="1">
        <v>-9.058</v>
      </c>
      <c r="AY573" s="2">
        <f>HYPERLINK("https://vdatum.noaa.gov/vdatumweb/api/convert?s_x=-122.57&amp;s_y=48.105&amp;s_z=0.0&amp;region=westcoast&amp;s_h_frame=NAD83_2011&amp;s_coor=geo&amp;s_v_frame=NAVD88&amp;s_v_unit=us_ft&amp;t_h_frame=IGS14&amp;t_coor=geo&amp;t_v_frame=MLLW&amp;t_v_unit=us_ft", "NAVD88 to MLLW")</f>
        <v>0</v>
      </c>
      <c r="AZ573" s="2">
        <f>HYPERLINK("https://vdatum.noaa.gov/vdatumweb/api/convert?s_x=-122.57&amp;s_y=48.105&amp;s_z=0.0&amp;region=westcoast&amp;s_h_frame=NAD83_2011&amp;s_coor=geo&amp;s_v_frame=NAVD88&amp;s_v_unit=us_ft&amp;t_h_frame=IGS14&amp;t_coor=geo&amp;t_v_frame=MHHW&amp;t_v_unit=us_ft", "NAVD88 to MHHW")</f>
        <v>0</v>
      </c>
    </row>
    <row r="574" spans="1:52">
      <c r="A574" s="1" t="s">
        <v>598</v>
      </c>
      <c r="B574" s="1" t="s">
        <v>642</v>
      </c>
      <c r="D574" s="1" t="s">
        <v>655</v>
      </c>
      <c r="E574" s="1" t="s">
        <v>826</v>
      </c>
      <c r="F574" s="1" t="s">
        <v>853</v>
      </c>
      <c r="G574" s="1" t="s">
        <v>858</v>
      </c>
      <c r="L574" s="1">
        <v>-122.513</v>
      </c>
      <c r="M574" s="1">
        <v>48.4583</v>
      </c>
      <c r="N574" s="1">
        <v>9448682</v>
      </c>
      <c r="O574" s="1" t="s">
        <v>861</v>
      </c>
      <c r="P574" s="1" t="s">
        <v>866</v>
      </c>
      <c r="Q574" s="2">
        <f>HYPERLINK("https://tidesandcurrents.noaa.gov/stationhome.html?id=9448682", "Station Info")</f>
        <v>0</v>
      </c>
      <c r="R574" s="2">
        <f>HYPERLINK("https://tidesandcurrents.noaa.gov/datums.html?datum=MLLW&amp;units=0&amp;epoch=0&amp;id=9448682", "Datum Info")</f>
        <v>0</v>
      </c>
      <c r="S574" s="2">
        <f>HYPERLINK("https://api.tidesandcurrents.noaa.gov/mdapi/prod/webapi/stations/9448682.json", "More Info")</f>
        <v>0</v>
      </c>
      <c r="T574" s="1">
        <v>2903621</v>
      </c>
      <c r="U574" s="1">
        <v>0</v>
      </c>
      <c r="V574" s="1" t="s">
        <v>872</v>
      </c>
      <c r="W574" s="1" t="s">
        <v>877</v>
      </c>
      <c r="X574" s="1" t="s">
        <v>886</v>
      </c>
      <c r="Y574" s="1">
        <v>8.73</v>
      </c>
      <c r="Z574" s="1">
        <v>7.94</v>
      </c>
      <c r="AA574" s="1">
        <v>5.22</v>
      </c>
      <c r="AB574" s="1">
        <v>5.04</v>
      </c>
      <c r="AC574" s="1">
        <v>4.37</v>
      </c>
      <c r="AD574" s="1">
        <v>2.5</v>
      </c>
      <c r="AE574" s="1">
        <v>0</v>
      </c>
      <c r="AF574" s="1" t="s">
        <v>1069</v>
      </c>
      <c r="AG574" s="1">
        <v>-24.88</v>
      </c>
      <c r="AH574" s="1" t="s">
        <v>1340</v>
      </c>
      <c r="AI574" s="1" t="s">
        <v>1595</v>
      </c>
      <c r="AJ574" s="1">
        <v>0.548</v>
      </c>
      <c r="AK574" s="1">
        <v>-8.257999999999999</v>
      </c>
      <c r="AY574" s="2">
        <f>HYPERLINK("https://vdatum.noaa.gov/vdatumweb/api/convert?s_x=-122.513&amp;s_y=48.4583&amp;s_z=0.0&amp;region=westcoast&amp;s_h_frame=NAD83_2011&amp;s_coor=geo&amp;s_v_frame=NAVD88&amp;s_v_unit=us_ft&amp;t_h_frame=IGS14&amp;t_coor=geo&amp;t_v_frame=MLLW&amp;t_v_unit=us_ft", "NAVD88 to MLLW")</f>
        <v>0</v>
      </c>
      <c r="AZ574" s="2">
        <f>HYPERLINK("https://vdatum.noaa.gov/vdatumweb/api/convert?s_x=-122.513&amp;s_y=48.4583&amp;s_z=0.0&amp;region=westcoast&amp;s_h_frame=NAD83_2011&amp;s_coor=geo&amp;s_v_frame=NAVD88&amp;s_v_unit=us_ft&amp;t_h_frame=IGS14&amp;t_coor=geo&amp;t_v_frame=MHHW&amp;t_v_unit=us_ft", "NAVD88 to MHHW")</f>
        <v>0</v>
      </c>
    </row>
    <row r="575" spans="1:52">
      <c r="A575" s="1" t="s">
        <v>599</v>
      </c>
      <c r="B575" s="1" t="s">
        <v>642</v>
      </c>
      <c r="D575" s="1" t="s">
        <v>655</v>
      </c>
      <c r="L575" s="1">
        <v>-122.758</v>
      </c>
      <c r="M575" s="1">
        <v>48.8633</v>
      </c>
      <c r="N575" s="1">
        <v>9449424</v>
      </c>
      <c r="O575" s="1" t="s">
        <v>861</v>
      </c>
      <c r="P575" s="1" t="s">
        <v>866</v>
      </c>
      <c r="Q575" s="2">
        <f>HYPERLINK("https://tidesandcurrents.noaa.gov/stationhome.html?id=9449424", "Station Info")</f>
        <v>0</v>
      </c>
      <c r="R575" s="2">
        <f>HYPERLINK("https://tidesandcurrents.noaa.gov/datums.html?datum=MLLW&amp;units=0&amp;epoch=0&amp;id=9449424", "Datum Info")</f>
        <v>0</v>
      </c>
      <c r="S575" s="2">
        <f>HYPERLINK("https://api.tidesandcurrents.noaa.gov/mdapi/prod/webapi/stations/9449424.json", "More Info")</f>
        <v>0</v>
      </c>
      <c r="T575" s="1">
        <v>794418</v>
      </c>
      <c r="U575" s="1">
        <v>1.317</v>
      </c>
      <c r="V575" s="1" t="s">
        <v>872</v>
      </c>
      <c r="W575" s="1" t="s">
        <v>877</v>
      </c>
      <c r="X575" s="1" t="s">
        <v>886</v>
      </c>
      <c r="Y575" s="1">
        <v>9.15</v>
      </c>
      <c r="Z575" s="1">
        <v>8.32</v>
      </c>
      <c r="AA575" s="1">
        <v>5.47</v>
      </c>
      <c r="AB575" s="1">
        <v>5.28</v>
      </c>
      <c r="AC575" s="1">
        <v>4.57</v>
      </c>
      <c r="AD575" s="1">
        <v>2.61</v>
      </c>
      <c r="AE575" s="1">
        <v>0</v>
      </c>
      <c r="AF575" s="1" t="s">
        <v>1070</v>
      </c>
      <c r="AG575" s="1">
        <v>-6.34</v>
      </c>
      <c r="AH575" s="1" t="s">
        <v>1341</v>
      </c>
      <c r="AI575" s="1" t="s">
        <v>1596</v>
      </c>
      <c r="AJ575" s="1">
        <v>0.886</v>
      </c>
      <c r="AK575" s="1">
        <v>-8.260999999999999</v>
      </c>
      <c r="AY575" s="2">
        <f>HYPERLINK("https://vdatum.noaa.gov/vdatumweb/api/convert?s_x=-122.758&amp;s_y=48.8633&amp;s_z=0.0&amp;region=westcoast&amp;s_h_frame=NAD83_2011&amp;s_coor=geo&amp;s_v_frame=NAVD88&amp;s_v_unit=us_ft&amp;t_h_frame=IGS14&amp;t_coor=geo&amp;t_v_frame=MLLW&amp;t_v_unit=us_ft", "NAVD88 to MLLW")</f>
        <v>0</v>
      </c>
      <c r="AZ575" s="2">
        <f>HYPERLINK("https://vdatum.noaa.gov/vdatumweb/api/convert?s_x=-122.758&amp;s_y=48.8633&amp;s_z=0.0&amp;region=westcoast&amp;s_h_frame=NAD83_2011&amp;s_coor=geo&amp;s_v_frame=NAVD88&amp;s_v_unit=us_ft&amp;t_h_frame=IGS14&amp;t_coor=geo&amp;t_v_frame=MHHW&amp;t_v_unit=us_ft", "NAVD88 to MHHW")</f>
        <v>0</v>
      </c>
    </row>
    <row r="576" spans="1:52">
      <c r="A576" s="1" t="s">
        <v>600</v>
      </c>
      <c r="B576" s="1" t="s">
        <v>642</v>
      </c>
      <c r="C576" s="1" t="s">
        <v>651</v>
      </c>
      <c r="D576" s="1" t="s">
        <v>655</v>
      </c>
      <c r="E576" s="1" t="s">
        <v>827</v>
      </c>
      <c r="F576" s="1" t="s">
        <v>853</v>
      </c>
      <c r="G576" s="1" t="s">
        <v>858</v>
      </c>
      <c r="L576" s="1">
        <v>-123.083</v>
      </c>
      <c r="M576" s="1">
        <v>48.975</v>
      </c>
      <c r="N576" s="1">
        <v>9449639</v>
      </c>
      <c r="O576" s="1" t="s">
        <v>861</v>
      </c>
      <c r="P576" s="1" t="s">
        <v>866</v>
      </c>
      <c r="Q576" s="2">
        <f>HYPERLINK("https://tidesandcurrents.noaa.gov/stationhome.html?id=9449639", "Station Info")</f>
        <v>0</v>
      </c>
      <c r="R576" s="2">
        <f>HYPERLINK("https://tidesandcurrents.noaa.gov/datums.html?datum=MLLW&amp;units=0&amp;epoch=0&amp;id=9449639", "Datum Info")</f>
        <v>0</v>
      </c>
      <c r="S576" s="2">
        <f>HYPERLINK("https://api.tidesandcurrents.noaa.gov/mdapi/prod/webapi/stations/9449639.json", "More Info")</f>
        <v>0</v>
      </c>
      <c r="T576" s="1">
        <v>629466</v>
      </c>
      <c r="U576" s="1">
        <v>0</v>
      </c>
      <c r="V576" s="1" t="s">
        <v>872</v>
      </c>
      <c r="W576" s="1" t="s">
        <v>877</v>
      </c>
      <c r="X576" s="1" t="s">
        <v>886</v>
      </c>
      <c r="Y576" s="1">
        <v>9.789999999999999</v>
      </c>
      <c r="Z576" s="1">
        <v>8.92</v>
      </c>
      <c r="AA576" s="1">
        <v>5.82</v>
      </c>
      <c r="AB576" s="1">
        <v>5.64</v>
      </c>
      <c r="AC576" s="1">
        <v>4.89</v>
      </c>
      <c r="AD576" s="1">
        <v>2.71</v>
      </c>
      <c r="AE576" s="1">
        <v>0</v>
      </c>
      <c r="AF576" s="1" t="s">
        <v>1071</v>
      </c>
      <c r="AG576" s="1">
        <v>-16.48</v>
      </c>
      <c r="AH576" s="1" t="s">
        <v>1342</v>
      </c>
      <c r="AI576" s="1" t="s">
        <v>1597</v>
      </c>
      <c r="AJ576" s="1">
        <v>1.109</v>
      </c>
      <c r="AK576" s="1">
        <v>-8.661</v>
      </c>
      <c r="AY576" s="2">
        <f>HYPERLINK("https://vdatum.noaa.gov/vdatumweb/api/convert?s_x=-123.083&amp;s_y=48.975&amp;s_z=0.0&amp;region=westcoast&amp;s_h_frame=NAD83_2011&amp;s_coor=geo&amp;s_v_frame=NAVD88&amp;s_v_unit=us_ft&amp;t_h_frame=IGS14&amp;t_coor=geo&amp;t_v_frame=MLLW&amp;t_v_unit=us_ft", "NAVD88 to MLLW")</f>
        <v>0</v>
      </c>
      <c r="AZ576" s="2">
        <f>HYPERLINK("https://vdatum.noaa.gov/vdatumweb/api/convert?s_x=-123.083&amp;s_y=48.975&amp;s_z=0.0&amp;region=westcoast&amp;s_h_frame=NAD83_2011&amp;s_coor=geo&amp;s_v_frame=NAVD88&amp;s_v_unit=us_ft&amp;t_h_frame=IGS14&amp;t_coor=geo&amp;t_v_frame=MHHW&amp;t_v_unit=us_ft", "NAVD88 to MHHW")</f>
        <v>0</v>
      </c>
    </row>
    <row r="577" spans="1:52">
      <c r="A577" s="1" t="s">
        <v>601</v>
      </c>
      <c r="B577" s="1" t="s">
        <v>642</v>
      </c>
      <c r="C577" s="1" t="s">
        <v>651</v>
      </c>
      <c r="D577" s="1" t="s">
        <v>655</v>
      </c>
      <c r="E577" s="1" t="s">
        <v>828</v>
      </c>
      <c r="F577" s="1" t="s">
        <v>853</v>
      </c>
      <c r="G577" s="1" t="s">
        <v>858</v>
      </c>
      <c r="L577" s="1">
        <v>-122.87</v>
      </c>
      <c r="M577" s="1">
        <v>48.65</v>
      </c>
      <c r="N577" s="1">
        <v>9449711</v>
      </c>
      <c r="O577" s="1" t="s">
        <v>861</v>
      </c>
      <c r="P577" s="1" t="s">
        <v>866</v>
      </c>
      <c r="Q577" s="2">
        <f>HYPERLINK("https://tidesandcurrents.noaa.gov/stationhome.html?id=9449711", "Station Info")</f>
        <v>0</v>
      </c>
      <c r="R577" s="2">
        <f>HYPERLINK("https://tidesandcurrents.noaa.gov/datums.html?datum=MLLW&amp;units=0&amp;epoch=0&amp;id=9449711", "Datum Info")</f>
        <v>0</v>
      </c>
      <c r="S577" s="2">
        <f>HYPERLINK("https://api.tidesandcurrents.noaa.gov/mdapi/prod/webapi/stations/9449711.json", "More Info")</f>
        <v>0</v>
      </c>
      <c r="T577" s="1">
        <v>2466439</v>
      </c>
      <c r="U577" s="1">
        <v>0</v>
      </c>
      <c r="V577" s="1" t="s">
        <v>872</v>
      </c>
      <c r="W577" s="1" t="s">
        <v>877</v>
      </c>
      <c r="AJ577" s="1">
        <v>0.659</v>
      </c>
      <c r="AK577" s="1">
        <v>-7.277</v>
      </c>
      <c r="AY577" s="2">
        <f>HYPERLINK("https://vdatum.noaa.gov/vdatumweb/api/convert?s_x=-122.87&amp;s_y=48.65&amp;s_z=0.0&amp;region=westcoast&amp;s_h_frame=NAD83_2011&amp;s_coor=geo&amp;s_v_frame=NAVD88&amp;s_v_unit=us_ft&amp;t_h_frame=IGS14&amp;t_coor=geo&amp;t_v_frame=MLLW&amp;t_v_unit=us_ft", "NAVD88 to MLLW")</f>
        <v>0</v>
      </c>
      <c r="AZ577" s="2">
        <f>HYPERLINK("https://vdatum.noaa.gov/vdatumweb/api/convert?s_x=-122.87&amp;s_y=48.65&amp;s_z=0.0&amp;region=westcoast&amp;s_h_frame=NAD83_2011&amp;s_coor=geo&amp;s_v_frame=NAVD88&amp;s_v_unit=us_ft&amp;t_h_frame=IGS14&amp;t_coor=geo&amp;t_v_frame=MHHW&amp;t_v_unit=us_ft", "NAVD88 to MHHW")</f>
        <v>0</v>
      </c>
    </row>
    <row r="578" spans="1:52">
      <c r="A578" s="1" t="s">
        <v>602</v>
      </c>
      <c r="B578" s="1" t="s">
        <v>642</v>
      </c>
      <c r="C578" s="1" t="s">
        <v>651</v>
      </c>
      <c r="D578" s="1" t="s">
        <v>655</v>
      </c>
      <c r="E578" s="1" t="s">
        <v>828</v>
      </c>
      <c r="F578" s="1" t="s">
        <v>853</v>
      </c>
      <c r="G578" s="1" t="s">
        <v>858</v>
      </c>
      <c r="L578" s="1">
        <v>-123.083</v>
      </c>
      <c r="M578" s="1">
        <v>48.485</v>
      </c>
      <c r="N578" s="1">
        <v>9449856</v>
      </c>
      <c r="O578" s="1" t="s">
        <v>861</v>
      </c>
      <c r="P578" s="1" t="s">
        <v>866</v>
      </c>
      <c r="Q578" s="2">
        <f>HYPERLINK("https://tidesandcurrents.noaa.gov/stationhome.html?id=9449856", "Station Info")</f>
        <v>0</v>
      </c>
      <c r="R578" s="2">
        <f>HYPERLINK("https://tidesandcurrents.noaa.gov/datums.html?datum=MLLW&amp;units=0&amp;epoch=0&amp;id=9449856", "Datum Info")</f>
        <v>0</v>
      </c>
      <c r="S578" s="2">
        <f>HYPERLINK("https://api.tidesandcurrents.noaa.gov/mdapi/prod/webapi/stations/9449856.json", "More Info")</f>
        <v>0</v>
      </c>
      <c r="T578" s="1">
        <v>937204</v>
      </c>
      <c r="U578" s="1">
        <v>0</v>
      </c>
      <c r="V578" s="1" t="s">
        <v>872</v>
      </c>
      <c r="W578" s="1" t="s">
        <v>877</v>
      </c>
      <c r="X578" s="1" t="s">
        <v>886</v>
      </c>
      <c r="Y578" s="1">
        <v>7.33</v>
      </c>
      <c r="Z578" s="1">
        <v>6.75</v>
      </c>
      <c r="AA578" s="1">
        <v>4.48</v>
      </c>
      <c r="AB578" s="1">
        <v>4.39</v>
      </c>
      <c r="AC578" s="1">
        <v>3.66</v>
      </c>
      <c r="AD578" s="1">
        <v>2.22</v>
      </c>
      <c r="AE578" s="1">
        <v>0</v>
      </c>
      <c r="AF578" s="1" t="s">
        <v>1072</v>
      </c>
      <c r="AG578" s="1">
        <v>-19.23</v>
      </c>
      <c r="AH578" s="1" t="s">
        <v>1343</v>
      </c>
      <c r="AI578" s="1" t="s">
        <v>1598</v>
      </c>
      <c r="AJ578" s="1">
        <v>0.459</v>
      </c>
      <c r="AK578" s="1">
        <v>-6.811</v>
      </c>
      <c r="AY578" s="2">
        <f>HYPERLINK("https://vdatum.noaa.gov/vdatumweb/api/convert?s_x=-123.083&amp;s_y=48.485&amp;s_z=0.0&amp;region=westcoast&amp;s_h_frame=NAD83_2011&amp;s_coor=geo&amp;s_v_frame=NAVD88&amp;s_v_unit=us_ft&amp;t_h_frame=IGS14&amp;t_coor=geo&amp;t_v_frame=MLLW&amp;t_v_unit=us_ft", "NAVD88 to MLLW")</f>
        <v>0</v>
      </c>
      <c r="AZ578" s="2">
        <f>HYPERLINK("https://vdatum.noaa.gov/vdatumweb/api/convert?s_x=-123.083&amp;s_y=48.485&amp;s_z=0.0&amp;region=westcoast&amp;s_h_frame=NAD83_2011&amp;s_coor=geo&amp;s_v_frame=NAVD88&amp;s_v_unit=us_ft&amp;t_h_frame=IGS14&amp;t_coor=geo&amp;t_v_frame=MHHW&amp;t_v_unit=us_ft", "NAVD88 to MHHW")</f>
        <v>0</v>
      </c>
    </row>
    <row r="579" spans="1:52">
      <c r="A579" s="1" t="s">
        <v>603</v>
      </c>
      <c r="B579" s="1" t="s">
        <v>642</v>
      </c>
      <c r="C579" s="1" t="s">
        <v>651</v>
      </c>
      <c r="D579" s="1" t="s">
        <v>655</v>
      </c>
      <c r="E579" s="1" t="s">
        <v>828</v>
      </c>
      <c r="F579" s="1" t="s">
        <v>853</v>
      </c>
      <c r="G579" s="1" t="s">
        <v>858</v>
      </c>
      <c r="L579" s="1">
        <v>-123.01</v>
      </c>
      <c r="M579" s="1">
        <v>48.5467</v>
      </c>
      <c r="N579" s="1">
        <v>9449880</v>
      </c>
      <c r="O579" s="1" t="s">
        <v>860</v>
      </c>
      <c r="P579" s="1" t="s">
        <v>866</v>
      </c>
      <c r="Q579" s="2">
        <f>HYPERLINK("https://tidesandcurrents.noaa.gov/stationhome.html?id=9449880", "Station Info")</f>
        <v>0</v>
      </c>
      <c r="R579" s="2">
        <f>HYPERLINK("https://tidesandcurrents.noaa.gov/datums.html?datum=MLLW&amp;units=0&amp;epoch=0&amp;id=9449880", "Datum Info")</f>
        <v>0</v>
      </c>
      <c r="S579" s="2">
        <f>HYPERLINK("https://api.tidesandcurrents.noaa.gov/mdapi/prod/webapi/stations/9449880.json", "More Info")</f>
        <v>0</v>
      </c>
      <c r="T579" s="1">
        <v>1067298</v>
      </c>
      <c r="U579" s="1">
        <v>1.272</v>
      </c>
      <c r="V579" s="1" t="s">
        <v>872</v>
      </c>
      <c r="W579" s="1" t="s">
        <v>877</v>
      </c>
      <c r="X579" s="1" t="s">
        <v>886</v>
      </c>
      <c r="Y579" s="1">
        <v>7.76</v>
      </c>
      <c r="Z579" s="1">
        <v>7.11</v>
      </c>
      <c r="AA579" s="1">
        <v>4.7</v>
      </c>
      <c r="AB579" s="1">
        <v>4.55</v>
      </c>
      <c r="AC579" s="1">
        <v>3.88</v>
      </c>
      <c r="AD579" s="1">
        <v>2.29</v>
      </c>
      <c r="AE579" s="1">
        <v>0</v>
      </c>
      <c r="AF579" s="1" t="s">
        <v>1073</v>
      </c>
      <c r="AG579" s="1">
        <v>-3.85</v>
      </c>
      <c r="AH579" s="1" t="s">
        <v>1344</v>
      </c>
      <c r="AI579" s="1" t="s">
        <v>1599</v>
      </c>
      <c r="AJ579" s="1">
        <v>0.463</v>
      </c>
      <c r="AK579" s="1">
        <v>-7.3</v>
      </c>
      <c r="AY579" s="2">
        <f>HYPERLINK("https://vdatum.noaa.gov/vdatumweb/api/convert?s_x=-123.01&amp;s_y=48.5467&amp;s_z=0.0&amp;region=westcoast&amp;s_h_frame=NAD83_2011&amp;s_coor=geo&amp;s_v_frame=NAVD88&amp;s_v_unit=us_ft&amp;t_h_frame=IGS14&amp;t_coor=geo&amp;t_v_frame=MLLW&amp;t_v_unit=us_ft", "NAVD88 to MLLW")</f>
        <v>0</v>
      </c>
      <c r="AZ579" s="2">
        <f>HYPERLINK("https://vdatum.noaa.gov/vdatumweb/api/convert?s_x=-123.01&amp;s_y=48.5467&amp;s_z=0.0&amp;region=westcoast&amp;s_h_frame=NAD83_2011&amp;s_coor=geo&amp;s_v_frame=NAVD88&amp;s_v_unit=us_ft&amp;t_h_frame=IGS14&amp;t_coor=geo&amp;t_v_frame=MHHW&amp;t_v_unit=us_ft", "NAVD88 to MHHW")</f>
        <v>0</v>
      </c>
    </row>
    <row r="580" spans="1:52">
      <c r="A580" s="1" t="s">
        <v>604</v>
      </c>
      <c r="B580" s="1" t="s">
        <v>642</v>
      </c>
      <c r="C580" s="1" t="s">
        <v>651</v>
      </c>
      <c r="D580" s="1" t="s">
        <v>655</v>
      </c>
      <c r="E580" s="1" t="s">
        <v>828</v>
      </c>
      <c r="F580" s="1" t="s">
        <v>853</v>
      </c>
      <c r="G580" s="1" t="s">
        <v>858</v>
      </c>
      <c r="L580" s="1">
        <v>-122.885</v>
      </c>
      <c r="M580" s="1">
        <v>48.5717</v>
      </c>
      <c r="N580" s="1">
        <v>9449911</v>
      </c>
      <c r="O580" s="1" t="s">
        <v>861</v>
      </c>
      <c r="P580" s="1" t="s">
        <v>866</v>
      </c>
      <c r="Q580" s="2">
        <f>HYPERLINK("https://tidesandcurrents.noaa.gov/stationhome.html?id=9449911", "Station Info")</f>
        <v>0</v>
      </c>
      <c r="R580" s="2">
        <f>HYPERLINK("https://tidesandcurrents.noaa.gov/datums.html?datum=MLLW&amp;units=0&amp;epoch=0&amp;id=9449911", "Datum Info")</f>
        <v>0</v>
      </c>
      <c r="S580" s="2">
        <f>HYPERLINK("https://api.tidesandcurrents.noaa.gov/mdapi/prod/webapi/stations/9449911.json", "More Info")</f>
        <v>0</v>
      </c>
      <c r="T580" s="1">
        <v>2508966</v>
      </c>
      <c r="U580" s="1">
        <v>0</v>
      </c>
      <c r="V580" s="1" t="s">
        <v>872</v>
      </c>
      <c r="W580" s="1" t="s">
        <v>877</v>
      </c>
      <c r="X580" s="1" t="s">
        <v>886</v>
      </c>
      <c r="Y580" s="1">
        <v>7.84</v>
      </c>
      <c r="Z580" s="1">
        <v>7.2</v>
      </c>
      <c r="AA580" s="1">
        <v>4.75</v>
      </c>
      <c r="AB580" s="1">
        <v>4.62</v>
      </c>
      <c r="AC580" s="1">
        <v>3.92</v>
      </c>
      <c r="AD580" s="1">
        <v>2.3</v>
      </c>
      <c r="AE580" s="1">
        <v>0</v>
      </c>
      <c r="AF580" s="1" t="s">
        <v>1073</v>
      </c>
      <c r="AG580" s="1">
        <v>-20.18</v>
      </c>
      <c r="AH580" s="1" t="s">
        <v>1343</v>
      </c>
      <c r="AI580" s="1" t="s">
        <v>1600</v>
      </c>
      <c r="AJ580" s="1">
        <v>0.463</v>
      </c>
      <c r="AK580" s="1">
        <v>-7.323</v>
      </c>
      <c r="AY580" s="2">
        <f>HYPERLINK("https://vdatum.noaa.gov/vdatumweb/api/convert?s_x=-122.885&amp;s_y=48.5717&amp;s_z=0.0&amp;region=westcoast&amp;s_h_frame=NAD83_2011&amp;s_coor=geo&amp;s_v_frame=NAVD88&amp;s_v_unit=us_ft&amp;t_h_frame=IGS14&amp;t_coor=geo&amp;t_v_frame=MLLW&amp;t_v_unit=us_ft", "NAVD88 to MLLW")</f>
        <v>0</v>
      </c>
      <c r="AZ580" s="2">
        <f>HYPERLINK("https://vdatum.noaa.gov/vdatumweb/api/convert?s_x=-122.885&amp;s_y=48.5717&amp;s_z=0.0&amp;region=westcoast&amp;s_h_frame=NAD83_2011&amp;s_coor=geo&amp;s_v_frame=NAVD88&amp;s_v_unit=us_ft&amp;t_h_frame=IGS14&amp;t_coor=geo&amp;t_v_frame=MHHW&amp;t_v_unit=us_ft", "NAVD88 to MHHW")</f>
        <v>0</v>
      </c>
    </row>
    <row r="581" spans="1:52">
      <c r="A581" s="1" t="s">
        <v>605</v>
      </c>
      <c r="B581" s="1" t="s">
        <v>642</v>
      </c>
      <c r="D581" s="1" t="s">
        <v>655</v>
      </c>
      <c r="E581" s="1" t="s">
        <v>828</v>
      </c>
      <c r="F581" s="1" t="s">
        <v>853</v>
      </c>
      <c r="G581" s="1" t="s">
        <v>858</v>
      </c>
      <c r="L581" s="1">
        <v>-122.797</v>
      </c>
      <c r="M581" s="1">
        <v>48.535</v>
      </c>
      <c r="N581" s="1">
        <v>9449932</v>
      </c>
      <c r="O581" s="1" t="s">
        <v>861</v>
      </c>
      <c r="P581" s="1" t="s">
        <v>866</v>
      </c>
      <c r="Q581" s="2">
        <f>HYPERLINK("https://tidesandcurrents.noaa.gov/stationhome.html?id=9449932", "Station Info")</f>
        <v>0</v>
      </c>
      <c r="R581" s="2">
        <f>HYPERLINK("https://tidesandcurrents.noaa.gov/datums.html?datum=MLLW&amp;units=0&amp;epoch=0&amp;id=9449932", "Datum Info")</f>
        <v>0</v>
      </c>
      <c r="S581" s="2">
        <f>HYPERLINK("https://api.tidesandcurrents.noaa.gov/mdapi/prod/webapi/stations/9449932.json", "More Info")</f>
        <v>0</v>
      </c>
      <c r="T581" s="1">
        <v>2081125</v>
      </c>
      <c r="U581" s="1">
        <v>0</v>
      </c>
      <c r="V581" s="1" t="s">
        <v>872</v>
      </c>
      <c r="W581" s="1" t="s">
        <v>877</v>
      </c>
      <c r="X581" s="1" t="s">
        <v>886</v>
      </c>
      <c r="Y581" s="1">
        <v>7.84</v>
      </c>
      <c r="Z581" s="1">
        <v>7.23</v>
      </c>
      <c r="AA581" s="1">
        <v>4.77</v>
      </c>
      <c r="AB581" s="1">
        <v>4.66</v>
      </c>
      <c r="AC581" s="1">
        <v>3.92</v>
      </c>
      <c r="AD581" s="1">
        <v>2.32</v>
      </c>
      <c r="AE581" s="1">
        <v>0</v>
      </c>
      <c r="AF581" s="1" t="s">
        <v>1074</v>
      </c>
      <c r="AG581" s="1">
        <v>-4.05</v>
      </c>
      <c r="AH581" s="1" t="s">
        <v>1345</v>
      </c>
      <c r="AI581" s="1" t="s">
        <v>1601</v>
      </c>
      <c r="AJ581" s="1">
        <v>0.499</v>
      </c>
      <c r="AK581" s="1">
        <v>-7.303</v>
      </c>
      <c r="AY581" s="2">
        <f>HYPERLINK("https://vdatum.noaa.gov/vdatumweb/api/convert?s_x=-122.797&amp;s_y=48.535&amp;s_z=0.0&amp;region=westcoast&amp;s_h_frame=NAD83_2011&amp;s_coor=geo&amp;s_v_frame=NAVD88&amp;s_v_unit=us_ft&amp;t_h_frame=IGS14&amp;t_coor=geo&amp;t_v_frame=MLLW&amp;t_v_unit=us_ft", "NAVD88 to MLLW")</f>
        <v>0</v>
      </c>
      <c r="AZ581" s="2">
        <f>HYPERLINK("https://vdatum.noaa.gov/vdatumweb/api/convert?s_x=-122.797&amp;s_y=48.535&amp;s_z=0.0&amp;region=westcoast&amp;s_h_frame=NAD83_2011&amp;s_coor=geo&amp;s_v_frame=NAVD88&amp;s_v_unit=us_ft&amp;t_h_frame=IGS14&amp;t_coor=geo&amp;t_v_frame=MHHW&amp;t_v_unit=us_ft", "NAVD88 to MHHW")</f>
        <v>0</v>
      </c>
    </row>
    <row r="582" spans="1:52">
      <c r="A582" s="1" t="s">
        <v>606</v>
      </c>
      <c r="B582" s="1" t="s">
        <v>642</v>
      </c>
      <c r="D582" s="1" t="s">
        <v>655</v>
      </c>
      <c r="L582" s="1">
        <v>-122.805</v>
      </c>
      <c r="M582" s="1">
        <v>48.4433</v>
      </c>
      <c r="N582" s="1">
        <v>9449988</v>
      </c>
      <c r="O582" s="1" t="s">
        <v>861</v>
      </c>
      <c r="P582" s="1" t="s">
        <v>866</v>
      </c>
      <c r="Q582" s="2">
        <f>HYPERLINK("https://tidesandcurrents.noaa.gov/stationhome.html?id=9449988", "Station Info")</f>
        <v>0</v>
      </c>
      <c r="R582" s="2">
        <f>HYPERLINK("https://tidesandcurrents.noaa.gov/datums.html?datum=MLLW&amp;units=0&amp;epoch=0&amp;id=9449988", "Datum Info")</f>
        <v>0</v>
      </c>
      <c r="S582" s="2">
        <f>HYPERLINK("https://api.tidesandcurrents.noaa.gov/mdapi/prod/webapi/stations/9449988.json", "More Info")</f>
        <v>0</v>
      </c>
      <c r="T582" s="1">
        <v>628254</v>
      </c>
      <c r="U582" s="1">
        <v>0</v>
      </c>
      <c r="V582" s="1" t="s">
        <v>872</v>
      </c>
      <c r="W582" s="1" t="s">
        <v>877</v>
      </c>
      <c r="X582" s="1" t="s">
        <v>886</v>
      </c>
      <c r="Y582" s="1">
        <v>6.21</v>
      </c>
      <c r="Z582" s="1">
        <v>5.73</v>
      </c>
      <c r="AA582" s="1">
        <v>3.8</v>
      </c>
      <c r="AB582" s="1">
        <v>3.71</v>
      </c>
      <c r="AC582" s="1">
        <v>3.1</v>
      </c>
      <c r="AD582" s="1">
        <v>1.86</v>
      </c>
      <c r="AE582" s="1">
        <v>0</v>
      </c>
      <c r="AF582" s="1" t="s">
        <v>1075</v>
      </c>
      <c r="AG582" s="1">
        <v>0.03</v>
      </c>
      <c r="AH582" s="1" t="s">
        <v>1346</v>
      </c>
      <c r="AI582" s="1" t="s">
        <v>1602</v>
      </c>
      <c r="AJ582" s="1">
        <v>-0.354</v>
      </c>
      <c r="AK582" s="1">
        <v>-6.637</v>
      </c>
      <c r="AY582" s="2">
        <f>HYPERLINK("https://vdatum.noaa.gov/vdatumweb/api/convert?s_x=-122.805&amp;s_y=48.4433&amp;s_z=0.0&amp;region=westcoast&amp;s_h_frame=NAD83_2011&amp;s_coor=geo&amp;s_v_frame=NAVD88&amp;s_v_unit=us_ft&amp;t_h_frame=IGS14&amp;t_coor=geo&amp;t_v_frame=MLLW&amp;t_v_unit=us_ft", "NAVD88 to MLLW")</f>
        <v>0</v>
      </c>
      <c r="AZ582" s="2">
        <f>HYPERLINK("https://vdatum.noaa.gov/vdatumweb/api/convert?s_x=-122.805&amp;s_y=48.4433&amp;s_z=0.0&amp;region=westcoast&amp;s_h_frame=NAD83_2011&amp;s_coor=geo&amp;s_v_frame=NAVD88&amp;s_v_unit=us_ft&amp;t_h_frame=IGS14&amp;t_coor=geo&amp;t_v_frame=MHHW&amp;t_v_unit=us_ft", "NAVD88 to MHHW")</f>
        <v>0</v>
      </c>
    </row>
    <row r="583" spans="1:52">
      <c r="A583" s="1" t="s">
        <v>607</v>
      </c>
      <c r="B583" s="1" t="s">
        <v>643</v>
      </c>
      <c r="C583" s="1" t="s">
        <v>650</v>
      </c>
      <c r="D583" s="1" t="s">
        <v>655</v>
      </c>
      <c r="L583" s="1">
        <v>-117.174</v>
      </c>
      <c r="M583" s="1">
        <v>32.71419</v>
      </c>
      <c r="N583" s="1">
        <v>9410170</v>
      </c>
      <c r="O583" s="1" t="s">
        <v>861</v>
      </c>
      <c r="P583" s="1" t="s">
        <v>866</v>
      </c>
      <c r="Q583" s="2">
        <f>HYPERLINK("https://tidesandcurrents.noaa.gov/stationhome.html?id=9410170", "Station Info")</f>
        <v>0</v>
      </c>
      <c r="R583" s="2">
        <f>HYPERLINK("https://tidesandcurrents.noaa.gov/datums.html?datum=MLLW&amp;units=0&amp;epoch=0&amp;id=9410170", "Datum Info")</f>
        <v>0</v>
      </c>
      <c r="S583" s="2">
        <f>HYPERLINK("https://api.tidesandcurrents.noaa.gov/mdapi/prod/webapi/stations/9410170.json", "More Info")</f>
        <v>0</v>
      </c>
      <c r="T583" s="1">
        <v>1099838</v>
      </c>
      <c r="U583" s="1">
        <v>0</v>
      </c>
      <c r="V583" s="1" t="s">
        <v>872</v>
      </c>
      <c r="W583" s="1" t="s">
        <v>877</v>
      </c>
      <c r="X583" s="1" t="s">
        <v>886</v>
      </c>
      <c r="Y583" s="1">
        <v>5.72</v>
      </c>
      <c r="Z583" s="1">
        <v>4.99</v>
      </c>
      <c r="AA583" s="1">
        <v>2.96</v>
      </c>
      <c r="AB583" s="1">
        <v>2.94</v>
      </c>
      <c r="AC583" s="1">
        <v>2.86</v>
      </c>
      <c r="AD583" s="1">
        <v>0.9399999999999999</v>
      </c>
      <c r="AE583" s="1">
        <v>0</v>
      </c>
      <c r="AF583" s="1">
        <v>0.43</v>
      </c>
      <c r="AG583" s="1">
        <v>-3.79</v>
      </c>
      <c r="AH583" s="1" t="s">
        <v>1347</v>
      </c>
      <c r="AI583" s="1" t="s">
        <v>1603</v>
      </c>
      <c r="AJ583" s="1">
        <v>0.459</v>
      </c>
      <c r="AK583" s="1">
        <v>-5.262</v>
      </c>
      <c r="AY583" s="2">
        <f>HYPERLINK("https://vdatum.noaa.gov/vdatumweb/api/convert?s_x=-117.174&amp;s_y=32.71419&amp;s_z=0.0&amp;region=westcoast&amp;s_h_frame=NAD83_2011&amp;s_coor=geo&amp;s_v_frame=NAVD88&amp;s_v_unit=us_ft&amp;t_h_frame=IGS14&amp;t_coor=geo&amp;t_v_frame=MLLW&amp;t_v_unit=us_ft", "NAVD88 to MLLW")</f>
        <v>0</v>
      </c>
      <c r="AZ583" s="2">
        <f>HYPERLINK("https://vdatum.noaa.gov/vdatumweb/api/convert?s_x=-117.174&amp;s_y=32.71419&amp;s_z=0.0&amp;region=westcoast&amp;s_h_frame=NAD83_2011&amp;s_coor=geo&amp;s_v_frame=NAVD88&amp;s_v_unit=us_ft&amp;t_h_frame=IGS14&amp;t_coor=geo&amp;t_v_frame=MHHW&amp;t_v_unit=us_ft", "NAVD88 to MHHW")</f>
        <v>0</v>
      </c>
    </row>
    <row r="584" spans="1:52">
      <c r="A584" s="1" t="s">
        <v>608</v>
      </c>
      <c r="B584" s="1" t="s">
        <v>643</v>
      </c>
      <c r="D584" s="1" t="s">
        <v>655</v>
      </c>
      <c r="L584" s="1">
        <v>-117.257</v>
      </c>
      <c r="M584" s="1">
        <v>32.86689</v>
      </c>
      <c r="N584" s="1">
        <v>9410230</v>
      </c>
      <c r="O584" s="1" t="s">
        <v>861</v>
      </c>
      <c r="P584" s="1" t="s">
        <v>866</v>
      </c>
      <c r="Q584" s="2">
        <f>HYPERLINK("https://tidesandcurrents.noaa.gov/stationhome.html?id=9410230", "Station Info")</f>
        <v>0</v>
      </c>
      <c r="R584" s="2">
        <f>HYPERLINK("https://tidesandcurrents.noaa.gov/datums.html?datum=MLLW&amp;units=0&amp;epoch=0&amp;id=9410230", "Datum Info")</f>
        <v>0</v>
      </c>
      <c r="S584" s="2">
        <f>HYPERLINK("https://api.tidesandcurrents.noaa.gov/mdapi/prod/webapi/stations/9410230.json", "More Info")</f>
        <v>0</v>
      </c>
      <c r="T584" s="1">
        <v>613464</v>
      </c>
      <c r="U584" s="1">
        <v>0</v>
      </c>
      <c r="V584" s="1" t="s">
        <v>872</v>
      </c>
      <c r="W584" s="1" t="s">
        <v>877</v>
      </c>
      <c r="X584" s="1" t="s">
        <v>886</v>
      </c>
      <c r="Y584" s="1">
        <v>5.32</v>
      </c>
      <c r="Z584" s="1">
        <v>4.6</v>
      </c>
      <c r="AA584" s="1">
        <v>2.75</v>
      </c>
      <c r="AB584" s="1">
        <v>2.73</v>
      </c>
      <c r="AC584" s="1">
        <v>2.66</v>
      </c>
      <c r="AD584" s="1">
        <v>0.9</v>
      </c>
      <c r="AE584" s="1">
        <v>0</v>
      </c>
      <c r="AF584" s="1">
        <v>0.19</v>
      </c>
      <c r="AG584" s="1">
        <v>-4.37</v>
      </c>
      <c r="AH584" s="1" t="s">
        <v>1348</v>
      </c>
      <c r="AI584" s="1" t="s">
        <v>1604</v>
      </c>
      <c r="AJ584" s="1">
        <v>0.161</v>
      </c>
      <c r="AK584" s="1">
        <v>-5.167</v>
      </c>
      <c r="AY584" s="2">
        <f>HYPERLINK("https://vdatum.noaa.gov/vdatumweb/api/convert?s_x=-117.257&amp;s_y=32.86689&amp;s_z=0.0&amp;region=westcoast&amp;s_h_frame=NAD83_2011&amp;s_coor=geo&amp;s_v_frame=NAVD88&amp;s_v_unit=us_ft&amp;t_h_frame=IGS14&amp;t_coor=geo&amp;t_v_frame=MLLW&amp;t_v_unit=us_ft", "NAVD88 to MLLW")</f>
        <v>0</v>
      </c>
      <c r="AZ584" s="2">
        <f>HYPERLINK("https://vdatum.noaa.gov/vdatumweb/api/convert?s_x=-117.257&amp;s_y=32.86689&amp;s_z=0.0&amp;region=westcoast&amp;s_h_frame=NAD83_2011&amp;s_coor=geo&amp;s_v_frame=NAVD88&amp;s_v_unit=us_ft&amp;t_h_frame=IGS14&amp;t_coor=geo&amp;t_v_frame=MHHW&amp;t_v_unit=us_ft", "NAVD88 to MHHW")</f>
        <v>0</v>
      </c>
    </row>
    <row r="585" spans="1:52">
      <c r="A585" s="1" t="s">
        <v>609</v>
      </c>
      <c r="C585" s="1" t="s">
        <v>646</v>
      </c>
      <c r="E585" s="1" t="s">
        <v>829</v>
      </c>
      <c r="F585" s="1" t="s">
        <v>834</v>
      </c>
      <c r="G585" s="1" t="s">
        <v>854</v>
      </c>
      <c r="L585" s="1">
        <v>-70.0964</v>
      </c>
      <c r="M585" s="1">
        <v>41.28528</v>
      </c>
      <c r="N585" s="1">
        <v>8449130</v>
      </c>
      <c r="O585" s="1" t="s">
        <v>860</v>
      </c>
      <c r="P585" s="1" t="s">
        <v>866</v>
      </c>
      <c r="Q585" s="2">
        <f>HYPERLINK("https://tidesandcurrents.noaa.gov/stationhome.html?id=8449130", "Station Info")</f>
        <v>0</v>
      </c>
      <c r="R585" s="2">
        <f>HYPERLINK("https://tidesandcurrents.noaa.gov/datums.html?datum=MLLW&amp;units=0&amp;epoch=0&amp;id=8449130", "Datum Info")</f>
        <v>0</v>
      </c>
      <c r="S585" s="2">
        <f>HYPERLINK("https://api.tidesandcurrents.noaa.gov/mdapi/prod/webapi/stations/8449130.json", "More Info")</f>
        <v>0</v>
      </c>
      <c r="T585" s="1">
        <v>4716462</v>
      </c>
      <c r="U585" s="1">
        <v>-0.082</v>
      </c>
      <c r="V585" s="1" t="s">
        <v>869</v>
      </c>
      <c r="W585" s="1" t="s">
        <v>874</v>
      </c>
      <c r="X585" s="1" t="s">
        <v>886</v>
      </c>
      <c r="Y585" s="1">
        <v>3.57</v>
      </c>
      <c r="Z585" s="1">
        <v>3.23</v>
      </c>
      <c r="AA585" s="1">
        <v>1.72</v>
      </c>
      <c r="AB585" s="1">
        <v>1.77</v>
      </c>
      <c r="AC585" s="1">
        <v>1.79</v>
      </c>
      <c r="AD585" s="1">
        <v>0.2</v>
      </c>
      <c r="AE585" s="1">
        <v>0</v>
      </c>
      <c r="AF585" s="1" t="s">
        <v>1076</v>
      </c>
      <c r="AG585" s="1">
        <v>-3</v>
      </c>
      <c r="AH585" s="1" t="s">
        <v>1349</v>
      </c>
      <c r="AI585" s="1" t="s">
        <v>1605</v>
      </c>
      <c r="AJ585" s="1">
        <v>2.04</v>
      </c>
      <c r="AK585" s="1">
        <v>-1.536</v>
      </c>
      <c r="AY585" s="2">
        <f>HYPERLINK("https://vdatum.noaa.gov/vdatumweb/api/convert?s_x=-70.0964&amp;s_y=41.28528&amp;s_z=0.0&amp;region=contiguous&amp;s_h_frame=NAD83_2011&amp;s_coor=geo&amp;s_v_frame=NAVD88&amp;s_v_unit=us_ft&amp;t_h_frame=NAD83_2011&amp;t_coor=geo&amp;t_v_frame=MLLW&amp;t_v_unit=us_ft", "NAVD88 to MLLW")</f>
        <v>0</v>
      </c>
      <c r="AZ585" s="2">
        <f>HYPERLINK("https://vdatum.noaa.gov/vdatumweb/api/convert?s_x=-70.0964&amp;s_y=41.28528&amp;s_z=0.0&amp;region=contiguous&amp;s_h_frame=NAD83_2011&amp;s_coor=geo&amp;s_v_frame=NAVD88&amp;s_v_unit=us_ft&amp;t_h_frame=NAD83_2011&amp;t_coor=geo&amp;t_v_frame=MHHW&amp;t_v_unit=us_ft", "NAVD88 to MHHW")</f>
        <v>0</v>
      </c>
    </row>
    <row r="586" spans="1:52">
      <c r="A586" s="1" t="s">
        <v>610</v>
      </c>
      <c r="E586" s="1" t="s">
        <v>732</v>
      </c>
      <c r="F586" s="1" t="s">
        <v>842</v>
      </c>
      <c r="G586" s="1" t="s">
        <v>854</v>
      </c>
      <c r="L586" s="1">
        <v>-74.95999999999999</v>
      </c>
      <c r="M586" s="1">
        <v>38.9683</v>
      </c>
      <c r="N586" s="1">
        <v>8536110</v>
      </c>
      <c r="O586" s="1" t="s">
        <v>860</v>
      </c>
      <c r="P586" s="1" t="s">
        <v>866</v>
      </c>
      <c r="Q586" s="2">
        <f>HYPERLINK("https://tidesandcurrents.noaa.gov/stationhome.html?id=8536110", "Station Info")</f>
        <v>0</v>
      </c>
      <c r="R586" s="2">
        <f>HYPERLINK("https://tidesandcurrents.noaa.gov/datums.html?datum=MLLW&amp;units=0&amp;epoch=0&amp;id=8536110", "Datum Info")</f>
        <v>0</v>
      </c>
      <c r="S586" s="2">
        <f>HYPERLINK("https://api.tidesandcurrents.noaa.gov/mdapi/prod/webapi/stations/8536110.json", "More Info")</f>
        <v>0</v>
      </c>
      <c r="T586" s="1">
        <v>3646190</v>
      </c>
      <c r="U586" s="1">
        <v>0</v>
      </c>
      <c r="V586" s="1" t="s">
        <v>869</v>
      </c>
      <c r="W586" s="1" t="s">
        <v>873</v>
      </c>
      <c r="X586" s="1" t="s">
        <v>886</v>
      </c>
      <c r="Y586" s="1">
        <v>5.45</v>
      </c>
      <c r="Z586" s="1">
        <v>5.01</v>
      </c>
      <c r="AA586" s="1">
        <v>2.59</v>
      </c>
      <c r="AB586" s="1">
        <v>2.57</v>
      </c>
      <c r="AC586" s="1">
        <v>2.72</v>
      </c>
      <c r="AD586" s="1">
        <v>0.16</v>
      </c>
      <c r="AE586" s="1">
        <v>0</v>
      </c>
      <c r="AF586" s="1">
        <v>3.02</v>
      </c>
      <c r="AG586" s="1">
        <v>-2.42</v>
      </c>
      <c r="AH586" s="1" t="s">
        <v>1350</v>
      </c>
      <c r="AI586" s="1" t="s">
        <v>1606</v>
      </c>
      <c r="AJ586" s="1">
        <v>3.097</v>
      </c>
      <c r="AK586" s="1">
        <v>-2.388</v>
      </c>
      <c r="AY586" s="2">
        <f>HYPERLINK("https://vdatum.noaa.gov/vdatumweb/api/convert?s_x=-74.96&amp;s_y=38.9683&amp;s_z=0.0&amp;region=chesapeak_delaware&amp;s_h_frame=NAD83_2011&amp;s_coor=geo&amp;s_v_frame=NAVD88&amp;s_v_unit=us_ft&amp;t_h_frame=IGS14&amp;t_coor=geo&amp;t_v_frame=MLLW&amp;t_v_unit=us_ft", "NAVD88 to MLLW")</f>
        <v>0</v>
      </c>
      <c r="AZ586" s="2">
        <f>HYPERLINK("https://vdatum.noaa.gov/vdatumweb/api/convert?s_x=-74.96&amp;s_y=38.9683&amp;s_z=0.0&amp;region=chesapeak_delaware&amp;s_h_frame=NAD83_2011&amp;s_coor=geo&amp;s_v_frame=NAVD88&amp;s_v_unit=us_ft&amp;t_h_frame=IGS14&amp;t_coor=geo&amp;t_v_frame=MHHW&amp;t_v_unit=us_ft", "NAVD88 to MHHW")</f>
        <v>0</v>
      </c>
    </row>
    <row r="587" spans="1:52">
      <c r="A587" s="1" t="s">
        <v>611</v>
      </c>
      <c r="E587" s="1" t="s">
        <v>723</v>
      </c>
      <c r="F587" s="1" t="s">
        <v>847</v>
      </c>
      <c r="G587" s="1" t="s">
        <v>854</v>
      </c>
      <c r="L587" s="1">
        <v>-81.4658</v>
      </c>
      <c r="M587" s="1">
        <v>30.67139</v>
      </c>
      <c r="N587" s="1">
        <v>8720030</v>
      </c>
      <c r="O587" s="1" t="s">
        <v>860</v>
      </c>
      <c r="P587" s="1" t="s">
        <v>866</v>
      </c>
      <c r="Q587" s="2">
        <f>HYPERLINK("https://tidesandcurrents.noaa.gov/stationhome.html?id=8720030", "Station Info")</f>
        <v>0</v>
      </c>
      <c r="R587" s="2">
        <f>HYPERLINK("https://tidesandcurrents.noaa.gov/datums.html?datum=MLLW&amp;units=0&amp;epoch=0&amp;id=8720030", "Datum Info")</f>
        <v>0</v>
      </c>
      <c r="S587" s="2">
        <f>HYPERLINK("https://api.tidesandcurrents.noaa.gov/mdapi/prod/webapi/stations/8720030.json", "More Info")</f>
        <v>0</v>
      </c>
      <c r="T587" s="1">
        <v>4650145</v>
      </c>
      <c r="U587" s="1">
        <v>0</v>
      </c>
      <c r="V587" s="1" t="s">
        <v>869</v>
      </c>
      <c r="W587" s="1" t="s">
        <v>874</v>
      </c>
      <c r="X587" s="1" t="s">
        <v>886</v>
      </c>
      <c r="Y587" s="1">
        <v>6.56</v>
      </c>
      <c r="Z587" s="1">
        <v>6.21</v>
      </c>
      <c r="AA587" s="1">
        <v>3.2</v>
      </c>
      <c r="AB587" s="1">
        <v>3.29</v>
      </c>
      <c r="AC587" s="1">
        <v>3.28</v>
      </c>
      <c r="AD587" s="1">
        <v>0.19</v>
      </c>
      <c r="AE587" s="1">
        <v>0</v>
      </c>
      <c r="AF587" s="1">
        <v>3.82</v>
      </c>
      <c r="AG587" s="1">
        <v>-1.7</v>
      </c>
      <c r="AH587" s="1" t="s">
        <v>1351</v>
      </c>
      <c r="AI587" s="1" t="s">
        <v>1607</v>
      </c>
      <c r="AJ587" s="1">
        <v>3.836</v>
      </c>
      <c r="AK587" s="1">
        <v>-2.738</v>
      </c>
      <c r="AY587" s="2">
        <f>HYPERLINK("https://vdatum.noaa.gov/vdatumweb/api/convert?s_x=-81.4658&amp;s_y=30.67139&amp;s_z=0.0&amp;region=contiguous&amp;s_h_frame=NAD83_2011&amp;s_coor=geo&amp;s_v_frame=NAVD88&amp;s_v_unit=us_ft&amp;t_h_frame=NAD83_2011&amp;t_coor=geo&amp;t_v_frame=MLLW&amp;t_v_unit=us_ft", "NAVD88 to MLLW")</f>
        <v>0</v>
      </c>
      <c r="AZ587" s="2">
        <f>HYPERLINK("https://vdatum.noaa.gov/vdatumweb/api/convert?s_x=-81.4658&amp;s_y=30.67139&amp;s_z=0.0&amp;region=contiguous&amp;s_h_frame=NAD83_2011&amp;s_coor=geo&amp;s_v_frame=NAVD88&amp;s_v_unit=us_ft&amp;t_h_frame=NAD83_2011&amp;t_coor=geo&amp;t_v_frame=MHHW&amp;t_v_unit=us_ft", "NAVD88 to MHHW")</f>
        <v>0</v>
      </c>
    </row>
  </sheetData>
  <conditionalFormatting sqref="AA2:AA587">
    <cfRule type="containsBlanks" dxfId="3" priority="4">
      <formula>LEN(TRIM(AA2))=0</formula>
    </cfRule>
  </conditionalFormatting>
  <conditionalFormatting sqref="AB2:AB587">
    <cfRule type="containsBlanks" dxfId="3" priority="5">
      <formula>LEN(TRIM(AB2))=0</formula>
    </cfRule>
  </conditionalFormatting>
  <conditionalFormatting sqref="AC2:AC587">
    <cfRule type="containsBlanks" dxfId="3" priority="6">
      <formula>LEN(TRIM(AC2))=0</formula>
    </cfRule>
  </conditionalFormatting>
  <conditionalFormatting sqref="AD2:AD587">
    <cfRule type="containsBlanks" dxfId="3" priority="7">
      <formula>LEN(TRIM(AD2))=0</formula>
    </cfRule>
  </conditionalFormatting>
  <conditionalFormatting sqref="AE2:AE587">
    <cfRule type="containsBlanks" dxfId="3" priority="8">
      <formula>LEN(TRIM(AE2))=0</formula>
    </cfRule>
  </conditionalFormatting>
  <conditionalFormatting sqref="AF2:AF587">
    <cfRule type="containsBlanks" dxfId="3" priority="9">
      <formula>LEN(TRIM(AF2))=0</formula>
    </cfRule>
  </conditionalFormatting>
  <conditionalFormatting sqref="AG2:AG587">
    <cfRule type="containsBlanks" dxfId="3" priority="10">
      <formula>LEN(TRIM(AG2))=0</formula>
    </cfRule>
  </conditionalFormatting>
  <conditionalFormatting sqref="AH2:AH587">
    <cfRule type="containsBlanks" dxfId="3" priority="11">
      <formula>LEN(TRIM(AH2))=0</formula>
    </cfRule>
  </conditionalFormatting>
  <conditionalFormatting sqref="AI2:AI587">
    <cfRule type="containsBlanks" dxfId="3" priority="12">
      <formula>LEN(TRIM(AI2))=0</formula>
    </cfRule>
  </conditionalFormatting>
  <conditionalFormatting sqref="AJ2:AJ587">
    <cfRule type="cellIs" dxfId="1" priority="13" operator="equal">
      <formula>-999999</formula>
    </cfRule>
  </conditionalFormatting>
  <conditionalFormatting sqref="AK2:AK587">
    <cfRule type="cellIs" dxfId="1" priority="14" operator="equal">
      <formula>-999999</formula>
    </cfRule>
  </conditionalFormatting>
  <conditionalFormatting sqref="BA103">
    <cfRule type="notContainsErrors" dxfId="2" priority="100">
      <formula>NOT(ISERROR(BA103))</formula>
    </cfRule>
  </conditionalFormatting>
  <conditionalFormatting sqref="BA113">
    <cfRule type="notContainsErrors" dxfId="2" priority="105">
      <formula>NOT(ISERROR(BA113))</formula>
    </cfRule>
  </conditionalFormatting>
  <conditionalFormatting sqref="BA171">
    <cfRule type="notContainsErrors" dxfId="2" priority="110">
      <formula>NOT(ISERROR(BA171))</formula>
    </cfRule>
  </conditionalFormatting>
  <conditionalFormatting sqref="BA175">
    <cfRule type="notContainsErrors" dxfId="2" priority="115">
      <formula>NOT(ISERROR(BA175))</formula>
    </cfRule>
  </conditionalFormatting>
  <conditionalFormatting sqref="BA176">
    <cfRule type="notContainsErrors" dxfId="2" priority="120">
      <formula>NOT(ISERROR(BA176))</formula>
    </cfRule>
  </conditionalFormatting>
  <conditionalFormatting sqref="BA19">
    <cfRule type="notContainsErrors" dxfId="2" priority="25">
      <formula>NOT(ISERROR(BA19))</formula>
    </cfRule>
  </conditionalFormatting>
  <conditionalFormatting sqref="BA230">
    <cfRule type="notContainsErrors" dxfId="2" priority="125">
      <formula>NOT(ISERROR(BA230))</formula>
    </cfRule>
  </conditionalFormatting>
  <conditionalFormatting sqref="BA241">
    <cfRule type="notContainsErrors" dxfId="2" priority="130">
      <formula>NOT(ISERROR(BA241))</formula>
    </cfRule>
  </conditionalFormatting>
  <conditionalFormatting sqref="BA259">
    <cfRule type="notContainsErrors" dxfId="2" priority="135">
      <formula>NOT(ISERROR(BA259))</formula>
    </cfRule>
  </conditionalFormatting>
  <conditionalFormatting sqref="BA260">
    <cfRule type="notContainsErrors" dxfId="2" priority="140">
      <formula>NOT(ISERROR(BA260))</formula>
    </cfRule>
  </conditionalFormatting>
  <conditionalFormatting sqref="BA261">
    <cfRule type="notContainsErrors" dxfId="2" priority="145">
      <formula>NOT(ISERROR(BA261))</formula>
    </cfRule>
  </conditionalFormatting>
  <conditionalFormatting sqref="BA262">
    <cfRule type="notContainsErrors" dxfId="2" priority="150">
      <formula>NOT(ISERROR(BA262))</formula>
    </cfRule>
  </conditionalFormatting>
  <conditionalFormatting sqref="BA263">
    <cfRule type="notContainsErrors" dxfId="2" priority="155">
      <formula>NOT(ISERROR(BA263))</formula>
    </cfRule>
  </conditionalFormatting>
  <conditionalFormatting sqref="BA264">
    <cfRule type="notContainsErrors" dxfId="2" priority="160">
      <formula>NOT(ISERROR(BA264))</formula>
    </cfRule>
  </conditionalFormatting>
  <conditionalFormatting sqref="BA265">
    <cfRule type="notContainsErrors" dxfId="2" priority="165">
      <formula>NOT(ISERROR(BA265))</formula>
    </cfRule>
  </conditionalFormatting>
  <conditionalFormatting sqref="BA274">
    <cfRule type="notContainsErrors" dxfId="2" priority="170">
      <formula>NOT(ISERROR(BA274))</formula>
    </cfRule>
  </conditionalFormatting>
  <conditionalFormatting sqref="BA287">
    <cfRule type="notContainsErrors" dxfId="2" priority="175">
      <formula>NOT(ISERROR(BA287))</formula>
    </cfRule>
  </conditionalFormatting>
  <conditionalFormatting sqref="BA289">
    <cfRule type="notContainsErrors" dxfId="2" priority="180">
      <formula>NOT(ISERROR(BA289))</formula>
    </cfRule>
  </conditionalFormatting>
  <conditionalFormatting sqref="BA290">
    <cfRule type="notContainsErrors" dxfId="2" priority="185">
      <formula>NOT(ISERROR(BA290))</formula>
    </cfRule>
  </conditionalFormatting>
  <conditionalFormatting sqref="BA291">
    <cfRule type="notContainsErrors" dxfId="2" priority="190">
      <formula>NOT(ISERROR(BA291))</formula>
    </cfRule>
  </conditionalFormatting>
  <conditionalFormatting sqref="BA293">
    <cfRule type="notContainsErrors" dxfId="2" priority="195">
      <formula>NOT(ISERROR(BA293))</formula>
    </cfRule>
  </conditionalFormatting>
  <conditionalFormatting sqref="BA296">
    <cfRule type="notContainsErrors" dxfId="2" priority="200">
      <formula>NOT(ISERROR(BA296))</formula>
    </cfRule>
  </conditionalFormatting>
  <conditionalFormatting sqref="BA31">
    <cfRule type="notContainsErrors" dxfId="2" priority="30">
      <formula>NOT(ISERROR(BA31))</formula>
    </cfRule>
  </conditionalFormatting>
  <conditionalFormatting sqref="BA320">
    <cfRule type="notContainsErrors" dxfId="2" priority="205">
      <formula>NOT(ISERROR(BA320))</formula>
    </cfRule>
  </conditionalFormatting>
  <conditionalFormatting sqref="BA321">
    <cfRule type="notContainsErrors" dxfId="2" priority="210">
      <formula>NOT(ISERROR(BA321))</formula>
    </cfRule>
  </conditionalFormatting>
  <conditionalFormatting sqref="BA331">
    <cfRule type="notContainsErrors" dxfId="2" priority="215">
      <formula>NOT(ISERROR(BA331))</formula>
    </cfRule>
  </conditionalFormatting>
  <conditionalFormatting sqref="BA337">
    <cfRule type="notContainsErrors" dxfId="2" priority="220">
      <formula>NOT(ISERROR(BA337))</formula>
    </cfRule>
  </conditionalFormatting>
  <conditionalFormatting sqref="BA340">
    <cfRule type="notContainsErrors" dxfId="2" priority="225">
      <formula>NOT(ISERROR(BA340))</formula>
    </cfRule>
  </conditionalFormatting>
  <conditionalFormatting sqref="BA341">
    <cfRule type="notContainsErrors" dxfId="2" priority="230">
      <formula>NOT(ISERROR(BA341))</formula>
    </cfRule>
  </conditionalFormatting>
  <conditionalFormatting sqref="BA342">
    <cfRule type="notContainsErrors" dxfId="2" priority="235">
      <formula>NOT(ISERROR(BA342))</formula>
    </cfRule>
  </conditionalFormatting>
  <conditionalFormatting sqref="BA344">
    <cfRule type="notContainsErrors" dxfId="2" priority="240">
      <formula>NOT(ISERROR(BA344))</formula>
    </cfRule>
  </conditionalFormatting>
  <conditionalFormatting sqref="BA346">
    <cfRule type="notContainsErrors" dxfId="2" priority="245">
      <formula>NOT(ISERROR(BA346))</formula>
    </cfRule>
  </conditionalFormatting>
  <conditionalFormatting sqref="BA347">
    <cfRule type="notContainsErrors" dxfId="2" priority="250">
      <formula>NOT(ISERROR(BA347))</formula>
    </cfRule>
  </conditionalFormatting>
  <conditionalFormatting sqref="BA348">
    <cfRule type="notContainsErrors" dxfId="2" priority="255">
      <formula>NOT(ISERROR(BA348))</formula>
    </cfRule>
  </conditionalFormatting>
  <conditionalFormatting sqref="BA357">
    <cfRule type="notContainsErrors" dxfId="2" priority="260">
      <formula>NOT(ISERROR(BA357))</formula>
    </cfRule>
  </conditionalFormatting>
  <conditionalFormatting sqref="BA365">
    <cfRule type="notContainsErrors" dxfId="2" priority="265">
      <formula>NOT(ISERROR(BA365))</formula>
    </cfRule>
  </conditionalFormatting>
  <conditionalFormatting sqref="BA367">
    <cfRule type="notContainsErrors" dxfId="2" priority="270">
      <formula>NOT(ISERROR(BA367))</formula>
    </cfRule>
  </conditionalFormatting>
  <conditionalFormatting sqref="BA369">
    <cfRule type="notContainsErrors" dxfId="2" priority="275">
      <formula>NOT(ISERROR(BA369))</formula>
    </cfRule>
  </conditionalFormatting>
  <conditionalFormatting sqref="BA37">
    <cfRule type="notContainsErrors" dxfId="2" priority="35">
      <formula>NOT(ISERROR(BA37))</formula>
    </cfRule>
  </conditionalFormatting>
  <conditionalFormatting sqref="BA370">
    <cfRule type="notContainsErrors" dxfId="2" priority="280">
      <formula>NOT(ISERROR(BA370))</formula>
    </cfRule>
  </conditionalFormatting>
  <conditionalFormatting sqref="BA371">
    <cfRule type="notContainsErrors" dxfId="2" priority="285">
      <formula>NOT(ISERROR(BA371))</formula>
    </cfRule>
  </conditionalFormatting>
  <conditionalFormatting sqref="BA373">
    <cfRule type="notContainsErrors" dxfId="2" priority="290">
      <formula>NOT(ISERROR(BA373))</formula>
    </cfRule>
  </conditionalFormatting>
  <conditionalFormatting sqref="BA374">
    <cfRule type="notContainsErrors" dxfId="2" priority="295">
      <formula>NOT(ISERROR(BA374))</formula>
    </cfRule>
  </conditionalFormatting>
  <conditionalFormatting sqref="BA375">
    <cfRule type="notContainsErrors" dxfId="2" priority="300">
      <formula>NOT(ISERROR(BA375))</formula>
    </cfRule>
  </conditionalFormatting>
  <conditionalFormatting sqref="BA376">
    <cfRule type="notContainsErrors" dxfId="2" priority="305">
      <formula>NOT(ISERROR(BA376))</formula>
    </cfRule>
  </conditionalFormatting>
  <conditionalFormatting sqref="BA377">
    <cfRule type="notContainsErrors" dxfId="2" priority="310">
      <formula>NOT(ISERROR(BA377))</formula>
    </cfRule>
  </conditionalFormatting>
  <conditionalFormatting sqref="BA379">
    <cfRule type="notContainsErrors" dxfId="2" priority="315">
      <formula>NOT(ISERROR(BA379))</formula>
    </cfRule>
  </conditionalFormatting>
  <conditionalFormatting sqref="BA38">
    <cfRule type="notContainsErrors" dxfId="2" priority="40">
      <formula>NOT(ISERROR(BA38))</formula>
    </cfRule>
  </conditionalFormatting>
  <conditionalFormatting sqref="BA382">
    <cfRule type="notContainsErrors" dxfId="2" priority="320">
      <formula>NOT(ISERROR(BA382))</formula>
    </cfRule>
  </conditionalFormatting>
  <conditionalFormatting sqref="BA384">
    <cfRule type="notContainsErrors" dxfId="2" priority="325">
      <formula>NOT(ISERROR(BA384))</formula>
    </cfRule>
  </conditionalFormatting>
  <conditionalFormatting sqref="BA385">
    <cfRule type="notContainsErrors" dxfId="2" priority="330">
      <formula>NOT(ISERROR(BA385))</formula>
    </cfRule>
  </conditionalFormatting>
  <conditionalFormatting sqref="BA386">
    <cfRule type="notContainsErrors" dxfId="2" priority="335">
      <formula>NOT(ISERROR(BA386))</formula>
    </cfRule>
  </conditionalFormatting>
  <conditionalFormatting sqref="BA388">
    <cfRule type="notContainsErrors" dxfId="2" priority="340">
      <formula>NOT(ISERROR(BA388))</formula>
    </cfRule>
  </conditionalFormatting>
  <conditionalFormatting sqref="BA391">
    <cfRule type="notContainsErrors" dxfId="2" priority="345">
      <formula>NOT(ISERROR(BA391))</formula>
    </cfRule>
  </conditionalFormatting>
  <conditionalFormatting sqref="BA393">
    <cfRule type="notContainsErrors" dxfId="2" priority="350">
      <formula>NOT(ISERROR(BA393))</formula>
    </cfRule>
  </conditionalFormatting>
  <conditionalFormatting sqref="BA395">
    <cfRule type="notContainsErrors" dxfId="2" priority="355">
      <formula>NOT(ISERROR(BA395))</formula>
    </cfRule>
  </conditionalFormatting>
  <conditionalFormatting sqref="BA397">
    <cfRule type="notContainsErrors" dxfId="2" priority="360">
      <formula>NOT(ISERROR(BA397))</formula>
    </cfRule>
  </conditionalFormatting>
  <conditionalFormatting sqref="BA399">
    <cfRule type="notContainsErrors" dxfId="2" priority="365">
      <formula>NOT(ISERROR(BA399))</formula>
    </cfRule>
  </conditionalFormatting>
  <conditionalFormatting sqref="BA4">
    <cfRule type="notContainsErrors" dxfId="2" priority="15">
      <formula>NOT(ISERROR(BA4))</formula>
    </cfRule>
  </conditionalFormatting>
  <conditionalFormatting sqref="BA40">
    <cfRule type="notContainsErrors" dxfId="2" priority="45">
      <formula>NOT(ISERROR(BA40))</formula>
    </cfRule>
  </conditionalFormatting>
  <conditionalFormatting sqref="BA400">
    <cfRule type="notContainsErrors" dxfId="2" priority="370">
      <formula>NOT(ISERROR(BA400))</formula>
    </cfRule>
  </conditionalFormatting>
  <conditionalFormatting sqref="BA401">
    <cfRule type="notContainsErrors" dxfId="2" priority="375">
      <formula>NOT(ISERROR(BA401))</formula>
    </cfRule>
  </conditionalFormatting>
  <conditionalFormatting sqref="BA402">
    <cfRule type="notContainsErrors" dxfId="2" priority="380">
      <formula>NOT(ISERROR(BA402))</formula>
    </cfRule>
  </conditionalFormatting>
  <conditionalFormatting sqref="BA403">
    <cfRule type="notContainsErrors" dxfId="2" priority="385">
      <formula>NOT(ISERROR(BA403))</formula>
    </cfRule>
  </conditionalFormatting>
  <conditionalFormatting sqref="BA404">
    <cfRule type="notContainsErrors" dxfId="2" priority="390">
      <formula>NOT(ISERROR(BA404))</formula>
    </cfRule>
  </conditionalFormatting>
  <conditionalFormatting sqref="BA406">
    <cfRule type="notContainsErrors" dxfId="2" priority="395">
      <formula>NOT(ISERROR(BA406))</formula>
    </cfRule>
  </conditionalFormatting>
  <conditionalFormatting sqref="BA407">
    <cfRule type="notContainsErrors" dxfId="2" priority="400">
      <formula>NOT(ISERROR(BA407))</formula>
    </cfRule>
  </conditionalFormatting>
  <conditionalFormatting sqref="BA408">
    <cfRule type="notContainsErrors" dxfId="2" priority="405">
      <formula>NOT(ISERROR(BA408))</formula>
    </cfRule>
  </conditionalFormatting>
  <conditionalFormatting sqref="BA409">
    <cfRule type="notContainsErrors" dxfId="2" priority="410">
      <formula>NOT(ISERROR(BA409))</formula>
    </cfRule>
  </conditionalFormatting>
  <conditionalFormatting sqref="BA410">
    <cfRule type="notContainsErrors" dxfId="2" priority="415">
      <formula>NOT(ISERROR(BA410))</formula>
    </cfRule>
  </conditionalFormatting>
  <conditionalFormatting sqref="BA413">
    <cfRule type="notContainsErrors" dxfId="2" priority="420">
      <formula>NOT(ISERROR(BA413))</formula>
    </cfRule>
  </conditionalFormatting>
  <conditionalFormatting sqref="BA414">
    <cfRule type="notContainsErrors" dxfId="2" priority="425">
      <formula>NOT(ISERROR(BA414))</formula>
    </cfRule>
  </conditionalFormatting>
  <conditionalFormatting sqref="BA415">
    <cfRule type="notContainsErrors" dxfId="2" priority="430">
      <formula>NOT(ISERROR(BA415))</formula>
    </cfRule>
  </conditionalFormatting>
  <conditionalFormatting sqref="BA416">
    <cfRule type="notContainsErrors" dxfId="2" priority="435">
      <formula>NOT(ISERROR(BA416))</formula>
    </cfRule>
  </conditionalFormatting>
  <conditionalFormatting sqref="BA417">
    <cfRule type="notContainsErrors" dxfId="2" priority="440">
      <formula>NOT(ISERROR(BA417))</formula>
    </cfRule>
  </conditionalFormatting>
  <conditionalFormatting sqref="BA418">
    <cfRule type="notContainsErrors" dxfId="2" priority="445">
      <formula>NOT(ISERROR(BA418))</formula>
    </cfRule>
  </conditionalFormatting>
  <conditionalFormatting sqref="BA419">
    <cfRule type="notContainsErrors" dxfId="2" priority="450">
      <formula>NOT(ISERROR(BA419))</formula>
    </cfRule>
  </conditionalFormatting>
  <conditionalFormatting sqref="BA420">
    <cfRule type="notContainsErrors" dxfId="2" priority="455">
      <formula>NOT(ISERROR(BA420))</formula>
    </cfRule>
  </conditionalFormatting>
  <conditionalFormatting sqref="BA421">
    <cfRule type="notContainsErrors" dxfId="2" priority="460">
      <formula>NOT(ISERROR(BA421))</formula>
    </cfRule>
  </conditionalFormatting>
  <conditionalFormatting sqref="BA422">
    <cfRule type="notContainsErrors" dxfId="2" priority="465">
      <formula>NOT(ISERROR(BA422))</formula>
    </cfRule>
  </conditionalFormatting>
  <conditionalFormatting sqref="BA423">
    <cfRule type="notContainsErrors" dxfId="2" priority="470">
      <formula>NOT(ISERROR(BA423))</formula>
    </cfRule>
  </conditionalFormatting>
  <conditionalFormatting sqref="BA424">
    <cfRule type="notContainsErrors" dxfId="2" priority="475">
      <formula>NOT(ISERROR(BA424))</formula>
    </cfRule>
  </conditionalFormatting>
  <conditionalFormatting sqref="BA425">
    <cfRule type="notContainsErrors" dxfId="2" priority="480">
      <formula>NOT(ISERROR(BA425))</formula>
    </cfRule>
  </conditionalFormatting>
  <conditionalFormatting sqref="BA426">
    <cfRule type="notContainsErrors" dxfId="2" priority="485">
      <formula>NOT(ISERROR(BA426))</formula>
    </cfRule>
  </conditionalFormatting>
  <conditionalFormatting sqref="BA427">
    <cfRule type="notContainsErrors" dxfId="2" priority="490">
      <formula>NOT(ISERROR(BA427))</formula>
    </cfRule>
  </conditionalFormatting>
  <conditionalFormatting sqref="BA428">
    <cfRule type="notContainsErrors" dxfId="2" priority="495">
      <formula>NOT(ISERROR(BA428))</formula>
    </cfRule>
  </conditionalFormatting>
  <conditionalFormatting sqref="BA429">
    <cfRule type="notContainsErrors" dxfId="2" priority="500">
      <formula>NOT(ISERROR(BA429))</formula>
    </cfRule>
  </conditionalFormatting>
  <conditionalFormatting sqref="BA43">
    <cfRule type="notContainsErrors" dxfId="2" priority="50">
      <formula>NOT(ISERROR(BA43))</formula>
    </cfRule>
  </conditionalFormatting>
  <conditionalFormatting sqref="BA431">
    <cfRule type="notContainsErrors" dxfId="2" priority="505">
      <formula>NOT(ISERROR(BA431))</formula>
    </cfRule>
  </conditionalFormatting>
  <conditionalFormatting sqref="BA435">
    <cfRule type="notContainsErrors" dxfId="2" priority="510">
      <formula>NOT(ISERROR(BA435))</formula>
    </cfRule>
  </conditionalFormatting>
  <conditionalFormatting sqref="BA437">
    <cfRule type="notContainsErrors" dxfId="2" priority="515">
      <formula>NOT(ISERROR(BA437))</formula>
    </cfRule>
  </conditionalFormatting>
  <conditionalFormatting sqref="BA441">
    <cfRule type="notContainsErrors" dxfId="2" priority="520">
      <formula>NOT(ISERROR(BA441))</formula>
    </cfRule>
  </conditionalFormatting>
  <conditionalFormatting sqref="BA443">
    <cfRule type="notContainsErrors" dxfId="2" priority="525">
      <formula>NOT(ISERROR(BA443))</formula>
    </cfRule>
  </conditionalFormatting>
  <conditionalFormatting sqref="BA446">
    <cfRule type="notContainsErrors" dxfId="2" priority="530">
      <formula>NOT(ISERROR(BA446))</formula>
    </cfRule>
  </conditionalFormatting>
  <conditionalFormatting sqref="BA449">
    <cfRule type="notContainsErrors" dxfId="2" priority="535">
      <formula>NOT(ISERROR(BA449))</formula>
    </cfRule>
  </conditionalFormatting>
  <conditionalFormatting sqref="BA450">
    <cfRule type="notContainsErrors" dxfId="2" priority="540">
      <formula>NOT(ISERROR(BA450))</formula>
    </cfRule>
  </conditionalFormatting>
  <conditionalFormatting sqref="BA453">
    <cfRule type="notContainsErrors" dxfId="2" priority="545">
      <formula>NOT(ISERROR(BA453))</formula>
    </cfRule>
  </conditionalFormatting>
  <conditionalFormatting sqref="BA454">
    <cfRule type="notContainsErrors" dxfId="2" priority="550">
      <formula>NOT(ISERROR(BA454))</formula>
    </cfRule>
  </conditionalFormatting>
  <conditionalFormatting sqref="BA455">
    <cfRule type="notContainsErrors" dxfId="2" priority="555">
      <formula>NOT(ISERROR(BA455))</formula>
    </cfRule>
  </conditionalFormatting>
  <conditionalFormatting sqref="BA456">
    <cfRule type="notContainsErrors" dxfId="2" priority="560">
      <formula>NOT(ISERROR(BA456))</formula>
    </cfRule>
  </conditionalFormatting>
  <conditionalFormatting sqref="BA457">
    <cfRule type="notContainsErrors" dxfId="2" priority="565">
      <formula>NOT(ISERROR(BA457))</formula>
    </cfRule>
  </conditionalFormatting>
  <conditionalFormatting sqref="BA461">
    <cfRule type="notContainsErrors" dxfId="2" priority="570">
      <formula>NOT(ISERROR(BA461))</formula>
    </cfRule>
  </conditionalFormatting>
  <conditionalFormatting sqref="BA464">
    <cfRule type="notContainsErrors" dxfId="2" priority="575">
      <formula>NOT(ISERROR(BA464))</formula>
    </cfRule>
  </conditionalFormatting>
  <conditionalFormatting sqref="BA466">
    <cfRule type="notContainsErrors" dxfId="2" priority="580">
      <formula>NOT(ISERROR(BA466))</formula>
    </cfRule>
  </conditionalFormatting>
  <conditionalFormatting sqref="BA469">
    <cfRule type="notContainsErrors" dxfId="2" priority="585">
      <formula>NOT(ISERROR(BA469))</formula>
    </cfRule>
  </conditionalFormatting>
  <conditionalFormatting sqref="BA470">
    <cfRule type="notContainsErrors" dxfId="2" priority="590">
      <formula>NOT(ISERROR(BA470))</formula>
    </cfRule>
  </conditionalFormatting>
  <conditionalFormatting sqref="BA481">
    <cfRule type="notContainsErrors" dxfId="2" priority="595">
      <formula>NOT(ISERROR(BA481))</formula>
    </cfRule>
  </conditionalFormatting>
  <conditionalFormatting sqref="BA482">
    <cfRule type="notContainsErrors" dxfId="2" priority="600">
      <formula>NOT(ISERROR(BA482))</formula>
    </cfRule>
  </conditionalFormatting>
  <conditionalFormatting sqref="BA483">
    <cfRule type="notContainsErrors" dxfId="2" priority="605">
      <formula>NOT(ISERROR(BA483))</formula>
    </cfRule>
  </conditionalFormatting>
  <conditionalFormatting sqref="BA486">
    <cfRule type="notContainsErrors" dxfId="2" priority="610">
      <formula>NOT(ISERROR(BA486))</formula>
    </cfRule>
  </conditionalFormatting>
  <conditionalFormatting sqref="BA487">
    <cfRule type="notContainsErrors" dxfId="2" priority="615">
      <formula>NOT(ISERROR(BA487))</formula>
    </cfRule>
  </conditionalFormatting>
  <conditionalFormatting sqref="BA496">
    <cfRule type="notContainsErrors" dxfId="2" priority="620">
      <formula>NOT(ISERROR(BA496))</formula>
    </cfRule>
  </conditionalFormatting>
  <conditionalFormatting sqref="BA498">
    <cfRule type="notContainsErrors" dxfId="2" priority="625">
      <formula>NOT(ISERROR(BA498))</formula>
    </cfRule>
  </conditionalFormatting>
  <conditionalFormatting sqref="BA561">
    <cfRule type="notContainsErrors" dxfId="2" priority="630">
      <formula>NOT(ISERROR(BA561))</formula>
    </cfRule>
  </conditionalFormatting>
  <conditionalFormatting sqref="BA570">
    <cfRule type="notContainsErrors" dxfId="2" priority="635">
      <formula>NOT(ISERROR(BA570))</formula>
    </cfRule>
  </conditionalFormatting>
  <conditionalFormatting sqref="BA6">
    <cfRule type="notContainsErrors" dxfId="2" priority="20">
      <formula>NOT(ISERROR(BA6))</formula>
    </cfRule>
  </conditionalFormatting>
  <conditionalFormatting sqref="BA64">
    <cfRule type="notContainsErrors" dxfId="2" priority="55">
      <formula>NOT(ISERROR(BA64))</formula>
    </cfRule>
  </conditionalFormatting>
  <conditionalFormatting sqref="BA70">
    <cfRule type="notContainsErrors" dxfId="2" priority="60">
      <formula>NOT(ISERROR(BA70))</formula>
    </cfRule>
  </conditionalFormatting>
  <conditionalFormatting sqref="BA71">
    <cfRule type="notContainsErrors" dxfId="2" priority="65">
      <formula>NOT(ISERROR(BA71))</formula>
    </cfRule>
  </conditionalFormatting>
  <conditionalFormatting sqref="BA77">
    <cfRule type="notContainsErrors" dxfId="2" priority="70">
      <formula>NOT(ISERROR(BA77))</formula>
    </cfRule>
  </conditionalFormatting>
  <conditionalFormatting sqref="BA78">
    <cfRule type="notContainsErrors" dxfId="2" priority="75">
      <formula>NOT(ISERROR(BA78))</formula>
    </cfRule>
  </conditionalFormatting>
  <conditionalFormatting sqref="BA85">
    <cfRule type="notContainsErrors" dxfId="2" priority="80">
      <formula>NOT(ISERROR(BA85))</formula>
    </cfRule>
  </conditionalFormatting>
  <conditionalFormatting sqref="BA95">
    <cfRule type="notContainsErrors" dxfId="2" priority="85">
      <formula>NOT(ISERROR(BA95))</formula>
    </cfRule>
  </conditionalFormatting>
  <conditionalFormatting sqref="BA96">
    <cfRule type="notContainsErrors" dxfId="2" priority="90">
      <formula>NOT(ISERROR(BA96))</formula>
    </cfRule>
  </conditionalFormatting>
  <conditionalFormatting sqref="BA98">
    <cfRule type="notContainsErrors" dxfId="2" priority="95">
      <formula>NOT(ISERROR(BA98))</formula>
    </cfRule>
  </conditionalFormatting>
  <conditionalFormatting sqref="BB103">
    <cfRule type="notContainsErrors" dxfId="2" priority="101">
      <formula>NOT(ISERROR(BB103))</formula>
    </cfRule>
  </conditionalFormatting>
  <conditionalFormatting sqref="BB113">
    <cfRule type="notContainsErrors" dxfId="2" priority="106">
      <formula>NOT(ISERROR(BB113))</formula>
    </cfRule>
  </conditionalFormatting>
  <conditionalFormatting sqref="BB171">
    <cfRule type="notContainsErrors" dxfId="2" priority="111">
      <formula>NOT(ISERROR(BB171))</formula>
    </cfRule>
  </conditionalFormatting>
  <conditionalFormatting sqref="BB175">
    <cfRule type="notContainsErrors" dxfId="2" priority="116">
      <formula>NOT(ISERROR(BB175))</formula>
    </cfRule>
  </conditionalFormatting>
  <conditionalFormatting sqref="BB176">
    <cfRule type="notContainsErrors" dxfId="2" priority="121">
      <formula>NOT(ISERROR(BB176))</formula>
    </cfRule>
  </conditionalFormatting>
  <conditionalFormatting sqref="BB19">
    <cfRule type="notContainsErrors" dxfId="2" priority="26">
      <formula>NOT(ISERROR(BB19))</formula>
    </cfRule>
  </conditionalFormatting>
  <conditionalFormatting sqref="BB230">
    <cfRule type="notContainsErrors" dxfId="2" priority="126">
      <formula>NOT(ISERROR(BB230))</formula>
    </cfRule>
  </conditionalFormatting>
  <conditionalFormatting sqref="BB241">
    <cfRule type="notContainsErrors" dxfId="2" priority="131">
      <formula>NOT(ISERROR(BB241))</formula>
    </cfRule>
  </conditionalFormatting>
  <conditionalFormatting sqref="BB259">
    <cfRule type="notContainsErrors" dxfId="2" priority="136">
      <formula>NOT(ISERROR(BB259))</formula>
    </cfRule>
  </conditionalFormatting>
  <conditionalFormatting sqref="BB260">
    <cfRule type="notContainsErrors" dxfId="2" priority="141">
      <formula>NOT(ISERROR(BB260))</formula>
    </cfRule>
  </conditionalFormatting>
  <conditionalFormatting sqref="BB261">
    <cfRule type="notContainsErrors" dxfId="2" priority="146">
      <formula>NOT(ISERROR(BB261))</formula>
    </cfRule>
  </conditionalFormatting>
  <conditionalFormatting sqref="BB262">
    <cfRule type="notContainsErrors" dxfId="2" priority="151">
      <formula>NOT(ISERROR(BB262))</formula>
    </cfRule>
  </conditionalFormatting>
  <conditionalFormatting sqref="BB263">
    <cfRule type="notContainsErrors" dxfId="2" priority="156">
      <formula>NOT(ISERROR(BB263))</formula>
    </cfRule>
  </conditionalFormatting>
  <conditionalFormatting sqref="BB264">
    <cfRule type="notContainsErrors" dxfId="2" priority="161">
      <formula>NOT(ISERROR(BB264))</formula>
    </cfRule>
  </conditionalFormatting>
  <conditionalFormatting sqref="BB265">
    <cfRule type="notContainsErrors" dxfId="2" priority="166">
      <formula>NOT(ISERROR(BB265))</formula>
    </cfRule>
  </conditionalFormatting>
  <conditionalFormatting sqref="BB274">
    <cfRule type="notContainsErrors" dxfId="2" priority="171">
      <formula>NOT(ISERROR(BB274))</formula>
    </cfRule>
  </conditionalFormatting>
  <conditionalFormatting sqref="BB287">
    <cfRule type="notContainsErrors" dxfId="2" priority="176">
      <formula>NOT(ISERROR(BB287))</formula>
    </cfRule>
  </conditionalFormatting>
  <conditionalFormatting sqref="BB289">
    <cfRule type="notContainsErrors" dxfId="2" priority="181">
      <formula>NOT(ISERROR(BB289))</formula>
    </cfRule>
  </conditionalFormatting>
  <conditionalFormatting sqref="BB290">
    <cfRule type="notContainsErrors" dxfId="2" priority="186">
      <formula>NOT(ISERROR(BB290))</formula>
    </cfRule>
  </conditionalFormatting>
  <conditionalFormatting sqref="BB291">
    <cfRule type="notContainsErrors" dxfId="2" priority="191">
      <formula>NOT(ISERROR(BB291))</formula>
    </cfRule>
  </conditionalFormatting>
  <conditionalFormatting sqref="BB293">
    <cfRule type="notContainsErrors" dxfId="2" priority="196">
      <formula>NOT(ISERROR(BB293))</formula>
    </cfRule>
  </conditionalFormatting>
  <conditionalFormatting sqref="BB296">
    <cfRule type="notContainsErrors" dxfId="2" priority="201">
      <formula>NOT(ISERROR(BB296))</formula>
    </cfRule>
  </conditionalFormatting>
  <conditionalFormatting sqref="BB31">
    <cfRule type="notContainsErrors" dxfId="2" priority="31">
      <formula>NOT(ISERROR(BB31))</formula>
    </cfRule>
  </conditionalFormatting>
  <conditionalFormatting sqref="BB320">
    <cfRule type="notContainsErrors" dxfId="2" priority="206">
      <formula>NOT(ISERROR(BB320))</formula>
    </cfRule>
  </conditionalFormatting>
  <conditionalFormatting sqref="BB321">
    <cfRule type="notContainsErrors" dxfId="2" priority="211">
      <formula>NOT(ISERROR(BB321))</formula>
    </cfRule>
  </conditionalFormatting>
  <conditionalFormatting sqref="BB331">
    <cfRule type="notContainsErrors" dxfId="2" priority="216">
      <formula>NOT(ISERROR(BB331))</formula>
    </cfRule>
  </conditionalFormatting>
  <conditionalFormatting sqref="BB337">
    <cfRule type="notContainsErrors" dxfId="2" priority="221">
      <formula>NOT(ISERROR(BB337))</formula>
    </cfRule>
  </conditionalFormatting>
  <conditionalFormatting sqref="BB340">
    <cfRule type="notContainsErrors" dxfId="2" priority="226">
      <formula>NOT(ISERROR(BB340))</formula>
    </cfRule>
  </conditionalFormatting>
  <conditionalFormatting sqref="BB341">
    <cfRule type="notContainsErrors" dxfId="2" priority="231">
      <formula>NOT(ISERROR(BB341))</formula>
    </cfRule>
  </conditionalFormatting>
  <conditionalFormatting sqref="BB342">
    <cfRule type="notContainsErrors" dxfId="2" priority="236">
      <formula>NOT(ISERROR(BB342))</formula>
    </cfRule>
  </conditionalFormatting>
  <conditionalFormatting sqref="BB344">
    <cfRule type="notContainsErrors" dxfId="2" priority="241">
      <formula>NOT(ISERROR(BB344))</formula>
    </cfRule>
  </conditionalFormatting>
  <conditionalFormatting sqref="BB346">
    <cfRule type="notContainsErrors" dxfId="2" priority="246">
      <formula>NOT(ISERROR(BB346))</formula>
    </cfRule>
  </conditionalFormatting>
  <conditionalFormatting sqref="BB347">
    <cfRule type="notContainsErrors" dxfId="2" priority="251">
      <formula>NOT(ISERROR(BB347))</formula>
    </cfRule>
  </conditionalFormatting>
  <conditionalFormatting sqref="BB348">
    <cfRule type="notContainsErrors" dxfId="2" priority="256">
      <formula>NOT(ISERROR(BB348))</formula>
    </cfRule>
  </conditionalFormatting>
  <conditionalFormatting sqref="BB357">
    <cfRule type="notContainsErrors" dxfId="2" priority="261">
      <formula>NOT(ISERROR(BB357))</formula>
    </cfRule>
  </conditionalFormatting>
  <conditionalFormatting sqref="BB365">
    <cfRule type="notContainsErrors" dxfId="2" priority="266">
      <formula>NOT(ISERROR(BB365))</formula>
    </cfRule>
  </conditionalFormatting>
  <conditionalFormatting sqref="BB367">
    <cfRule type="notContainsErrors" dxfId="2" priority="271">
      <formula>NOT(ISERROR(BB367))</formula>
    </cfRule>
  </conditionalFormatting>
  <conditionalFormatting sqref="BB369">
    <cfRule type="notContainsErrors" dxfId="2" priority="276">
      <formula>NOT(ISERROR(BB369))</formula>
    </cfRule>
  </conditionalFormatting>
  <conditionalFormatting sqref="BB37">
    <cfRule type="notContainsErrors" dxfId="2" priority="36">
      <formula>NOT(ISERROR(BB37))</formula>
    </cfRule>
  </conditionalFormatting>
  <conditionalFormatting sqref="BB370">
    <cfRule type="notContainsErrors" dxfId="2" priority="281">
      <formula>NOT(ISERROR(BB370))</formula>
    </cfRule>
  </conditionalFormatting>
  <conditionalFormatting sqref="BB371">
    <cfRule type="notContainsErrors" dxfId="2" priority="286">
      <formula>NOT(ISERROR(BB371))</formula>
    </cfRule>
  </conditionalFormatting>
  <conditionalFormatting sqref="BB373">
    <cfRule type="notContainsErrors" dxfId="2" priority="291">
      <formula>NOT(ISERROR(BB373))</formula>
    </cfRule>
  </conditionalFormatting>
  <conditionalFormatting sqref="BB374">
    <cfRule type="notContainsErrors" dxfId="2" priority="296">
      <formula>NOT(ISERROR(BB374))</formula>
    </cfRule>
  </conditionalFormatting>
  <conditionalFormatting sqref="BB375">
    <cfRule type="notContainsErrors" dxfId="2" priority="301">
      <formula>NOT(ISERROR(BB375))</formula>
    </cfRule>
  </conditionalFormatting>
  <conditionalFormatting sqref="BB376">
    <cfRule type="notContainsErrors" dxfId="2" priority="306">
      <formula>NOT(ISERROR(BB376))</formula>
    </cfRule>
  </conditionalFormatting>
  <conditionalFormatting sqref="BB377">
    <cfRule type="notContainsErrors" dxfId="2" priority="311">
      <formula>NOT(ISERROR(BB377))</formula>
    </cfRule>
  </conditionalFormatting>
  <conditionalFormatting sqref="BB379">
    <cfRule type="notContainsErrors" dxfId="2" priority="316">
      <formula>NOT(ISERROR(BB379))</formula>
    </cfRule>
  </conditionalFormatting>
  <conditionalFormatting sqref="BB38">
    <cfRule type="notContainsErrors" dxfId="2" priority="41">
      <formula>NOT(ISERROR(BB38))</formula>
    </cfRule>
  </conditionalFormatting>
  <conditionalFormatting sqref="BB382">
    <cfRule type="notContainsErrors" dxfId="2" priority="321">
      <formula>NOT(ISERROR(BB382))</formula>
    </cfRule>
  </conditionalFormatting>
  <conditionalFormatting sqref="BB384">
    <cfRule type="notContainsErrors" dxfId="2" priority="326">
      <formula>NOT(ISERROR(BB384))</formula>
    </cfRule>
  </conditionalFormatting>
  <conditionalFormatting sqref="BB385">
    <cfRule type="notContainsErrors" dxfId="2" priority="331">
      <formula>NOT(ISERROR(BB385))</formula>
    </cfRule>
  </conditionalFormatting>
  <conditionalFormatting sqref="BB386">
    <cfRule type="notContainsErrors" dxfId="2" priority="336">
      <formula>NOT(ISERROR(BB386))</formula>
    </cfRule>
  </conditionalFormatting>
  <conditionalFormatting sqref="BB388">
    <cfRule type="notContainsErrors" dxfId="2" priority="341">
      <formula>NOT(ISERROR(BB388))</formula>
    </cfRule>
  </conditionalFormatting>
  <conditionalFormatting sqref="BB391">
    <cfRule type="notContainsErrors" dxfId="2" priority="346">
      <formula>NOT(ISERROR(BB391))</formula>
    </cfRule>
  </conditionalFormatting>
  <conditionalFormatting sqref="BB393">
    <cfRule type="notContainsErrors" dxfId="2" priority="351">
      <formula>NOT(ISERROR(BB393))</formula>
    </cfRule>
  </conditionalFormatting>
  <conditionalFormatting sqref="BB395">
    <cfRule type="notContainsErrors" dxfId="2" priority="356">
      <formula>NOT(ISERROR(BB395))</formula>
    </cfRule>
  </conditionalFormatting>
  <conditionalFormatting sqref="BB397">
    <cfRule type="notContainsErrors" dxfId="2" priority="361">
      <formula>NOT(ISERROR(BB397))</formula>
    </cfRule>
  </conditionalFormatting>
  <conditionalFormatting sqref="BB399">
    <cfRule type="notContainsErrors" dxfId="2" priority="366">
      <formula>NOT(ISERROR(BB399))</formula>
    </cfRule>
  </conditionalFormatting>
  <conditionalFormatting sqref="BB4">
    <cfRule type="notContainsErrors" dxfId="2" priority="16">
      <formula>NOT(ISERROR(BB4))</formula>
    </cfRule>
  </conditionalFormatting>
  <conditionalFormatting sqref="BB40">
    <cfRule type="notContainsErrors" dxfId="2" priority="46">
      <formula>NOT(ISERROR(BB40))</formula>
    </cfRule>
  </conditionalFormatting>
  <conditionalFormatting sqref="BB400">
    <cfRule type="notContainsErrors" dxfId="2" priority="371">
      <formula>NOT(ISERROR(BB400))</formula>
    </cfRule>
  </conditionalFormatting>
  <conditionalFormatting sqref="BB401">
    <cfRule type="notContainsErrors" dxfId="2" priority="376">
      <formula>NOT(ISERROR(BB401))</formula>
    </cfRule>
  </conditionalFormatting>
  <conditionalFormatting sqref="BB402">
    <cfRule type="notContainsErrors" dxfId="2" priority="381">
      <formula>NOT(ISERROR(BB402))</formula>
    </cfRule>
  </conditionalFormatting>
  <conditionalFormatting sqref="BB403">
    <cfRule type="notContainsErrors" dxfId="2" priority="386">
      <formula>NOT(ISERROR(BB403))</formula>
    </cfRule>
  </conditionalFormatting>
  <conditionalFormatting sqref="BB404">
    <cfRule type="notContainsErrors" dxfId="2" priority="391">
      <formula>NOT(ISERROR(BB404))</formula>
    </cfRule>
  </conditionalFormatting>
  <conditionalFormatting sqref="BB406">
    <cfRule type="notContainsErrors" dxfId="2" priority="396">
      <formula>NOT(ISERROR(BB406))</formula>
    </cfRule>
  </conditionalFormatting>
  <conditionalFormatting sqref="BB407">
    <cfRule type="notContainsErrors" dxfId="2" priority="401">
      <formula>NOT(ISERROR(BB407))</formula>
    </cfRule>
  </conditionalFormatting>
  <conditionalFormatting sqref="BB408">
    <cfRule type="notContainsErrors" dxfId="2" priority="406">
      <formula>NOT(ISERROR(BB408))</formula>
    </cfRule>
  </conditionalFormatting>
  <conditionalFormatting sqref="BB409">
    <cfRule type="notContainsErrors" dxfId="2" priority="411">
      <formula>NOT(ISERROR(BB409))</formula>
    </cfRule>
  </conditionalFormatting>
  <conditionalFormatting sqref="BB410">
    <cfRule type="notContainsErrors" dxfId="2" priority="416">
      <formula>NOT(ISERROR(BB410))</formula>
    </cfRule>
  </conditionalFormatting>
  <conditionalFormatting sqref="BB413">
    <cfRule type="notContainsErrors" dxfId="2" priority="421">
      <formula>NOT(ISERROR(BB413))</formula>
    </cfRule>
  </conditionalFormatting>
  <conditionalFormatting sqref="BB414">
    <cfRule type="notContainsErrors" dxfId="2" priority="426">
      <formula>NOT(ISERROR(BB414))</formula>
    </cfRule>
  </conditionalFormatting>
  <conditionalFormatting sqref="BB415">
    <cfRule type="notContainsErrors" dxfId="2" priority="431">
      <formula>NOT(ISERROR(BB415))</formula>
    </cfRule>
  </conditionalFormatting>
  <conditionalFormatting sqref="BB416">
    <cfRule type="notContainsErrors" dxfId="2" priority="436">
      <formula>NOT(ISERROR(BB416))</formula>
    </cfRule>
  </conditionalFormatting>
  <conditionalFormatting sqref="BB417">
    <cfRule type="notContainsErrors" dxfId="2" priority="441">
      <formula>NOT(ISERROR(BB417))</formula>
    </cfRule>
  </conditionalFormatting>
  <conditionalFormatting sqref="BB418">
    <cfRule type="notContainsErrors" dxfId="2" priority="446">
      <formula>NOT(ISERROR(BB418))</formula>
    </cfRule>
  </conditionalFormatting>
  <conditionalFormatting sqref="BB419">
    <cfRule type="notContainsErrors" dxfId="2" priority="451">
      <formula>NOT(ISERROR(BB419))</formula>
    </cfRule>
  </conditionalFormatting>
  <conditionalFormatting sqref="BB420">
    <cfRule type="notContainsErrors" dxfId="2" priority="456">
      <formula>NOT(ISERROR(BB420))</formula>
    </cfRule>
  </conditionalFormatting>
  <conditionalFormatting sqref="BB421">
    <cfRule type="notContainsErrors" dxfId="2" priority="461">
      <formula>NOT(ISERROR(BB421))</formula>
    </cfRule>
  </conditionalFormatting>
  <conditionalFormatting sqref="BB422">
    <cfRule type="notContainsErrors" dxfId="2" priority="466">
      <formula>NOT(ISERROR(BB422))</formula>
    </cfRule>
  </conditionalFormatting>
  <conditionalFormatting sqref="BB423">
    <cfRule type="notContainsErrors" dxfId="2" priority="471">
      <formula>NOT(ISERROR(BB423))</formula>
    </cfRule>
  </conditionalFormatting>
  <conditionalFormatting sqref="BB424">
    <cfRule type="notContainsErrors" dxfId="2" priority="476">
      <formula>NOT(ISERROR(BB424))</formula>
    </cfRule>
  </conditionalFormatting>
  <conditionalFormatting sqref="BB425">
    <cfRule type="notContainsErrors" dxfId="2" priority="481">
      <formula>NOT(ISERROR(BB425))</formula>
    </cfRule>
  </conditionalFormatting>
  <conditionalFormatting sqref="BB426">
    <cfRule type="notContainsErrors" dxfId="2" priority="486">
      <formula>NOT(ISERROR(BB426))</formula>
    </cfRule>
  </conditionalFormatting>
  <conditionalFormatting sqref="BB427">
    <cfRule type="notContainsErrors" dxfId="2" priority="491">
      <formula>NOT(ISERROR(BB427))</formula>
    </cfRule>
  </conditionalFormatting>
  <conditionalFormatting sqref="BB428">
    <cfRule type="notContainsErrors" dxfId="2" priority="496">
      <formula>NOT(ISERROR(BB428))</formula>
    </cfRule>
  </conditionalFormatting>
  <conditionalFormatting sqref="BB429">
    <cfRule type="notContainsErrors" dxfId="2" priority="501">
      <formula>NOT(ISERROR(BB429))</formula>
    </cfRule>
  </conditionalFormatting>
  <conditionalFormatting sqref="BB43">
    <cfRule type="notContainsErrors" dxfId="2" priority="51">
      <formula>NOT(ISERROR(BB43))</formula>
    </cfRule>
  </conditionalFormatting>
  <conditionalFormatting sqref="BB431">
    <cfRule type="notContainsErrors" dxfId="2" priority="506">
      <formula>NOT(ISERROR(BB431))</formula>
    </cfRule>
  </conditionalFormatting>
  <conditionalFormatting sqref="BB435">
    <cfRule type="notContainsErrors" dxfId="2" priority="511">
      <formula>NOT(ISERROR(BB435))</formula>
    </cfRule>
  </conditionalFormatting>
  <conditionalFormatting sqref="BB437">
    <cfRule type="notContainsErrors" dxfId="2" priority="516">
      <formula>NOT(ISERROR(BB437))</formula>
    </cfRule>
  </conditionalFormatting>
  <conditionalFormatting sqref="BB441">
    <cfRule type="notContainsErrors" dxfId="2" priority="521">
      <formula>NOT(ISERROR(BB441))</formula>
    </cfRule>
  </conditionalFormatting>
  <conditionalFormatting sqref="BB443">
    <cfRule type="notContainsErrors" dxfId="2" priority="526">
      <formula>NOT(ISERROR(BB443))</formula>
    </cfRule>
  </conditionalFormatting>
  <conditionalFormatting sqref="BB446">
    <cfRule type="notContainsErrors" dxfId="2" priority="531">
      <formula>NOT(ISERROR(BB446))</formula>
    </cfRule>
  </conditionalFormatting>
  <conditionalFormatting sqref="BB449">
    <cfRule type="notContainsErrors" dxfId="2" priority="536">
      <formula>NOT(ISERROR(BB449))</formula>
    </cfRule>
  </conditionalFormatting>
  <conditionalFormatting sqref="BB450">
    <cfRule type="notContainsErrors" dxfId="2" priority="541">
      <formula>NOT(ISERROR(BB450))</formula>
    </cfRule>
  </conditionalFormatting>
  <conditionalFormatting sqref="BB453">
    <cfRule type="notContainsErrors" dxfId="2" priority="546">
      <formula>NOT(ISERROR(BB453))</formula>
    </cfRule>
  </conditionalFormatting>
  <conditionalFormatting sqref="BB454">
    <cfRule type="notContainsErrors" dxfId="2" priority="551">
      <formula>NOT(ISERROR(BB454))</formula>
    </cfRule>
  </conditionalFormatting>
  <conditionalFormatting sqref="BB455">
    <cfRule type="notContainsErrors" dxfId="2" priority="556">
      <formula>NOT(ISERROR(BB455))</formula>
    </cfRule>
  </conditionalFormatting>
  <conditionalFormatting sqref="BB456">
    <cfRule type="notContainsErrors" dxfId="2" priority="561">
      <formula>NOT(ISERROR(BB456))</formula>
    </cfRule>
  </conditionalFormatting>
  <conditionalFormatting sqref="BB457">
    <cfRule type="notContainsErrors" dxfId="2" priority="566">
      <formula>NOT(ISERROR(BB457))</formula>
    </cfRule>
  </conditionalFormatting>
  <conditionalFormatting sqref="BB461">
    <cfRule type="notContainsErrors" dxfId="2" priority="571">
      <formula>NOT(ISERROR(BB461))</formula>
    </cfRule>
  </conditionalFormatting>
  <conditionalFormatting sqref="BB464">
    <cfRule type="notContainsErrors" dxfId="2" priority="576">
      <formula>NOT(ISERROR(BB464))</formula>
    </cfRule>
  </conditionalFormatting>
  <conditionalFormatting sqref="BB466">
    <cfRule type="notContainsErrors" dxfId="2" priority="581">
      <formula>NOT(ISERROR(BB466))</formula>
    </cfRule>
  </conditionalFormatting>
  <conditionalFormatting sqref="BB469">
    <cfRule type="notContainsErrors" dxfId="2" priority="586">
      <formula>NOT(ISERROR(BB469))</formula>
    </cfRule>
  </conditionalFormatting>
  <conditionalFormatting sqref="BB470">
    <cfRule type="notContainsErrors" dxfId="2" priority="591">
      <formula>NOT(ISERROR(BB470))</formula>
    </cfRule>
  </conditionalFormatting>
  <conditionalFormatting sqref="BB481">
    <cfRule type="notContainsErrors" dxfId="2" priority="596">
      <formula>NOT(ISERROR(BB481))</formula>
    </cfRule>
  </conditionalFormatting>
  <conditionalFormatting sqref="BB482">
    <cfRule type="notContainsErrors" dxfId="2" priority="601">
      <formula>NOT(ISERROR(BB482))</formula>
    </cfRule>
  </conditionalFormatting>
  <conditionalFormatting sqref="BB483">
    <cfRule type="notContainsErrors" dxfId="2" priority="606">
      <formula>NOT(ISERROR(BB483))</formula>
    </cfRule>
  </conditionalFormatting>
  <conditionalFormatting sqref="BB486">
    <cfRule type="notContainsErrors" dxfId="2" priority="611">
      <formula>NOT(ISERROR(BB486))</formula>
    </cfRule>
  </conditionalFormatting>
  <conditionalFormatting sqref="BB487">
    <cfRule type="notContainsErrors" dxfId="2" priority="616">
      <formula>NOT(ISERROR(BB487))</formula>
    </cfRule>
  </conditionalFormatting>
  <conditionalFormatting sqref="BB496">
    <cfRule type="notContainsErrors" dxfId="2" priority="621">
      <formula>NOT(ISERROR(BB496))</formula>
    </cfRule>
  </conditionalFormatting>
  <conditionalFormatting sqref="BB498">
    <cfRule type="notContainsErrors" dxfId="2" priority="626">
      <formula>NOT(ISERROR(BB498))</formula>
    </cfRule>
  </conditionalFormatting>
  <conditionalFormatting sqref="BB561">
    <cfRule type="notContainsErrors" dxfId="2" priority="631">
      <formula>NOT(ISERROR(BB561))</formula>
    </cfRule>
  </conditionalFormatting>
  <conditionalFormatting sqref="BB570">
    <cfRule type="notContainsErrors" dxfId="2" priority="636">
      <formula>NOT(ISERROR(BB570))</formula>
    </cfRule>
  </conditionalFormatting>
  <conditionalFormatting sqref="BB6">
    <cfRule type="notContainsErrors" dxfId="2" priority="21">
      <formula>NOT(ISERROR(BB6))</formula>
    </cfRule>
  </conditionalFormatting>
  <conditionalFormatting sqref="BB64">
    <cfRule type="notContainsErrors" dxfId="2" priority="56">
      <formula>NOT(ISERROR(BB64))</formula>
    </cfRule>
  </conditionalFormatting>
  <conditionalFormatting sqref="BB70">
    <cfRule type="notContainsErrors" dxfId="2" priority="61">
      <formula>NOT(ISERROR(BB70))</formula>
    </cfRule>
  </conditionalFormatting>
  <conditionalFormatting sqref="BB71">
    <cfRule type="notContainsErrors" dxfId="2" priority="66">
      <formula>NOT(ISERROR(BB71))</formula>
    </cfRule>
  </conditionalFormatting>
  <conditionalFormatting sqref="BB77">
    <cfRule type="notContainsErrors" dxfId="2" priority="71">
      <formula>NOT(ISERROR(BB77))</formula>
    </cfRule>
  </conditionalFormatting>
  <conditionalFormatting sqref="BB78">
    <cfRule type="notContainsErrors" dxfId="2" priority="76">
      <formula>NOT(ISERROR(BB78))</formula>
    </cfRule>
  </conditionalFormatting>
  <conditionalFormatting sqref="BB85">
    <cfRule type="notContainsErrors" dxfId="2" priority="81">
      <formula>NOT(ISERROR(BB85))</formula>
    </cfRule>
  </conditionalFormatting>
  <conditionalFormatting sqref="BB95">
    <cfRule type="notContainsErrors" dxfId="2" priority="86">
      <formula>NOT(ISERROR(BB95))</formula>
    </cfRule>
  </conditionalFormatting>
  <conditionalFormatting sqref="BB96">
    <cfRule type="notContainsErrors" dxfId="2" priority="91">
      <formula>NOT(ISERROR(BB96))</formula>
    </cfRule>
  </conditionalFormatting>
  <conditionalFormatting sqref="BB98">
    <cfRule type="notContainsErrors" dxfId="2" priority="96">
      <formula>NOT(ISERROR(BB98))</formula>
    </cfRule>
  </conditionalFormatting>
  <conditionalFormatting sqref="BC103">
    <cfRule type="notContainsErrors" dxfId="2" priority="102">
      <formula>NOT(ISERROR(BC103))</formula>
    </cfRule>
  </conditionalFormatting>
  <conditionalFormatting sqref="BC113">
    <cfRule type="notContainsErrors" dxfId="2" priority="107">
      <formula>NOT(ISERROR(BC113))</formula>
    </cfRule>
  </conditionalFormatting>
  <conditionalFormatting sqref="BC171">
    <cfRule type="notContainsErrors" dxfId="2" priority="112">
      <formula>NOT(ISERROR(BC171))</formula>
    </cfRule>
  </conditionalFormatting>
  <conditionalFormatting sqref="BC175">
    <cfRule type="notContainsErrors" dxfId="2" priority="117">
      <formula>NOT(ISERROR(BC175))</formula>
    </cfRule>
  </conditionalFormatting>
  <conditionalFormatting sqref="BC176">
    <cfRule type="notContainsErrors" dxfId="2" priority="122">
      <formula>NOT(ISERROR(BC176))</formula>
    </cfRule>
  </conditionalFormatting>
  <conditionalFormatting sqref="BC19">
    <cfRule type="notContainsErrors" dxfId="2" priority="27">
      <formula>NOT(ISERROR(BC19))</formula>
    </cfRule>
  </conditionalFormatting>
  <conditionalFormatting sqref="BC230">
    <cfRule type="notContainsErrors" dxfId="2" priority="127">
      <formula>NOT(ISERROR(BC230))</formula>
    </cfRule>
  </conditionalFormatting>
  <conditionalFormatting sqref="BC241">
    <cfRule type="notContainsErrors" dxfId="2" priority="132">
      <formula>NOT(ISERROR(BC241))</formula>
    </cfRule>
  </conditionalFormatting>
  <conditionalFormatting sqref="BC259">
    <cfRule type="notContainsErrors" dxfId="2" priority="137">
      <formula>NOT(ISERROR(BC259))</formula>
    </cfRule>
  </conditionalFormatting>
  <conditionalFormatting sqref="BC260">
    <cfRule type="notContainsErrors" dxfId="2" priority="142">
      <formula>NOT(ISERROR(BC260))</formula>
    </cfRule>
  </conditionalFormatting>
  <conditionalFormatting sqref="BC261">
    <cfRule type="notContainsErrors" dxfId="2" priority="147">
      <formula>NOT(ISERROR(BC261))</formula>
    </cfRule>
  </conditionalFormatting>
  <conditionalFormatting sqref="BC262">
    <cfRule type="notContainsErrors" dxfId="2" priority="152">
      <formula>NOT(ISERROR(BC262))</formula>
    </cfRule>
  </conditionalFormatting>
  <conditionalFormatting sqref="BC263">
    <cfRule type="notContainsErrors" dxfId="2" priority="157">
      <formula>NOT(ISERROR(BC263))</formula>
    </cfRule>
  </conditionalFormatting>
  <conditionalFormatting sqref="BC264">
    <cfRule type="notContainsErrors" dxfId="2" priority="162">
      <formula>NOT(ISERROR(BC264))</formula>
    </cfRule>
  </conditionalFormatting>
  <conditionalFormatting sqref="BC265">
    <cfRule type="notContainsErrors" dxfId="2" priority="167">
      <formula>NOT(ISERROR(BC265))</formula>
    </cfRule>
  </conditionalFormatting>
  <conditionalFormatting sqref="BC274">
    <cfRule type="notContainsErrors" dxfId="2" priority="172">
      <formula>NOT(ISERROR(BC274))</formula>
    </cfRule>
  </conditionalFormatting>
  <conditionalFormatting sqref="BC287">
    <cfRule type="notContainsErrors" dxfId="2" priority="177">
      <formula>NOT(ISERROR(BC287))</formula>
    </cfRule>
  </conditionalFormatting>
  <conditionalFormatting sqref="BC289">
    <cfRule type="notContainsErrors" dxfId="2" priority="182">
      <formula>NOT(ISERROR(BC289))</formula>
    </cfRule>
  </conditionalFormatting>
  <conditionalFormatting sqref="BC290">
    <cfRule type="notContainsErrors" dxfId="2" priority="187">
      <formula>NOT(ISERROR(BC290))</formula>
    </cfRule>
  </conditionalFormatting>
  <conditionalFormatting sqref="BC291">
    <cfRule type="notContainsErrors" dxfId="2" priority="192">
      <formula>NOT(ISERROR(BC291))</formula>
    </cfRule>
  </conditionalFormatting>
  <conditionalFormatting sqref="BC293">
    <cfRule type="notContainsErrors" dxfId="2" priority="197">
      <formula>NOT(ISERROR(BC293))</formula>
    </cfRule>
  </conditionalFormatting>
  <conditionalFormatting sqref="BC296">
    <cfRule type="notContainsErrors" dxfId="2" priority="202">
      <formula>NOT(ISERROR(BC296))</formula>
    </cfRule>
  </conditionalFormatting>
  <conditionalFormatting sqref="BC31">
    <cfRule type="notContainsErrors" dxfId="2" priority="32">
      <formula>NOT(ISERROR(BC31))</formula>
    </cfRule>
  </conditionalFormatting>
  <conditionalFormatting sqref="BC320">
    <cfRule type="notContainsErrors" dxfId="2" priority="207">
      <formula>NOT(ISERROR(BC320))</formula>
    </cfRule>
  </conditionalFormatting>
  <conditionalFormatting sqref="BC321">
    <cfRule type="notContainsErrors" dxfId="2" priority="212">
      <formula>NOT(ISERROR(BC321))</formula>
    </cfRule>
  </conditionalFormatting>
  <conditionalFormatting sqref="BC331">
    <cfRule type="notContainsErrors" dxfId="2" priority="217">
      <formula>NOT(ISERROR(BC331))</formula>
    </cfRule>
  </conditionalFormatting>
  <conditionalFormatting sqref="BC337">
    <cfRule type="notContainsErrors" dxfId="2" priority="222">
      <formula>NOT(ISERROR(BC337))</formula>
    </cfRule>
  </conditionalFormatting>
  <conditionalFormatting sqref="BC340">
    <cfRule type="notContainsErrors" dxfId="2" priority="227">
      <formula>NOT(ISERROR(BC340))</formula>
    </cfRule>
  </conditionalFormatting>
  <conditionalFormatting sqref="BC341">
    <cfRule type="notContainsErrors" dxfId="2" priority="232">
      <formula>NOT(ISERROR(BC341))</formula>
    </cfRule>
  </conditionalFormatting>
  <conditionalFormatting sqref="BC342">
    <cfRule type="notContainsErrors" dxfId="2" priority="237">
      <formula>NOT(ISERROR(BC342))</formula>
    </cfRule>
  </conditionalFormatting>
  <conditionalFormatting sqref="BC344">
    <cfRule type="notContainsErrors" dxfId="2" priority="242">
      <formula>NOT(ISERROR(BC344))</formula>
    </cfRule>
  </conditionalFormatting>
  <conditionalFormatting sqref="BC346">
    <cfRule type="notContainsErrors" dxfId="2" priority="247">
      <formula>NOT(ISERROR(BC346))</formula>
    </cfRule>
  </conditionalFormatting>
  <conditionalFormatting sqref="BC347">
    <cfRule type="notContainsErrors" dxfId="2" priority="252">
      <formula>NOT(ISERROR(BC347))</formula>
    </cfRule>
  </conditionalFormatting>
  <conditionalFormatting sqref="BC348">
    <cfRule type="notContainsErrors" dxfId="2" priority="257">
      <formula>NOT(ISERROR(BC348))</formula>
    </cfRule>
  </conditionalFormatting>
  <conditionalFormatting sqref="BC357">
    <cfRule type="notContainsErrors" dxfId="2" priority="262">
      <formula>NOT(ISERROR(BC357))</formula>
    </cfRule>
  </conditionalFormatting>
  <conditionalFormatting sqref="BC365">
    <cfRule type="notContainsErrors" dxfId="2" priority="267">
      <formula>NOT(ISERROR(BC365))</formula>
    </cfRule>
  </conditionalFormatting>
  <conditionalFormatting sqref="BC367">
    <cfRule type="notContainsErrors" dxfId="2" priority="272">
      <formula>NOT(ISERROR(BC367))</formula>
    </cfRule>
  </conditionalFormatting>
  <conditionalFormatting sqref="BC369">
    <cfRule type="notContainsErrors" dxfId="2" priority="277">
      <formula>NOT(ISERROR(BC369))</formula>
    </cfRule>
  </conditionalFormatting>
  <conditionalFormatting sqref="BC37">
    <cfRule type="notContainsErrors" dxfId="2" priority="37">
      <formula>NOT(ISERROR(BC37))</formula>
    </cfRule>
  </conditionalFormatting>
  <conditionalFormatting sqref="BC370">
    <cfRule type="notContainsErrors" dxfId="2" priority="282">
      <formula>NOT(ISERROR(BC370))</formula>
    </cfRule>
  </conditionalFormatting>
  <conditionalFormatting sqref="BC371">
    <cfRule type="notContainsErrors" dxfId="2" priority="287">
      <formula>NOT(ISERROR(BC371))</formula>
    </cfRule>
  </conditionalFormatting>
  <conditionalFormatting sqref="BC373">
    <cfRule type="notContainsErrors" dxfId="2" priority="292">
      <formula>NOT(ISERROR(BC373))</formula>
    </cfRule>
  </conditionalFormatting>
  <conditionalFormatting sqref="BC374">
    <cfRule type="notContainsErrors" dxfId="2" priority="297">
      <formula>NOT(ISERROR(BC374))</formula>
    </cfRule>
  </conditionalFormatting>
  <conditionalFormatting sqref="BC375">
    <cfRule type="notContainsErrors" dxfId="2" priority="302">
      <formula>NOT(ISERROR(BC375))</formula>
    </cfRule>
  </conditionalFormatting>
  <conditionalFormatting sqref="BC376">
    <cfRule type="notContainsErrors" dxfId="2" priority="307">
      <formula>NOT(ISERROR(BC376))</formula>
    </cfRule>
  </conditionalFormatting>
  <conditionalFormatting sqref="BC377">
    <cfRule type="notContainsErrors" dxfId="2" priority="312">
      <formula>NOT(ISERROR(BC377))</formula>
    </cfRule>
  </conditionalFormatting>
  <conditionalFormatting sqref="BC379">
    <cfRule type="notContainsErrors" dxfId="2" priority="317">
      <formula>NOT(ISERROR(BC379))</formula>
    </cfRule>
  </conditionalFormatting>
  <conditionalFormatting sqref="BC38">
    <cfRule type="notContainsErrors" dxfId="2" priority="42">
      <formula>NOT(ISERROR(BC38))</formula>
    </cfRule>
  </conditionalFormatting>
  <conditionalFormatting sqref="BC382">
    <cfRule type="notContainsErrors" dxfId="2" priority="322">
      <formula>NOT(ISERROR(BC382))</formula>
    </cfRule>
  </conditionalFormatting>
  <conditionalFormatting sqref="BC384">
    <cfRule type="notContainsErrors" dxfId="2" priority="327">
      <formula>NOT(ISERROR(BC384))</formula>
    </cfRule>
  </conditionalFormatting>
  <conditionalFormatting sqref="BC385">
    <cfRule type="notContainsErrors" dxfId="2" priority="332">
      <formula>NOT(ISERROR(BC385))</formula>
    </cfRule>
  </conditionalFormatting>
  <conditionalFormatting sqref="BC386">
    <cfRule type="notContainsErrors" dxfId="2" priority="337">
      <formula>NOT(ISERROR(BC386))</formula>
    </cfRule>
  </conditionalFormatting>
  <conditionalFormatting sqref="BC388">
    <cfRule type="notContainsErrors" dxfId="2" priority="342">
      <formula>NOT(ISERROR(BC388))</formula>
    </cfRule>
  </conditionalFormatting>
  <conditionalFormatting sqref="BC391">
    <cfRule type="notContainsErrors" dxfId="2" priority="347">
      <formula>NOT(ISERROR(BC391))</formula>
    </cfRule>
  </conditionalFormatting>
  <conditionalFormatting sqref="BC393">
    <cfRule type="notContainsErrors" dxfId="2" priority="352">
      <formula>NOT(ISERROR(BC393))</formula>
    </cfRule>
  </conditionalFormatting>
  <conditionalFormatting sqref="BC395">
    <cfRule type="notContainsErrors" dxfId="2" priority="357">
      <formula>NOT(ISERROR(BC395))</formula>
    </cfRule>
  </conditionalFormatting>
  <conditionalFormatting sqref="BC397">
    <cfRule type="notContainsErrors" dxfId="2" priority="362">
      <formula>NOT(ISERROR(BC397))</formula>
    </cfRule>
  </conditionalFormatting>
  <conditionalFormatting sqref="BC399">
    <cfRule type="notContainsErrors" dxfId="2" priority="367">
      <formula>NOT(ISERROR(BC399))</formula>
    </cfRule>
  </conditionalFormatting>
  <conditionalFormatting sqref="BC4">
    <cfRule type="notContainsErrors" dxfId="2" priority="17">
      <formula>NOT(ISERROR(BC4))</formula>
    </cfRule>
  </conditionalFormatting>
  <conditionalFormatting sqref="BC40">
    <cfRule type="notContainsErrors" dxfId="2" priority="47">
      <formula>NOT(ISERROR(BC40))</formula>
    </cfRule>
  </conditionalFormatting>
  <conditionalFormatting sqref="BC400">
    <cfRule type="notContainsErrors" dxfId="2" priority="372">
      <formula>NOT(ISERROR(BC400))</formula>
    </cfRule>
  </conditionalFormatting>
  <conditionalFormatting sqref="BC401">
    <cfRule type="notContainsErrors" dxfId="2" priority="377">
      <formula>NOT(ISERROR(BC401))</formula>
    </cfRule>
  </conditionalFormatting>
  <conditionalFormatting sqref="BC402">
    <cfRule type="notContainsErrors" dxfId="2" priority="382">
      <formula>NOT(ISERROR(BC402))</formula>
    </cfRule>
  </conditionalFormatting>
  <conditionalFormatting sqref="BC403">
    <cfRule type="notContainsErrors" dxfId="2" priority="387">
      <formula>NOT(ISERROR(BC403))</formula>
    </cfRule>
  </conditionalFormatting>
  <conditionalFormatting sqref="BC404">
    <cfRule type="notContainsErrors" dxfId="2" priority="392">
      <formula>NOT(ISERROR(BC404))</formula>
    </cfRule>
  </conditionalFormatting>
  <conditionalFormatting sqref="BC406">
    <cfRule type="notContainsErrors" dxfId="2" priority="397">
      <formula>NOT(ISERROR(BC406))</formula>
    </cfRule>
  </conditionalFormatting>
  <conditionalFormatting sqref="BC407">
    <cfRule type="notContainsErrors" dxfId="2" priority="402">
      <formula>NOT(ISERROR(BC407))</formula>
    </cfRule>
  </conditionalFormatting>
  <conditionalFormatting sqref="BC408">
    <cfRule type="notContainsErrors" dxfId="2" priority="407">
      <formula>NOT(ISERROR(BC408))</formula>
    </cfRule>
  </conditionalFormatting>
  <conditionalFormatting sqref="BC409">
    <cfRule type="notContainsErrors" dxfId="2" priority="412">
      <formula>NOT(ISERROR(BC409))</formula>
    </cfRule>
  </conditionalFormatting>
  <conditionalFormatting sqref="BC410">
    <cfRule type="notContainsErrors" dxfId="2" priority="417">
      <formula>NOT(ISERROR(BC410))</formula>
    </cfRule>
  </conditionalFormatting>
  <conditionalFormatting sqref="BC413">
    <cfRule type="notContainsErrors" dxfId="2" priority="422">
      <formula>NOT(ISERROR(BC413))</formula>
    </cfRule>
  </conditionalFormatting>
  <conditionalFormatting sqref="BC414">
    <cfRule type="notContainsErrors" dxfId="2" priority="427">
      <formula>NOT(ISERROR(BC414))</formula>
    </cfRule>
  </conditionalFormatting>
  <conditionalFormatting sqref="BC415">
    <cfRule type="notContainsErrors" dxfId="2" priority="432">
      <formula>NOT(ISERROR(BC415))</formula>
    </cfRule>
  </conditionalFormatting>
  <conditionalFormatting sqref="BC416">
    <cfRule type="notContainsErrors" dxfId="2" priority="437">
      <formula>NOT(ISERROR(BC416))</formula>
    </cfRule>
  </conditionalFormatting>
  <conditionalFormatting sqref="BC417">
    <cfRule type="notContainsErrors" dxfId="2" priority="442">
      <formula>NOT(ISERROR(BC417))</formula>
    </cfRule>
  </conditionalFormatting>
  <conditionalFormatting sqref="BC418">
    <cfRule type="notContainsErrors" dxfId="2" priority="447">
      <formula>NOT(ISERROR(BC418))</formula>
    </cfRule>
  </conditionalFormatting>
  <conditionalFormatting sqref="BC419">
    <cfRule type="notContainsErrors" dxfId="2" priority="452">
      <formula>NOT(ISERROR(BC419))</formula>
    </cfRule>
  </conditionalFormatting>
  <conditionalFormatting sqref="BC420">
    <cfRule type="notContainsErrors" dxfId="2" priority="457">
      <formula>NOT(ISERROR(BC420))</formula>
    </cfRule>
  </conditionalFormatting>
  <conditionalFormatting sqref="BC421">
    <cfRule type="notContainsErrors" dxfId="2" priority="462">
      <formula>NOT(ISERROR(BC421))</formula>
    </cfRule>
  </conditionalFormatting>
  <conditionalFormatting sqref="BC422">
    <cfRule type="notContainsErrors" dxfId="2" priority="467">
      <formula>NOT(ISERROR(BC422))</formula>
    </cfRule>
  </conditionalFormatting>
  <conditionalFormatting sqref="BC423">
    <cfRule type="notContainsErrors" dxfId="2" priority="472">
      <formula>NOT(ISERROR(BC423))</formula>
    </cfRule>
  </conditionalFormatting>
  <conditionalFormatting sqref="BC424">
    <cfRule type="notContainsErrors" dxfId="2" priority="477">
      <formula>NOT(ISERROR(BC424))</formula>
    </cfRule>
  </conditionalFormatting>
  <conditionalFormatting sqref="BC425">
    <cfRule type="notContainsErrors" dxfId="2" priority="482">
      <formula>NOT(ISERROR(BC425))</formula>
    </cfRule>
  </conditionalFormatting>
  <conditionalFormatting sqref="BC426">
    <cfRule type="notContainsErrors" dxfId="2" priority="487">
      <formula>NOT(ISERROR(BC426))</formula>
    </cfRule>
  </conditionalFormatting>
  <conditionalFormatting sqref="BC427">
    <cfRule type="notContainsErrors" dxfId="2" priority="492">
      <formula>NOT(ISERROR(BC427))</formula>
    </cfRule>
  </conditionalFormatting>
  <conditionalFormatting sqref="BC428">
    <cfRule type="notContainsErrors" dxfId="2" priority="497">
      <formula>NOT(ISERROR(BC428))</formula>
    </cfRule>
  </conditionalFormatting>
  <conditionalFormatting sqref="BC429">
    <cfRule type="notContainsErrors" dxfId="2" priority="502">
      <formula>NOT(ISERROR(BC429))</formula>
    </cfRule>
  </conditionalFormatting>
  <conditionalFormatting sqref="BC43">
    <cfRule type="notContainsErrors" dxfId="2" priority="52">
      <formula>NOT(ISERROR(BC43))</formula>
    </cfRule>
  </conditionalFormatting>
  <conditionalFormatting sqref="BC431">
    <cfRule type="notContainsErrors" dxfId="2" priority="507">
      <formula>NOT(ISERROR(BC431))</formula>
    </cfRule>
  </conditionalFormatting>
  <conditionalFormatting sqref="BC435">
    <cfRule type="notContainsErrors" dxfId="2" priority="512">
      <formula>NOT(ISERROR(BC435))</formula>
    </cfRule>
  </conditionalFormatting>
  <conditionalFormatting sqref="BC437">
    <cfRule type="notContainsErrors" dxfId="2" priority="517">
      <formula>NOT(ISERROR(BC437))</formula>
    </cfRule>
  </conditionalFormatting>
  <conditionalFormatting sqref="BC441">
    <cfRule type="notContainsErrors" dxfId="2" priority="522">
      <formula>NOT(ISERROR(BC441))</formula>
    </cfRule>
  </conditionalFormatting>
  <conditionalFormatting sqref="BC443">
    <cfRule type="notContainsErrors" dxfId="2" priority="527">
      <formula>NOT(ISERROR(BC443))</formula>
    </cfRule>
  </conditionalFormatting>
  <conditionalFormatting sqref="BC446">
    <cfRule type="notContainsErrors" dxfId="2" priority="532">
      <formula>NOT(ISERROR(BC446))</formula>
    </cfRule>
  </conditionalFormatting>
  <conditionalFormatting sqref="BC449">
    <cfRule type="notContainsErrors" dxfId="2" priority="537">
      <formula>NOT(ISERROR(BC449))</formula>
    </cfRule>
  </conditionalFormatting>
  <conditionalFormatting sqref="BC450">
    <cfRule type="notContainsErrors" dxfId="2" priority="542">
      <formula>NOT(ISERROR(BC450))</formula>
    </cfRule>
  </conditionalFormatting>
  <conditionalFormatting sqref="BC453">
    <cfRule type="notContainsErrors" dxfId="2" priority="547">
      <formula>NOT(ISERROR(BC453))</formula>
    </cfRule>
  </conditionalFormatting>
  <conditionalFormatting sqref="BC454">
    <cfRule type="notContainsErrors" dxfId="2" priority="552">
      <formula>NOT(ISERROR(BC454))</formula>
    </cfRule>
  </conditionalFormatting>
  <conditionalFormatting sqref="BC455">
    <cfRule type="notContainsErrors" dxfId="2" priority="557">
      <formula>NOT(ISERROR(BC455))</formula>
    </cfRule>
  </conditionalFormatting>
  <conditionalFormatting sqref="BC456">
    <cfRule type="notContainsErrors" dxfId="2" priority="562">
      <formula>NOT(ISERROR(BC456))</formula>
    </cfRule>
  </conditionalFormatting>
  <conditionalFormatting sqref="BC457">
    <cfRule type="notContainsErrors" dxfId="2" priority="567">
      <formula>NOT(ISERROR(BC457))</formula>
    </cfRule>
  </conditionalFormatting>
  <conditionalFormatting sqref="BC461">
    <cfRule type="notContainsErrors" dxfId="2" priority="572">
      <formula>NOT(ISERROR(BC461))</formula>
    </cfRule>
  </conditionalFormatting>
  <conditionalFormatting sqref="BC464">
    <cfRule type="notContainsErrors" dxfId="2" priority="577">
      <formula>NOT(ISERROR(BC464))</formula>
    </cfRule>
  </conditionalFormatting>
  <conditionalFormatting sqref="BC466">
    <cfRule type="notContainsErrors" dxfId="2" priority="582">
      <formula>NOT(ISERROR(BC466))</formula>
    </cfRule>
  </conditionalFormatting>
  <conditionalFormatting sqref="BC469">
    <cfRule type="notContainsErrors" dxfId="2" priority="587">
      <formula>NOT(ISERROR(BC469))</formula>
    </cfRule>
  </conditionalFormatting>
  <conditionalFormatting sqref="BC470">
    <cfRule type="notContainsErrors" dxfId="2" priority="592">
      <formula>NOT(ISERROR(BC470))</formula>
    </cfRule>
  </conditionalFormatting>
  <conditionalFormatting sqref="BC481">
    <cfRule type="notContainsErrors" dxfId="2" priority="597">
      <formula>NOT(ISERROR(BC481))</formula>
    </cfRule>
  </conditionalFormatting>
  <conditionalFormatting sqref="BC482">
    <cfRule type="notContainsErrors" dxfId="2" priority="602">
      <formula>NOT(ISERROR(BC482))</formula>
    </cfRule>
  </conditionalFormatting>
  <conditionalFormatting sqref="BC483">
    <cfRule type="notContainsErrors" dxfId="2" priority="607">
      <formula>NOT(ISERROR(BC483))</formula>
    </cfRule>
  </conditionalFormatting>
  <conditionalFormatting sqref="BC486">
    <cfRule type="notContainsErrors" dxfId="2" priority="612">
      <formula>NOT(ISERROR(BC486))</formula>
    </cfRule>
  </conditionalFormatting>
  <conditionalFormatting sqref="BC487">
    <cfRule type="notContainsErrors" dxfId="2" priority="617">
      <formula>NOT(ISERROR(BC487))</formula>
    </cfRule>
  </conditionalFormatting>
  <conditionalFormatting sqref="BC496">
    <cfRule type="notContainsErrors" dxfId="2" priority="622">
      <formula>NOT(ISERROR(BC496))</formula>
    </cfRule>
  </conditionalFormatting>
  <conditionalFormatting sqref="BC498">
    <cfRule type="notContainsErrors" dxfId="2" priority="627">
      <formula>NOT(ISERROR(BC498))</formula>
    </cfRule>
  </conditionalFormatting>
  <conditionalFormatting sqref="BC561">
    <cfRule type="notContainsErrors" dxfId="2" priority="632">
      <formula>NOT(ISERROR(BC561))</formula>
    </cfRule>
  </conditionalFormatting>
  <conditionalFormatting sqref="BC570">
    <cfRule type="notContainsErrors" dxfId="2" priority="637">
      <formula>NOT(ISERROR(BC570))</formula>
    </cfRule>
  </conditionalFormatting>
  <conditionalFormatting sqref="BC6">
    <cfRule type="notContainsErrors" dxfId="2" priority="22">
      <formula>NOT(ISERROR(BC6))</formula>
    </cfRule>
  </conditionalFormatting>
  <conditionalFormatting sqref="BC64">
    <cfRule type="notContainsErrors" dxfId="2" priority="57">
      <formula>NOT(ISERROR(BC64))</formula>
    </cfRule>
  </conditionalFormatting>
  <conditionalFormatting sqref="BC70">
    <cfRule type="notContainsErrors" dxfId="2" priority="62">
      <formula>NOT(ISERROR(BC70))</formula>
    </cfRule>
  </conditionalFormatting>
  <conditionalFormatting sqref="BC71">
    <cfRule type="notContainsErrors" dxfId="2" priority="67">
      <formula>NOT(ISERROR(BC71))</formula>
    </cfRule>
  </conditionalFormatting>
  <conditionalFormatting sqref="BC77">
    <cfRule type="notContainsErrors" dxfId="2" priority="72">
      <formula>NOT(ISERROR(BC77))</formula>
    </cfRule>
  </conditionalFormatting>
  <conditionalFormatting sqref="BC78">
    <cfRule type="notContainsErrors" dxfId="2" priority="77">
      <formula>NOT(ISERROR(BC78))</formula>
    </cfRule>
  </conditionalFormatting>
  <conditionalFormatting sqref="BC85">
    <cfRule type="notContainsErrors" dxfId="2" priority="82">
      <formula>NOT(ISERROR(BC85))</formula>
    </cfRule>
  </conditionalFormatting>
  <conditionalFormatting sqref="BC95">
    <cfRule type="notContainsErrors" dxfId="2" priority="87">
      <formula>NOT(ISERROR(BC95))</formula>
    </cfRule>
  </conditionalFormatting>
  <conditionalFormatting sqref="BC96">
    <cfRule type="notContainsErrors" dxfId="2" priority="92">
      <formula>NOT(ISERROR(BC96))</formula>
    </cfRule>
  </conditionalFormatting>
  <conditionalFormatting sqref="BC98">
    <cfRule type="notContainsErrors" dxfId="2" priority="97">
      <formula>NOT(ISERROR(BC98))</formula>
    </cfRule>
  </conditionalFormatting>
  <conditionalFormatting sqref="BD103">
    <cfRule type="notContainsErrors" dxfId="2" priority="103">
      <formula>NOT(ISERROR(BD103))</formula>
    </cfRule>
  </conditionalFormatting>
  <conditionalFormatting sqref="BD113">
    <cfRule type="notContainsErrors" dxfId="2" priority="108">
      <formula>NOT(ISERROR(BD113))</formula>
    </cfRule>
  </conditionalFormatting>
  <conditionalFormatting sqref="BD171">
    <cfRule type="notContainsErrors" dxfId="2" priority="113">
      <formula>NOT(ISERROR(BD171))</formula>
    </cfRule>
  </conditionalFormatting>
  <conditionalFormatting sqref="BD175">
    <cfRule type="notContainsErrors" dxfId="2" priority="118">
      <formula>NOT(ISERROR(BD175))</formula>
    </cfRule>
  </conditionalFormatting>
  <conditionalFormatting sqref="BD176">
    <cfRule type="notContainsErrors" dxfId="2" priority="123">
      <formula>NOT(ISERROR(BD176))</formula>
    </cfRule>
  </conditionalFormatting>
  <conditionalFormatting sqref="BD19">
    <cfRule type="notContainsErrors" dxfId="2" priority="28">
      <formula>NOT(ISERROR(BD19))</formula>
    </cfRule>
  </conditionalFormatting>
  <conditionalFormatting sqref="BD230">
    <cfRule type="notContainsErrors" dxfId="2" priority="128">
      <formula>NOT(ISERROR(BD230))</formula>
    </cfRule>
  </conditionalFormatting>
  <conditionalFormatting sqref="BD241">
    <cfRule type="notContainsErrors" dxfId="2" priority="133">
      <formula>NOT(ISERROR(BD241))</formula>
    </cfRule>
  </conditionalFormatting>
  <conditionalFormatting sqref="BD259">
    <cfRule type="notContainsErrors" dxfId="2" priority="138">
      <formula>NOT(ISERROR(BD259))</formula>
    </cfRule>
  </conditionalFormatting>
  <conditionalFormatting sqref="BD260">
    <cfRule type="notContainsErrors" dxfId="2" priority="143">
      <formula>NOT(ISERROR(BD260))</formula>
    </cfRule>
  </conditionalFormatting>
  <conditionalFormatting sqref="BD261">
    <cfRule type="notContainsErrors" dxfId="2" priority="148">
      <formula>NOT(ISERROR(BD261))</formula>
    </cfRule>
  </conditionalFormatting>
  <conditionalFormatting sqref="BD262">
    <cfRule type="notContainsErrors" dxfId="2" priority="153">
      <formula>NOT(ISERROR(BD262))</formula>
    </cfRule>
  </conditionalFormatting>
  <conditionalFormatting sqref="BD263">
    <cfRule type="notContainsErrors" dxfId="2" priority="158">
      <formula>NOT(ISERROR(BD263))</formula>
    </cfRule>
  </conditionalFormatting>
  <conditionalFormatting sqref="BD264">
    <cfRule type="notContainsErrors" dxfId="2" priority="163">
      <formula>NOT(ISERROR(BD264))</formula>
    </cfRule>
  </conditionalFormatting>
  <conditionalFormatting sqref="BD265">
    <cfRule type="notContainsErrors" dxfId="2" priority="168">
      <formula>NOT(ISERROR(BD265))</formula>
    </cfRule>
  </conditionalFormatting>
  <conditionalFormatting sqref="BD274">
    <cfRule type="notContainsErrors" dxfId="2" priority="173">
      <formula>NOT(ISERROR(BD274))</formula>
    </cfRule>
  </conditionalFormatting>
  <conditionalFormatting sqref="BD287">
    <cfRule type="notContainsErrors" dxfId="2" priority="178">
      <formula>NOT(ISERROR(BD287))</formula>
    </cfRule>
  </conditionalFormatting>
  <conditionalFormatting sqref="BD289">
    <cfRule type="notContainsErrors" dxfId="2" priority="183">
      <formula>NOT(ISERROR(BD289))</formula>
    </cfRule>
  </conditionalFormatting>
  <conditionalFormatting sqref="BD290">
    <cfRule type="notContainsErrors" dxfId="2" priority="188">
      <formula>NOT(ISERROR(BD290))</formula>
    </cfRule>
  </conditionalFormatting>
  <conditionalFormatting sqref="BD291">
    <cfRule type="notContainsErrors" dxfId="2" priority="193">
      <formula>NOT(ISERROR(BD291))</formula>
    </cfRule>
  </conditionalFormatting>
  <conditionalFormatting sqref="BD293">
    <cfRule type="notContainsErrors" dxfId="2" priority="198">
      <formula>NOT(ISERROR(BD293))</formula>
    </cfRule>
  </conditionalFormatting>
  <conditionalFormatting sqref="BD296">
    <cfRule type="notContainsErrors" dxfId="2" priority="203">
      <formula>NOT(ISERROR(BD296))</formula>
    </cfRule>
  </conditionalFormatting>
  <conditionalFormatting sqref="BD31">
    <cfRule type="notContainsErrors" dxfId="2" priority="33">
      <formula>NOT(ISERROR(BD31))</formula>
    </cfRule>
  </conditionalFormatting>
  <conditionalFormatting sqref="BD320">
    <cfRule type="notContainsErrors" dxfId="2" priority="208">
      <formula>NOT(ISERROR(BD320))</formula>
    </cfRule>
  </conditionalFormatting>
  <conditionalFormatting sqref="BD321">
    <cfRule type="notContainsErrors" dxfId="2" priority="213">
      <formula>NOT(ISERROR(BD321))</formula>
    </cfRule>
  </conditionalFormatting>
  <conditionalFormatting sqref="BD331">
    <cfRule type="notContainsErrors" dxfId="2" priority="218">
      <formula>NOT(ISERROR(BD331))</formula>
    </cfRule>
  </conditionalFormatting>
  <conditionalFormatting sqref="BD337">
    <cfRule type="notContainsErrors" dxfId="2" priority="223">
      <formula>NOT(ISERROR(BD337))</formula>
    </cfRule>
  </conditionalFormatting>
  <conditionalFormatting sqref="BD340">
    <cfRule type="notContainsErrors" dxfId="2" priority="228">
      <formula>NOT(ISERROR(BD340))</formula>
    </cfRule>
  </conditionalFormatting>
  <conditionalFormatting sqref="BD341">
    <cfRule type="notContainsErrors" dxfId="2" priority="233">
      <formula>NOT(ISERROR(BD341))</formula>
    </cfRule>
  </conditionalFormatting>
  <conditionalFormatting sqref="BD342">
    <cfRule type="notContainsErrors" dxfId="2" priority="238">
      <formula>NOT(ISERROR(BD342))</formula>
    </cfRule>
  </conditionalFormatting>
  <conditionalFormatting sqref="BD344">
    <cfRule type="notContainsErrors" dxfId="2" priority="243">
      <formula>NOT(ISERROR(BD344))</formula>
    </cfRule>
  </conditionalFormatting>
  <conditionalFormatting sqref="BD346">
    <cfRule type="notContainsErrors" dxfId="2" priority="248">
      <formula>NOT(ISERROR(BD346))</formula>
    </cfRule>
  </conditionalFormatting>
  <conditionalFormatting sqref="BD347">
    <cfRule type="notContainsErrors" dxfId="2" priority="253">
      <formula>NOT(ISERROR(BD347))</formula>
    </cfRule>
  </conditionalFormatting>
  <conditionalFormatting sqref="BD348">
    <cfRule type="notContainsErrors" dxfId="2" priority="258">
      <formula>NOT(ISERROR(BD348))</formula>
    </cfRule>
  </conditionalFormatting>
  <conditionalFormatting sqref="BD357">
    <cfRule type="notContainsErrors" dxfId="2" priority="263">
      <formula>NOT(ISERROR(BD357))</formula>
    </cfRule>
  </conditionalFormatting>
  <conditionalFormatting sqref="BD365">
    <cfRule type="notContainsErrors" dxfId="2" priority="268">
      <formula>NOT(ISERROR(BD365))</formula>
    </cfRule>
  </conditionalFormatting>
  <conditionalFormatting sqref="BD367">
    <cfRule type="notContainsErrors" dxfId="2" priority="273">
      <formula>NOT(ISERROR(BD367))</formula>
    </cfRule>
  </conditionalFormatting>
  <conditionalFormatting sqref="BD369">
    <cfRule type="notContainsErrors" dxfId="2" priority="278">
      <formula>NOT(ISERROR(BD369))</formula>
    </cfRule>
  </conditionalFormatting>
  <conditionalFormatting sqref="BD37">
    <cfRule type="notContainsErrors" dxfId="2" priority="38">
      <formula>NOT(ISERROR(BD37))</formula>
    </cfRule>
  </conditionalFormatting>
  <conditionalFormatting sqref="BD370">
    <cfRule type="notContainsErrors" dxfId="2" priority="283">
      <formula>NOT(ISERROR(BD370))</formula>
    </cfRule>
  </conditionalFormatting>
  <conditionalFormatting sqref="BD371">
    <cfRule type="notContainsErrors" dxfId="2" priority="288">
      <formula>NOT(ISERROR(BD371))</formula>
    </cfRule>
  </conditionalFormatting>
  <conditionalFormatting sqref="BD373">
    <cfRule type="notContainsErrors" dxfId="2" priority="293">
      <formula>NOT(ISERROR(BD373))</formula>
    </cfRule>
  </conditionalFormatting>
  <conditionalFormatting sqref="BD374">
    <cfRule type="notContainsErrors" dxfId="2" priority="298">
      <formula>NOT(ISERROR(BD374))</formula>
    </cfRule>
  </conditionalFormatting>
  <conditionalFormatting sqref="BD375">
    <cfRule type="notContainsErrors" dxfId="2" priority="303">
      <formula>NOT(ISERROR(BD375))</formula>
    </cfRule>
  </conditionalFormatting>
  <conditionalFormatting sqref="BD376">
    <cfRule type="notContainsErrors" dxfId="2" priority="308">
      <formula>NOT(ISERROR(BD376))</formula>
    </cfRule>
  </conditionalFormatting>
  <conditionalFormatting sqref="BD377">
    <cfRule type="notContainsErrors" dxfId="2" priority="313">
      <formula>NOT(ISERROR(BD377))</formula>
    </cfRule>
  </conditionalFormatting>
  <conditionalFormatting sqref="BD379">
    <cfRule type="notContainsErrors" dxfId="2" priority="318">
      <formula>NOT(ISERROR(BD379))</formula>
    </cfRule>
  </conditionalFormatting>
  <conditionalFormatting sqref="BD38">
    <cfRule type="notContainsErrors" dxfId="2" priority="43">
      <formula>NOT(ISERROR(BD38))</formula>
    </cfRule>
  </conditionalFormatting>
  <conditionalFormatting sqref="BD382">
    <cfRule type="notContainsErrors" dxfId="2" priority="323">
      <formula>NOT(ISERROR(BD382))</formula>
    </cfRule>
  </conditionalFormatting>
  <conditionalFormatting sqref="BD384">
    <cfRule type="notContainsErrors" dxfId="2" priority="328">
      <formula>NOT(ISERROR(BD384))</formula>
    </cfRule>
  </conditionalFormatting>
  <conditionalFormatting sqref="BD385">
    <cfRule type="notContainsErrors" dxfId="2" priority="333">
      <formula>NOT(ISERROR(BD385))</formula>
    </cfRule>
  </conditionalFormatting>
  <conditionalFormatting sqref="BD386">
    <cfRule type="notContainsErrors" dxfId="2" priority="338">
      <formula>NOT(ISERROR(BD386))</formula>
    </cfRule>
  </conditionalFormatting>
  <conditionalFormatting sqref="BD388">
    <cfRule type="notContainsErrors" dxfId="2" priority="343">
      <formula>NOT(ISERROR(BD388))</formula>
    </cfRule>
  </conditionalFormatting>
  <conditionalFormatting sqref="BD391">
    <cfRule type="notContainsErrors" dxfId="2" priority="348">
      <formula>NOT(ISERROR(BD391))</formula>
    </cfRule>
  </conditionalFormatting>
  <conditionalFormatting sqref="BD393">
    <cfRule type="notContainsErrors" dxfId="2" priority="353">
      <formula>NOT(ISERROR(BD393))</formula>
    </cfRule>
  </conditionalFormatting>
  <conditionalFormatting sqref="BD395">
    <cfRule type="notContainsErrors" dxfId="2" priority="358">
      <formula>NOT(ISERROR(BD395))</formula>
    </cfRule>
  </conditionalFormatting>
  <conditionalFormatting sqref="BD397">
    <cfRule type="notContainsErrors" dxfId="2" priority="363">
      <formula>NOT(ISERROR(BD397))</formula>
    </cfRule>
  </conditionalFormatting>
  <conditionalFormatting sqref="BD399">
    <cfRule type="notContainsErrors" dxfId="2" priority="368">
      <formula>NOT(ISERROR(BD399))</formula>
    </cfRule>
  </conditionalFormatting>
  <conditionalFormatting sqref="BD4">
    <cfRule type="notContainsErrors" dxfId="2" priority="18">
      <formula>NOT(ISERROR(BD4))</formula>
    </cfRule>
  </conditionalFormatting>
  <conditionalFormatting sqref="BD40">
    <cfRule type="notContainsErrors" dxfId="2" priority="48">
      <formula>NOT(ISERROR(BD40))</formula>
    </cfRule>
  </conditionalFormatting>
  <conditionalFormatting sqref="BD400">
    <cfRule type="notContainsErrors" dxfId="2" priority="373">
      <formula>NOT(ISERROR(BD400))</formula>
    </cfRule>
  </conditionalFormatting>
  <conditionalFormatting sqref="BD401">
    <cfRule type="notContainsErrors" dxfId="2" priority="378">
      <formula>NOT(ISERROR(BD401))</formula>
    </cfRule>
  </conditionalFormatting>
  <conditionalFormatting sqref="BD402">
    <cfRule type="notContainsErrors" dxfId="2" priority="383">
      <formula>NOT(ISERROR(BD402))</formula>
    </cfRule>
  </conditionalFormatting>
  <conditionalFormatting sqref="BD403">
    <cfRule type="notContainsErrors" dxfId="2" priority="388">
      <formula>NOT(ISERROR(BD403))</formula>
    </cfRule>
  </conditionalFormatting>
  <conditionalFormatting sqref="BD404">
    <cfRule type="notContainsErrors" dxfId="2" priority="393">
      <formula>NOT(ISERROR(BD404))</formula>
    </cfRule>
  </conditionalFormatting>
  <conditionalFormatting sqref="BD406">
    <cfRule type="notContainsErrors" dxfId="2" priority="398">
      <formula>NOT(ISERROR(BD406))</formula>
    </cfRule>
  </conditionalFormatting>
  <conditionalFormatting sqref="BD407">
    <cfRule type="notContainsErrors" dxfId="2" priority="403">
      <formula>NOT(ISERROR(BD407))</formula>
    </cfRule>
  </conditionalFormatting>
  <conditionalFormatting sqref="BD408">
    <cfRule type="notContainsErrors" dxfId="2" priority="408">
      <formula>NOT(ISERROR(BD408))</formula>
    </cfRule>
  </conditionalFormatting>
  <conditionalFormatting sqref="BD409">
    <cfRule type="notContainsErrors" dxfId="2" priority="413">
      <formula>NOT(ISERROR(BD409))</formula>
    </cfRule>
  </conditionalFormatting>
  <conditionalFormatting sqref="BD410">
    <cfRule type="notContainsErrors" dxfId="2" priority="418">
      <formula>NOT(ISERROR(BD410))</formula>
    </cfRule>
  </conditionalFormatting>
  <conditionalFormatting sqref="BD413">
    <cfRule type="notContainsErrors" dxfId="2" priority="423">
      <formula>NOT(ISERROR(BD413))</formula>
    </cfRule>
  </conditionalFormatting>
  <conditionalFormatting sqref="BD414">
    <cfRule type="notContainsErrors" dxfId="2" priority="428">
      <formula>NOT(ISERROR(BD414))</formula>
    </cfRule>
  </conditionalFormatting>
  <conditionalFormatting sqref="BD415">
    <cfRule type="notContainsErrors" dxfId="2" priority="433">
      <formula>NOT(ISERROR(BD415))</formula>
    </cfRule>
  </conditionalFormatting>
  <conditionalFormatting sqref="BD416">
    <cfRule type="notContainsErrors" dxfId="2" priority="438">
      <formula>NOT(ISERROR(BD416))</formula>
    </cfRule>
  </conditionalFormatting>
  <conditionalFormatting sqref="BD417">
    <cfRule type="notContainsErrors" dxfId="2" priority="443">
      <formula>NOT(ISERROR(BD417))</formula>
    </cfRule>
  </conditionalFormatting>
  <conditionalFormatting sqref="BD418">
    <cfRule type="notContainsErrors" dxfId="2" priority="448">
      <formula>NOT(ISERROR(BD418))</formula>
    </cfRule>
  </conditionalFormatting>
  <conditionalFormatting sqref="BD419">
    <cfRule type="notContainsErrors" dxfId="2" priority="453">
      <formula>NOT(ISERROR(BD419))</formula>
    </cfRule>
  </conditionalFormatting>
  <conditionalFormatting sqref="BD420">
    <cfRule type="notContainsErrors" dxfId="2" priority="458">
      <formula>NOT(ISERROR(BD420))</formula>
    </cfRule>
  </conditionalFormatting>
  <conditionalFormatting sqref="BD421">
    <cfRule type="notContainsErrors" dxfId="2" priority="463">
      <formula>NOT(ISERROR(BD421))</formula>
    </cfRule>
  </conditionalFormatting>
  <conditionalFormatting sqref="BD422">
    <cfRule type="notContainsErrors" dxfId="2" priority="468">
      <formula>NOT(ISERROR(BD422))</formula>
    </cfRule>
  </conditionalFormatting>
  <conditionalFormatting sqref="BD423">
    <cfRule type="notContainsErrors" dxfId="2" priority="473">
      <formula>NOT(ISERROR(BD423))</formula>
    </cfRule>
  </conditionalFormatting>
  <conditionalFormatting sqref="BD424">
    <cfRule type="notContainsErrors" dxfId="2" priority="478">
      <formula>NOT(ISERROR(BD424))</formula>
    </cfRule>
  </conditionalFormatting>
  <conditionalFormatting sqref="BD425">
    <cfRule type="notContainsErrors" dxfId="2" priority="483">
      <formula>NOT(ISERROR(BD425))</formula>
    </cfRule>
  </conditionalFormatting>
  <conditionalFormatting sqref="BD426">
    <cfRule type="notContainsErrors" dxfId="2" priority="488">
      <formula>NOT(ISERROR(BD426))</formula>
    </cfRule>
  </conditionalFormatting>
  <conditionalFormatting sqref="BD427">
    <cfRule type="notContainsErrors" dxfId="2" priority="493">
      <formula>NOT(ISERROR(BD427))</formula>
    </cfRule>
  </conditionalFormatting>
  <conditionalFormatting sqref="BD428">
    <cfRule type="notContainsErrors" dxfId="2" priority="498">
      <formula>NOT(ISERROR(BD428))</formula>
    </cfRule>
  </conditionalFormatting>
  <conditionalFormatting sqref="BD429">
    <cfRule type="notContainsErrors" dxfId="2" priority="503">
      <formula>NOT(ISERROR(BD429))</formula>
    </cfRule>
  </conditionalFormatting>
  <conditionalFormatting sqref="BD43">
    <cfRule type="notContainsErrors" dxfId="2" priority="53">
      <formula>NOT(ISERROR(BD43))</formula>
    </cfRule>
  </conditionalFormatting>
  <conditionalFormatting sqref="BD431">
    <cfRule type="notContainsErrors" dxfId="2" priority="508">
      <formula>NOT(ISERROR(BD431))</formula>
    </cfRule>
  </conditionalFormatting>
  <conditionalFormatting sqref="BD435">
    <cfRule type="notContainsErrors" dxfId="2" priority="513">
      <formula>NOT(ISERROR(BD435))</formula>
    </cfRule>
  </conditionalFormatting>
  <conditionalFormatting sqref="BD437">
    <cfRule type="notContainsErrors" dxfId="2" priority="518">
      <formula>NOT(ISERROR(BD437))</formula>
    </cfRule>
  </conditionalFormatting>
  <conditionalFormatting sqref="BD441">
    <cfRule type="notContainsErrors" dxfId="2" priority="523">
      <formula>NOT(ISERROR(BD441))</formula>
    </cfRule>
  </conditionalFormatting>
  <conditionalFormatting sqref="BD443">
    <cfRule type="notContainsErrors" dxfId="2" priority="528">
      <formula>NOT(ISERROR(BD443))</formula>
    </cfRule>
  </conditionalFormatting>
  <conditionalFormatting sqref="BD446">
    <cfRule type="notContainsErrors" dxfId="2" priority="533">
      <formula>NOT(ISERROR(BD446))</formula>
    </cfRule>
  </conditionalFormatting>
  <conditionalFormatting sqref="BD449">
    <cfRule type="notContainsErrors" dxfId="2" priority="538">
      <formula>NOT(ISERROR(BD449))</formula>
    </cfRule>
  </conditionalFormatting>
  <conditionalFormatting sqref="BD450">
    <cfRule type="notContainsErrors" dxfId="2" priority="543">
      <formula>NOT(ISERROR(BD450))</formula>
    </cfRule>
  </conditionalFormatting>
  <conditionalFormatting sqref="BD453">
    <cfRule type="notContainsErrors" dxfId="2" priority="548">
      <formula>NOT(ISERROR(BD453))</formula>
    </cfRule>
  </conditionalFormatting>
  <conditionalFormatting sqref="BD454">
    <cfRule type="notContainsErrors" dxfId="2" priority="553">
      <formula>NOT(ISERROR(BD454))</formula>
    </cfRule>
  </conditionalFormatting>
  <conditionalFormatting sqref="BD455">
    <cfRule type="notContainsErrors" dxfId="2" priority="558">
      <formula>NOT(ISERROR(BD455))</formula>
    </cfRule>
  </conditionalFormatting>
  <conditionalFormatting sqref="BD456">
    <cfRule type="notContainsErrors" dxfId="2" priority="563">
      <formula>NOT(ISERROR(BD456))</formula>
    </cfRule>
  </conditionalFormatting>
  <conditionalFormatting sqref="BD457">
    <cfRule type="notContainsErrors" dxfId="2" priority="568">
      <formula>NOT(ISERROR(BD457))</formula>
    </cfRule>
  </conditionalFormatting>
  <conditionalFormatting sqref="BD461">
    <cfRule type="notContainsErrors" dxfId="2" priority="573">
      <formula>NOT(ISERROR(BD461))</formula>
    </cfRule>
  </conditionalFormatting>
  <conditionalFormatting sqref="BD464">
    <cfRule type="notContainsErrors" dxfId="2" priority="578">
      <formula>NOT(ISERROR(BD464))</formula>
    </cfRule>
  </conditionalFormatting>
  <conditionalFormatting sqref="BD466">
    <cfRule type="notContainsErrors" dxfId="2" priority="583">
      <formula>NOT(ISERROR(BD466))</formula>
    </cfRule>
  </conditionalFormatting>
  <conditionalFormatting sqref="BD469">
    <cfRule type="notContainsErrors" dxfId="2" priority="588">
      <formula>NOT(ISERROR(BD469))</formula>
    </cfRule>
  </conditionalFormatting>
  <conditionalFormatting sqref="BD470">
    <cfRule type="notContainsErrors" dxfId="2" priority="593">
      <formula>NOT(ISERROR(BD470))</formula>
    </cfRule>
  </conditionalFormatting>
  <conditionalFormatting sqref="BD481">
    <cfRule type="notContainsErrors" dxfId="2" priority="598">
      <formula>NOT(ISERROR(BD481))</formula>
    </cfRule>
  </conditionalFormatting>
  <conditionalFormatting sqref="BD482">
    <cfRule type="notContainsErrors" dxfId="2" priority="603">
      <formula>NOT(ISERROR(BD482))</formula>
    </cfRule>
  </conditionalFormatting>
  <conditionalFormatting sqref="BD483">
    <cfRule type="notContainsErrors" dxfId="2" priority="608">
      <formula>NOT(ISERROR(BD483))</formula>
    </cfRule>
  </conditionalFormatting>
  <conditionalFormatting sqref="BD486">
    <cfRule type="notContainsErrors" dxfId="2" priority="613">
      <formula>NOT(ISERROR(BD486))</formula>
    </cfRule>
  </conditionalFormatting>
  <conditionalFormatting sqref="BD487">
    <cfRule type="notContainsErrors" dxfId="2" priority="618">
      <formula>NOT(ISERROR(BD487))</formula>
    </cfRule>
  </conditionalFormatting>
  <conditionalFormatting sqref="BD496">
    <cfRule type="notContainsErrors" dxfId="2" priority="623">
      <formula>NOT(ISERROR(BD496))</formula>
    </cfRule>
  </conditionalFormatting>
  <conditionalFormatting sqref="BD498">
    <cfRule type="notContainsErrors" dxfId="2" priority="628">
      <formula>NOT(ISERROR(BD498))</formula>
    </cfRule>
  </conditionalFormatting>
  <conditionalFormatting sqref="BD561">
    <cfRule type="notContainsErrors" dxfId="2" priority="633">
      <formula>NOT(ISERROR(BD561))</formula>
    </cfRule>
  </conditionalFormatting>
  <conditionalFormatting sqref="BD570">
    <cfRule type="notContainsErrors" dxfId="2" priority="638">
      <formula>NOT(ISERROR(BD570))</formula>
    </cfRule>
  </conditionalFormatting>
  <conditionalFormatting sqref="BD6">
    <cfRule type="notContainsErrors" dxfId="2" priority="23">
      <formula>NOT(ISERROR(BD6))</formula>
    </cfRule>
  </conditionalFormatting>
  <conditionalFormatting sqref="BD64">
    <cfRule type="notContainsErrors" dxfId="2" priority="58">
      <formula>NOT(ISERROR(BD64))</formula>
    </cfRule>
  </conditionalFormatting>
  <conditionalFormatting sqref="BD70">
    <cfRule type="notContainsErrors" dxfId="2" priority="63">
      <formula>NOT(ISERROR(BD70))</formula>
    </cfRule>
  </conditionalFormatting>
  <conditionalFormatting sqref="BD71">
    <cfRule type="notContainsErrors" dxfId="2" priority="68">
      <formula>NOT(ISERROR(BD71))</formula>
    </cfRule>
  </conditionalFormatting>
  <conditionalFormatting sqref="BD77">
    <cfRule type="notContainsErrors" dxfId="2" priority="73">
      <formula>NOT(ISERROR(BD77))</formula>
    </cfRule>
  </conditionalFormatting>
  <conditionalFormatting sqref="BD78">
    <cfRule type="notContainsErrors" dxfId="2" priority="78">
      <formula>NOT(ISERROR(BD78))</formula>
    </cfRule>
  </conditionalFormatting>
  <conditionalFormatting sqref="BD85">
    <cfRule type="notContainsErrors" dxfId="2" priority="83">
      <formula>NOT(ISERROR(BD85))</formula>
    </cfRule>
  </conditionalFormatting>
  <conditionalFormatting sqref="BD95">
    <cfRule type="notContainsErrors" dxfId="2" priority="88">
      <formula>NOT(ISERROR(BD95))</formula>
    </cfRule>
  </conditionalFormatting>
  <conditionalFormatting sqref="BD96">
    <cfRule type="notContainsErrors" dxfId="2" priority="93">
      <formula>NOT(ISERROR(BD96))</formula>
    </cfRule>
  </conditionalFormatting>
  <conditionalFormatting sqref="BD98">
    <cfRule type="notContainsErrors" dxfId="2" priority="98">
      <formula>NOT(ISERROR(BD98))</formula>
    </cfRule>
  </conditionalFormatting>
  <conditionalFormatting sqref="BE103">
    <cfRule type="notContainsErrors" dxfId="2" priority="104">
      <formula>NOT(ISERROR(BE103))</formula>
    </cfRule>
  </conditionalFormatting>
  <conditionalFormatting sqref="BE113">
    <cfRule type="notContainsErrors" dxfId="2" priority="109">
      <formula>NOT(ISERROR(BE113))</formula>
    </cfRule>
  </conditionalFormatting>
  <conditionalFormatting sqref="BE171">
    <cfRule type="notContainsErrors" dxfId="2" priority="114">
      <formula>NOT(ISERROR(BE171))</formula>
    </cfRule>
  </conditionalFormatting>
  <conditionalFormatting sqref="BE175">
    <cfRule type="notContainsErrors" dxfId="2" priority="119">
      <formula>NOT(ISERROR(BE175))</formula>
    </cfRule>
  </conditionalFormatting>
  <conditionalFormatting sqref="BE176">
    <cfRule type="notContainsErrors" dxfId="2" priority="124">
      <formula>NOT(ISERROR(BE176))</formula>
    </cfRule>
  </conditionalFormatting>
  <conditionalFormatting sqref="BE19">
    <cfRule type="notContainsErrors" dxfId="2" priority="29">
      <formula>NOT(ISERROR(BE19))</formula>
    </cfRule>
  </conditionalFormatting>
  <conditionalFormatting sqref="BE230">
    <cfRule type="notContainsErrors" dxfId="2" priority="129">
      <formula>NOT(ISERROR(BE230))</formula>
    </cfRule>
  </conditionalFormatting>
  <conditionalFormatting sqref="BE241">
    <cfRule type="notContainsErrors" dxfId="2" priority="134">
      <formula>NOT(ISERROR(BE241))</formula>
    </cfRule>
  </conditionalFormatting>
  <conditionalFormatting sqref="BE259">
    <cfRule type="notContainsErrors" dxfId="2" priority="139">
      <formula>NOT(ISERROR(BE259))</formula>
    </cfRule>
  </conditionalFormatting>
  <conditionalFormatting sqref="BE260">
    <cfRule type="notContainsErrors" dxfId="2" priority="144">
      <formula>NOT(ISERROR(BE260))</formula>
    </cfRule>
  </conditionalFormatting>
  <conditionalFormatting sqref="BE261">
    <cfRule type="notContainsErrors" dxfId="2" priority="149">
      <formula>NOT(ISERROR(BE261))</formula>
    </cfRule>
  </conditionalFormatting>
  <conditionalFormatting sqref="BE262">
    <cfRule type="notContainsErrors" dxfId="2" priority="154">
      <formula>NOT(ISERROR(BE262))</formula>
    </cfRule>
  </conditionalFormatting>
  <conditionalFormatting sqref="BE263">
    <cfRule type="notContainsErrors" dxfId="2" priority="159">
      <formula>NOT(ISERROR(BE263))</formula>
    </cfRule>
  </conditionalFormatting>
  <conditionalFormatting sqref="BE264">
    <cfRule type="notContainsErrors" dxfId="2" priority="164">
      <formula>NOT(ISERROR(BE264))</formula>
    </cfRule>
  </conditionalFormatting>
  <conditionalFormatting sqref="BE265">
    <cfRule type="notContainsErrors" dxfId="2" priority="169">
      <formula>NOT(ISERROR(BE265))</formula>
    </cfRule>
  </conditionalFormatting>
  <conditionalFormatting sqref="BE274">
    <cfRule type="notContainsErrors" dxfId="2" priority="174">
      <formula>NOT(ISERROR(BE274))</formula>
    </cfRule>
  </conditionalFormatting>
  <conditionalFormatting sqref="BE287">
    <cfRule type="notContainsErrors" dxfId="2" priority="179">
      <formula>NOT(ISERROR(BE287))</formula>
    </cfRule>
  </conditionalFormatting>
  <conditionalFormatting sqref="BE289">
    <cfRule type="notContainsErrors" dxfId="2" priority="184">
      <formula>NOT(ISERROR(BE289))</formula>
    </cfRule>
  </conditionalFormatting>
  <conditionalFormatting sqref="BE290">
    <cfRule type="notContainsErrors" dxfId="2" priority="189">
      <formula>NOT(ISERROR(BE290))</formula>
    </cfRule>
  </conditionalFormatting>
  <conditionalFormatting sqref="BE291">
    <cfRule type="notContainsErrors" dxfId="2" priority="194">
      <formula>NOT(ISERROR(BE291))</formula>
    </cfRule>
  </conditionalFormatting>
  <conditionalFormatting sqref="BE293">
    <cfRule type="notContainsErrors" dxfId="2" priority="199">
      <formula>NOT(ISERROR(BE293))</formula>
    </cfRule>
  </conditionalFormatting>
  <conditionalFormatting sqref="BE296">
    <cfRule type="notContainsErrors" dxfId="2" priority="204">
      <formula>NOT(ISERROR(BE296))</formula>
    </cfRule>
  </conditionalFormatting>
  <conditionalFormatting sqref="BE31">
    <cfRule type="notContainsErrors" dxfId="2" priority="34">
      <formula>NOT(ISERROR(BE31))</formula>
    </cfRule>
  </conditionalFormatting>
  <conditionalFormatting sqref="BE320">
    <cfRule type="notContainsErrors" dxfId="2" priority="209">
      <formula>NOT(ISERROR(BE320))</formula>
    </cfRule>
  </conditionalFormatting>
  <conditionalFormatting sqref="BE321">
    <cfRule type="notContainsErrors" dxfId="2" priority="214">
      <formula>NOT(ISERROR(BE321))</formula>
    </cfRule>
  </conditionalFormatting>
  <conditionalFormatting sqref="BE331">
    <cfRule type="notContainsErrors" dxfId="2" priority="219">
      <formula>NOT(ISERROR(BE331))</formula>
    </cfRule>
  </conditionalFormatting>
  <conditionalFormatting sqref="BE337">
    <cfRule type="notContainsErrors" dxfId="2" priority="224">
      <formula>NOT(ISERROR(BE337))</formula>
    </cfRule>
  </conditionalFormatting>
  <conditionalFormatting sqref="BE340">
    <cfRule type="notContainsErrors" dxfId="2" priority="229">
      <formula>NOT(ISERROR(BE340))</formula>
    </cfRule>
  </conditionalFormatting>
  <conditionalFormatting sqref="BE341">
    <cfRule type="notContainsErrors" dxfId="2" priority="234">
      <formula>NOT(ISERROR(BE341))</formula>
    </cfRule>
  </conditionalFormatting>
  <conditionalFormatting sqref="BE342">
    <cfRule type="notContainsErrors" dxfId="2" priority="239">
      <formula>NOT(ISERROR(BE342))</formula>
    </cfRule>
  </conditionalFormatting>
  <conditionalFormatting sqref="BE344">
    <cfRule type="notContainsErrors" dxfId="2" priority="244">
      <formula>NOT(ISERROR(BE344))</formula>
    </cfRule>
  </conditionalFormatting>
  <conditionalFormatting sqref="BE346">
    <cfRule type="notContainsErrors" dxfId="2" priority="249">
      <formula>NOT(ISERROR(BE346))</formula>
    </cfRule>
  </conditionalFormatting>
  <conditionalFormatting sqref="BE347">
    <cfRule type="notContainsErrors" dxfId="2" priority="254">
      <formula>NOT(ISERROR(BE347))</formula>
    </cfRule>
  </conditionalFormatting>
  <conditionalFormatting sqref="BE348">
    <cfRule type="notContainsErrors" dxfId="2" priority="259">
      <formula>NOT(ISERROR(BE348))</formula>
    </cfRule>
  </conditionalFormatting>
  <conditionalFormatting sqref="BE357">
    <cfRule type="notContainsErrors" dxfId="2" priority="264">
      <formula>NOT(ISERROR(BE357))</formula>
    </cfRule>
  </conditionalFormatting>
  <conditionalFormatting sqref="BE365">
    <cfRule type="notContainsErrors" dxfId="2" priority="269">
      <formula>NOT(ISERROR(BE365))</formula>
    </cfRule>
  </conditionalFormatting>
  <conditionalFormatting sqref="BE367">
    <cfRule type="notContainsErrors" dxfId="2" priority="274">
      <formula>NOT(ISERROR(BE367))</formula>
    </cfRule>
  </conditionalFormatting>
  <conditionalFormatting sqref="BE369">
    <cfRule type="notContainsErrors" dxfId="2" priority="279">
      <formula>NOT(ISERROR(BE369))</formula>
    </cfRule>
  </conditionalFormatting>
  <conditionalFormatting sqref="BE37">
    <cfRule type="notContainsErrors" dxfId="2" priority="39">
      <formula>NOT(ISERROR(BE37))</formula>
    </cfRule>
  </conditionalFormatting>
  <conditionalFormatting sqref="BE370">
    <cfRule type="notContainsErrors" dxfId="2" priority="284">
      <formula>NOT(ISERROR(BE370))</formula>
    </cfRule>
  </conditionalFormatting>
  <conditionalFormatting sqref="BE371">
    <cfRule type="notContainsErrors" dxfId="2" priority="289">
      <formula>NOT(ISERROR(BE371))</formula>
    </cfRule>
  </conditionalFormatting>
  <conditionalFormatting sqref="BE373">
    <cfRule type="notContainsErrors" dxfId="2" priority="294">
      <formula>NOT(ISERROR(BE373))</formula>
    </cfRule>
  </conditionalFormatting>
  <conditionalFormatting sqref="BE374">
    <cfRule type="notContainsErrors" dxfId="2" priority="299">
      <formula>NOT(ISERROR(BE374))</formula>
    </cfRule>
  </conditionalFormatting>
  <conditionalFormatting sqref="BE375">
    <cfRule type="notContainsErrors" dxfId="2" priority="304">
      <formula>NOT(ISERROR(BE375))</formula>
    </cfRule>
  </conditionalFormatting>
  <conditionalFormatting sqref="BE376">
    <cfRule type="notContainsErrors" dxfId="2" priority="309">
      <formula>NOT(ISERROR(BE376))</formula>
    </cfRule>
  </conditionalFormatting>
  <conditionalFormatting sqref="BE377">
    <cfRule type="notContainsErrors" dxfId="2" priority="314">
      <formula>NOT(ISERROR(BE377))</formula>
    </cfRule>
  </conditionalFormatting>
  <conditionalFormatting sqref="BE379">
    <cfRule type="notContainsErrors" dxfId="2" priority="319">
      <formula>NOT(ISERROR(BE379))</formula>
    </cfRule>
  </conditionalFormatting>
  <conditionalFormatting sqref="BE38">
    <cfRule type="notContainsErrors" dxfId="2" priority="44">
      <formula>NOT(ISERROR(BE38))</formula>
    </cfRule>
  </conditionalFormatting>
  <conditionalFormatting sqref="BE382">
    <cfRule type="notContainsErrors" dxfId="2" priority="324">
      <formula>NOT(ISERROR(BE382))</formula>
    </cfRule>
  </conditionalFormatting>
  <conditionalFormatting sqref="BE384">
    <cfRule type="notContainsErrors" dxfId="2" priority="329">
      <formula>NOT(ISERROR(BE384))</formula>
    </cfRule>
  </conditionalFormatting>
  <conditionalFormatting sqref="BE385">
    <cfRule type="notContainsErrors" dxfId="2" priority="334">
      <formula>NOT(ISERROR(BE385))</formula>
    </cfRule>
  </conditionalFormatting>
  <conditionalFormatting sqref="BE386">
    <cfRule type="notContainsErrors" dxfId="2" priority="339">
      <formula>NOT(ISERROR(BE386))</formula>
    </cfRule>
  </conditionalFormatting>
  <conditionalFormatting sqref="BE388">
    <cfRule type="notContainsErrors" dxfId="2" priority="344">
      <formula>NOT(ISERROR(BE388))</formula>
    </cfRule>
  </conditionalFormatting>
  <conditionalFormatting sqref="BE391">
    <cfRule type="notContainsErrors" dxfId="2" priority="349">
      <formula>NOT(ISERROR(BE391))</formula>
    </cfRule>
  </conditionalFormatting>
  <conditionalFormatting sqref="BE393">
    <cfRule type="notContainsErrors" dxfId="2" priority="354">
      <formula>NOT(ISERROR(BE393))</formula>
    </cfRule>
  </conditionalFormatting>
  <conditionalFormatting sqref="BE395">
    <cfRule type="notContainsErrors" dxfId="2" priority="359">
      <formula>NOT(ISERROR(BE395))</formula>
    </cfRule>
  </conditionalFormatting>
  <conditionalFormatting sqref="BE397">
    <cfRule type="notContainsErrors" dxfId="2" priority="364">
      <formula>NOT(ISERROR(BE397))</formula>
    </cfRule>
  </conditionalFormatting>
  <conditionalFormatting sqref="BE399">
    <cfRule type="notContainsErrors" dxfId="2" priority="369">
      <formula>NOT(ISERROR(BE399))</formula>
    </cfRule>
  </conditionalFormatting>
  <conditionalFormatting sqref="BE4">
    <cfRule type="notContainsErrors" dxfId="2" priority="19">
      <formula>NOT(ISERROR(BE4))</formula>
    </cfRule>
  </conditionalFormatting>
  <conditionalFormatting sqref="BE40">
    <cfRule type="notContainsErrors" dxfId="2" priority="49">
      <formula>NOT(ISERROR(BE40))</formula>
    </cfRule>
  </conditionalFormatting>
  <conditionalFormatting sqref="BE400">
    <cfRule type="notContainsErrors" dxfId="2" priority="374">
      <formula>NOT(ISERROR(BE400))</formula>
    </cfRule>
  </conditionalFormatting>
  <conditionalFormatting sqref="BE401">
    <cfRule type="notContainsErrors" dxfId="2" priority="379">
      <formula>NOT(ISERROR(BE401))</formula>
    </cfRule>
  </conditionalFormatting>
  <conditionalFormatting sqref="BE402">
    <cfRule type="notContainsErrors" dxfId="2" priority="384">
      <formula>NOT(ISERROR(BE402))</formula>
    </cfRule>
  </conditionalFormatting>
  <conditionalFormatting sqref="BE403">
    <cfRule type="notContainsErrors" dxfId="2" priority="389">
      <formula>NOT(ISERROR(BE403))</formula>
    </cfRule>
  </conditionalFormatting>
  <conditionalFormatting sqref="BE404">
    <cfRule type="notContainsErrors" dxfId="2" priority="394">
      <formula>NOT(ISERROR(BE404))</formula>
    </cfRule>
  </conditionalFormatting>
  <conditionalFormatting sqref="BE406">
    <cfRule type="notContainsErrors" dxfId="2" priority="399">
      <formula>NOT(ISERROR(BE406))</formula>
    </cfRule>
  </conditionalFormatting>
  <conditionalFormatting sqref="BE407">
    <cfRule type="notContainsErrors" dxfId="2" priority="404">
      <formula>NOT(ISERROR(BE407))</formula>
    </cfRule>
  </conditionalFormatting>
  <conditionalFormatting sqref="BE408">
    <cfRule type="notContainsErrors" dxfId="2" priority="409">
      <formula>NOT(ISERROR(BE408))</formula>
    </cfRule>
  </conditionalFormatting>
  <conditionalFormatting sqref="BE409">
    <cfRule type="notContainsErrors" dxfId="2" priority="414">
      <formula>NOT(ISERROR(BE409))</formula>
    </cfRule>
  </conditionalFormatting>
  <conditionalFormatting sqref="BE410">
    <cfRule type="notContainsErrors" dxfId="2" priority="419">
      <formula>NOT(ISERROR(BE410))</formula>
    </cfRule>
  </conditionalFormatting>
  <conditionalFormatting sqref="BE413">
    <cfRule type="notContainsErrors" dxfId="2" priority="424">
      <formula>NOT(ISERROR(BE413))</formula>
    </cfRule>
  </conditionalFormatting>
  <conditionalFormatting sqref="BE414">
    <cfRule type="notContainsErrors" dxfId="2" priority="429">
      <formula>NOT(ISERROR(BE414))</formula>
    </cfRule>
  </conditionalFormatting>
  <conditionalFormatting sqref="BE415">
    <cfRule type="notContainsErrors" dxfId="2" priority="434">
      <formula>NOT(ISERROR(BE415))</formula>
    </cfRule>
  </conditionalFormatting>
  <conditionalFormatting sqref="BE416">
    <cfRule type="notContainsErrors" dxfId="2" priority="439">
      <formula>NOT(ISERROR(BE416))</formula>
    </cfRule>
  </conditionalFormatting>
  <conditionalFormatting sqref="BE417">
    <cfRule type="notContainsErrors" dxfId="2" priority="444">
      <formula>NOT(ISERROR(BE417))</formula>
    </cfRule>
  </conditionalFormatting>
  <conditionalFormatting sqref="BE418">
    <cfRule type="notContainsErrors" dxfId="2" priority="449">
      <formula>NOT(ISERROR(BE418))</formula>
    </cfRule>
  </conditionalFormatting>
  <conditionalFormatting sqref="BE419">
    <cfRule type="notContainsErrors" dxfId="2" priority="454">
      <formula>NOT(ISERROR(BE419))</formula>
    </cfRule>
  </conditionalFormatting>
  <conditionalFormatting sqref="BE420">
    <cfRule type="notContainsErrors" dxfId="2" priority="459">
      <formula>NOT(ISERROR(BE420))</formula>
    </cfRule>
  </conditionalFormatting>
  <conditionalFormatting sqref="BE421">
    <cfRule type="notContainsErrors" dxfId="2" priority="464">
      <formula>NOT(ISERROR(BE421))</formula>
    </cfRule>
  </conditionalFormatting>
  <conditionalFormatting sqref="BE422">
    <cfRule type="notContainsErrors" dxfId="2" priority="469">
      <formula>NOT(ISERROR(BE422))</formula>
    </cfRule>
  </conditionalFormatting>
  <conditionalFormatting sqref="BE423">
    <cfRule type="notContainsErrors" dxfId="2" priority="474">
      <formula>NOT(ISERROR(BE423))</formula>
    </cfRule>
  </conditionalFormatting>
  <conditionalFormatting sqref="BE424">
    <cfRule type="notContainsErrors" dxfId="2" priority="479">
      <formula>NOT(ISERROR(BE424))</formula>
    </cfRule>
  </conditionalFormatting>
  <conditionalFormatting sqref="BE425">
    <cfRule type="notContainsErrors" dxfId="2" priority="484">
      <formula>NOT(ISERROR(BE425))</formula>
    </cfRule>
  </conditionalFormatting>
  <conditionalFormatting sqref="BE426">
    <cfRule type="notContainsErrors" dxfId="2" priority="489">
      <formula>NOT(ISERROR(BE426))</formula>
    </cfRule>
  </conditionalFormatting>
  <conditionalFormatting sqref="BE427">
    <cfRule type="notContainsErrors" dxfId="2" priority="494">
      <formula>NOT(ISERROR(BE427))</formula>
    </cfRule>
  </conditionalFormatting>
  <conditionalFormatting sqref="BE428">
    <cfRule type="notContainsErrors" dxfId="2" priority="499">
      <formula>NOT(ISERROR(BE428))</formula>
    </cfRule>
  </conditionalFormatting>
  <conditionalFormatting sqref="BE429">
    <cfRule type="notContainsErrors" dxfId="2" priority="504">
      <formula>NOT(ISERROR(BE429))</formula>
    </cfRule>
  </conditionalFormatting>
  <conditionalFormatting sqref="BE43">
    <cfRule type="notContainsErrors" dxfId="2" priority="54">
      <formula>NOT(ISERROR(BE43))</formula>
    </cfRule>
  </conditionalFormatting>
  <conditionalFormatting sqref="BE431">
    <cfRule type="notContainsErrors" dxfId="2" priority="509">
      <formula>NOT(ISERROR(BE431))</formula>
    </cfRule>
  </conditionalFormatting>
  <conditionalFormatting sqref="BE435">
    <cfRule type="notContainsErrors" dxfId="2" priority="514">
      <formula>NOT(ISERROR(BE435))</formula>
    </cfRule>
  </conditionalFormatting>
  <conditionalFormatting sqref="BE437">
    <cfRule type="notContainsErrors" dxfId="2" priority="519">
      <formula>NOT(ISERROR(BE437))</formula>
    </cfRule>
  </conditionalFormatting>
  <conditionalFormatting sqref="BE441">
    <cfRule type="notContainsErrors" dxfId="2" priority="524">
      <formula>NOT(ISERROR(BE441))</formula>
    </cfRule>
  </conditionalFormatting>
  <conditionalFormatting sqref="BE443">
    <cfRule type="notContainsErrors" dxfId="2" priority="529">
      <formula>NOT(ISERROR(BE443))</formula>
    </cfRule>
  </conditionalFormatting>
  <conditionalFormatting sqref="BE446">
    <cfRule type="notContainsErrors" dxfId="2" priority="534">
      <formula>NOT(ISERROR(BE446))</formula>
    </cfRule>
  </conditionalFormatting>
  <conditionalFormatting sqref="BE449">
    <cfRule type="notContainsErrors" dxfId="2" priority="539">
      <formula>NOT(ISERROR(BE449))</formula>
    </cfRule>
  </conditionalFormatting>
  <conditionalFormatting sqref="BE450">
    <cfRule type="notContainsErrors" dxfId="2" priority="544">
      <formula>NOT(ISERROR(BE450))</formula>
    </cfRule>
  </conditionalFormatting>
  <conditionalFormatting sqref="BE453">
    <cfRule type="notContainsErrors" dxfId="2" priority="549">
      <formula>NOT(ISERROR(BE453))</formula>
    </cfRule>
  </conditionalFormatting>
  <conditionalFormatting sqref="BE454">
    <cfRule type="notContainsErrors" dxfId="2" priority="554">
      <formula>NOT(ISERROR(BE454))</formula>
    </cfRule>
  </conditionalFormatting>
  <conditionalFormatting sqref="BE455">
    <cfRule type="notContainsErrors" dxfId="2" priority="559">
      <formula>NOT(ISERROR(BE455))</formula>
    </cfRule>
  </conditionalFormatting>
  <conditionalFormatting sqref="BE456">
    <cfRule type="notContainsErrors" dxfId="2" priority="564">
      <formula>NOT(ISERROR(BE456))</formula>
    </cfRule>
  </conditionalFormatting>
  <conditionalFormatting sqref="BE457">
    <cfRule type="notContainsErrors" dxfId="2" priority="569">
      <formula>NOT(ISERROR(BE457))</formula>
    </cfRule>
  </conditionalFormatting>
  <conditionalFormatting sqref="BE461">
    <cfRule type="notContainsErrors" dxfId="2" priority="574">
      <formula>NOT(ISERROR(BE461))</formula>
    </cfRule>
  </conditionalFormatting>
  <conditionalFormatting sqref="BE464">
    <cfRule type="notContainsErrors" dxfId="2" priority="579">
      <formula>NOT(ISERROR(BE464))</formula>
    </cfRule>
  </conditionalFormatting>
  <conditionalFormatting sqref="BE466">
    <cfRule type="notContainsErrors" dxfId="2" priority="584">
      <formula>NOT(ISERROR(BE466))</formula>
    </cfRule>
  </conditionalFormatting>
  <conditionalFormatting sqref="BE469">
    <cfRule type="notContainsErrors" dxfId="2" priority="589">
      <formula>NOT(ISERROR(BE469))</formula>
    </cfRule>
  </conditionalFormatting>
  <conditionalFormatting sqref="BE470">
    <cfRule type="notContainsErrors" dxfId="2" priority="594">
      <formula>NOT(ISERROR(BE470))</formula>
    </cfRule>
  </conditionalFormatting>
  <conditionalFormatting sqref="BE481">
    <cfRule type="notContainsErrors" dxfId="2" priority="599">
      <formula>NOT(ISERROR(BE481))</formula>
    </cfRule>
  </conditionalFormatting>
  <conditionalFormatting sqref="BE482">
    <cfRule type="notContainsErrors" dxfId="2" priority="604">
      <formula>NOT(ISERROR(BE482))</formula>
    </cfRule>
  </conditionalFormatting>
  <conditionalFormatting sqref="BE483">
    <cfRule type="notContainsErrors" dxfId="2" priority="609">
      <formula>NOT(ISERROR(BE483))</formula>
    </cfRule>
  </conditionalFormatting>
  <conditionalFormatting sqref="BE486">
    <cfRule type="notContainsErrors" dxfId="2" priority="614">
      <formula>NOT(ISERROR(BE486))</formula>
    </cfRule>
  </conditionalFormatting>
  <conditionalFormatting sqref="BE487">
    <cfRule type="notContainsErrors" dxfId="2" priority="619">
      <formula>NOT(ISERROR(BE487))</formula>
    </cfRule>
  </conditionalFormatting>
  <conditionalFormatting sqref="BE496">
    <cfRule type="notContainsErrors" dxfId="2" priority="624">
      <formula>NOT(ISERROR(BE496))</formula>
    </cfRule>
  </conditionalFormatting>
  <conditionalFormatting sqref="BE498">
    <cfRule type="notContainsErrors" dxfId="2" priority="629">
      <formula>NOT(ISERROR(BE498))</formula>
    </cfRule>
  </conditionalFormatting>
  <conditionalFormatting sqref="BE561">
    <cfRule type="notContainsErrors" dxfId="2" priority="634">
      <formula>NOT(ISERROR(BE561))</formula>
    </cfRule>
  </conditionalFormatting>
  <conditionalFormatting sqref="BE570">
    <cfRule type="notContainsErrors" dxfId="2" priority="639">
      <formula>NOT(ISERROR(BE570))</formula>
    </cfRule>
  </conditionalFormatting>
  <conditionalFormatting sqref="BE6">
    <cfRule type="notContainsErrors" dxfId="2" priority="24">
      <formula>NOT(ISERROR(BE6))</formula>
    </cfRule>
  </conditionalFormatting>
  <conditionalFormatting sqref="BE64">
    <cfRule type="notContainsErrors" dxfId="2" priority="59">
      <formula>NOT(ISERROR(BE64))</formula>
    </cfRule>
  </conditionalFormatting>
  <conditionalFormatting sqref="BE70">
    <cfRule type="notContainsErrors" dxfId="2" priority="64">
      <formula>NOT(ISERROR(BE70))</formula>
    </cfRule>
  </conditionalFormatting>
  <conditionalFormatting sqref="BE71">
    <cfRule type="notContainsErrors" dxfId="2" priority="69">
      <formula>NOT(ISERROR(BE71))</formula>
    </cfRule>
  </conditionalFormatting>
  <conditionalFormatting sqref="BE77">
    <cfRule type="notContainsErrors" dxfId="2" priority="74">
      <formula>NOT(ISERROR(BE77))</formula>
    </cfRule>
  </conditionalFormatting>
  <conditionalFormatting sqref="BE78">
    <cfRule type="notContainsErrors" dxfId="2" priority="79">
      <formula>NOT(ISERROR(BE78))</formula>
    </cfRule>
  </conditionalFormatting>
  <conditionalFormatting sqref="BE85">
    <cfRule type="notContainsErrors" dxfId="2" priority="84">
      <formula>NOT(ISERROR(BE85))</formula>
    </cfRule>
  </conditionalFormatting>
  <conditionalFormatting sqref="BE95">
    <cfRule type="notContainsErrors" dxfId="2" priority="89">
      <formula>NOT(ISERROR(BE95))</formula>
    </cfRule>
  </conditionalFormatting>
  <conditionalFormatting sqref="BE96">
    <cfRule type="notContainsErrors" dxfId="2" priority="94">
      <formula>NOT(ISERROR(BE96))</formula>
    </cfRule>
  </conditionalFormatting>
  <conditionalFormatting sqref="BE98">
    <cfRule type="notContainsErrors" dxfId="2" priority="99">
      <formula>NOT(ISERROR(BE98))</formula>
    </cfRule>
  </conditionalFormatting>
  <conditionalFormatting sqref="X2:X587">
    <cfRule type="containsBlanks" dxfId="3" priority="1">
      <formula>LEN(TRIM(X2))=0</formula>
    </cfRule>
  </conditionalFormatting>
  <conditionalFormatting sqref="Y2:Y587">
    <cfRule type="containsBlanks" dxfId="3" priority="2">
      <formula>LEN(TRIM(Y2))=0</formula>
    </cfRule>
  </conditionalFormatting>
  <conditionalFormatting sqref="Z2:Z587">
    <cfRule type="containsBlanks" dxfId="3" priority="3">
      <formula>LEN(TRIM(Z2))=0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6"/>
  <sheetViews>
    <sheetView workbookViewId="0"/>
  </sheetViews>
  <sheetFormatPr defaultRowHeight="15"/>
  <cols>
    <col min="1" max="1" width="10.7109375" style="1" customWidth="1"/>
    <col min="2" max="2" width="8.28515625" style="1" customWidth="1"/>
    <col min="3" max="3" width="8.28515625" style="1" customWidth="1"/>
    <col min="4" max="4" width="8.28515625" style="1" customWidth="1"/>
    <col min="5" max="5" width="18.7109375" style="1" customWidth="1"/>
    <col min="6" max="6" width="8.28515625" style="1" customWidth="1"/>
    <col min="7" max="7" width="15.7109375" style="1" customWidth="1"/>
    <col min="8" max="8" width="14.42578125" style="1" customWidth="1"/>
    <col min="9" max="9" width="18.7109375" style="1" customWidth="1"/>
    <col min="10" max="10" width="8.28515625" style="1" customWidth="1"/>
    <col min="11" max="11" width="10.7109375" style="1" customWidth="1"/>
    <col min="12" max="12" width="18.7109375" style="2" customWidth="1"/>
    <col min="13" max="13" width="18.7109375" style="2" customWidth="1"/>
    <col min="14" max="14" width="18.7109375" style="2" customWidth="1"/>
    <col min="15" max="15" width="18.7109375" style="1" customWidth="1"/>
    <col min="16" max="16" width="18.7109375" style="1" customWidth="1"/>
    <col min="17" max="17" width="18.7109375" style="1" customWidth="1"/>
    <col min="18" max="18" width="18.7109375" style="1" customWidth="1"/>
    <col min="19" max="19" width="18.7109375" style="1" customWidth="1"/>
    <col min="20" max="20" width="20.7109375" style="1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1749</v>
      </c>
      <c r="M1" s="3" t="s">
        <v>878</v>
      </c>
      <c r="N1" s="3" t="s">
        <v>1750</v>
      </c>
      <c r="O1" s="3" t="s">
        <v>2284</v>
      </c>
      <c r="P1" s="3" t="s">
        <v>2285</v>
      </c>
      <c r="Q1" s="3" t="s">
        <v>2286</v>
      </c>
      <c r="R1" s="3" t="s">
        <v>23</v>
      </c>
      <c r="S1" s="3" t="s">
        <v>24</v>
      </c>
      <c r="T1" s="3" t="s">
        <v>25</v>
      </c>
    </row>
    <row r="2" spans="1:20">
      <c r="A2" s="1" t="s">
        <v>28</v>
      </c>
      <c r="B2" s="1" t="s">
        <v>612</v>
      </c>
      <c r="C2" s="1" t="s">
        <v>644</v>
      </c>
      <c r="D2" s="1" t="s">
        <v>652</v>
      </c>
      <c r="E2" s="1" t="s">
        <v>658</v>
      </c>
      <c r="F2" s="1" t="s">
        <v>831</v>
      </c>
      <c r="G2" s="1">
        <v>-76.748333</v>
      </c>
      <c r="H2" s="1">
        <v>38.00666</v>
      </c>
      <c r="I2" s="1">
        <v>8578465</v>
      </c>
      <c r="J2" s="1" t="s">
        <v>861</v>
      </c>
      <c r="K2" s="1" t="s">
        <v>866</v>
      </c>
      <c r="L2" s="2">
        <f>HYPERLINK("https://tidesandcurrents.noaa.gov/stationhome.html?id=8578465", "Station Info")</f>
        <v>0</v>
      </c>
      <c r="M2" s="2">
        <f>HYPERLINK("https://tidesandcurrents.noaa.gov/datums.html?datum=MLLW&amp;units=0&amp;epoch=0&amp;id=8578465", "Datum Info")</f>
        <v>0</v>
      </c>
      <c r="N2" s="2">
        <f>HYPERLINK("https://api.tidesandcurrents.noaa.gov/mdapi/prod/webapi/stations/8578465.json", "More Info")</f>
        <v>0</v>
      </c>
    </row>
    <row r="3" spans="1:20">
      <c r="A3" s="1" t="s">
        <v>30</v>
      </c>
      <c r="B3" s="1" t="s">
        <v>612</v>
      </c>
      <c r="C3" s="1" t="s">
        <v>644</v>
      </c>
      <c r="D3" s="1" t="s">
        <v>652</v>
      </c>
      <c r="E3" s="1" t="s">
        <v>659</v>
      </c>
      <c r="F3" s="1" t="s">
        <v>831</v>
      </c>
      <c r="G3" s="1">
        <v>-75.6858</v>
      </c>
      <c r="H3" s="1">
        <v>37.60778</v>
      </c>
      <c r="I3" s="1">
        <v>8631044</v>
      </c>
      <c r="J3" s="1" t="s">
        <v>860</v>
      </c>
      <c r="K3" s="1" t="s">
        <v>866</v>
      </c>
      <c r="L3" s="2">
        <f>HYPERLINK("https://tidesandcurrents.noaa.gov/stationhome.html?id=8631044", "Station Info")</f>
        <v>0</v>
      </c>
      <c r="M3" s="2">
        <f>HYPERLINK("https://tidesandcurrents.noaa.gov/datums.html?datum=MLLW&amp;units=0&amp;epoch=0&amp;id=8631044", "Datum Info")</f>
        <v>0</v>
      </c>
      <c r="N3" s="2">
        <f>HYPERLINK("https://api.tidesandcurrents.noaa.gov/mdapi/prod/webapi/stations/8631044.json", "More Info")</f>
        <v>0</v>
      </c>
    </row>
    <row r="4" spans="1:20">
      <c r="A4" s="1" t="s">
        <v>43</v>
      </c>
      <c r="B4" s="1" t="s">
        <v>612</v>
      </c>
      <c r="C4" s="1" t="s">
        <v>644</v>
      </c>
      <c r="D4" s="1" t="s">
        <v>652</v>
      </c>
      <c r="E4" s="1" t="s">
        <v>665</v>
      </c>
      <c r="F4" s="1" t="s">
        <v>831</v>
      </c>
      <c r="G4" s="1">
        <v>-76.315</v>
      </c>
      <c r="H4" s="1">
        <v>37.0333</v>
      </c>
      <c r="I4" s="1">
        <v>8638288</v>
      </c>
      <c r="J4" s="1" t="s">
        <v>860</v>
      </c>
      <c r="K4" s="1" t="s">
        <v>866</v>
      </c>
      <c r="L4" s="2">
        <f>HYPERLINK("https://tidesandcurrents.noaa.gov/stationhome.html?id=8638288", "Station Info")</f>
        <v>0</v>
      </c>
      <c r="M4" s="2">
        <f>HYPERLINK("https://tidesandcurrents.noaa.gov/datums.html?datum=MLLW&amp;units=0&amp;epoch=0&amp;id=8638288", "Datum Info")</f>
        <v>0</v>
      </c>
      <c r="N4" s="2">
        <f>HYPERLINK("https://api.tidesandcurrents.noaa.gov/mdapi/prod/webapi/stations/8638288.json", "More Info")</f>
        <v>0</v>
      </c>
    </row>
    <row r="5" spans="1:20">
      <c r="A5" s="1" t="s">
        <v>55</v>
      </c>
      <c r="B5" s="1" t="s">
        <v>612</v>
      </c>
      <c r="C5" s="1" t="s">
        <v>644</v>
      </c>
      <c r="D5" s="1" t="s">
        <v>652</v>
      </c>
      <c r="E5" s="1" t="s">
        <v>672</v>
      </c>
      <c r="F5" s="1" t="s">
        <v>831</v>
      </c>
      <c r="G5" s="1">
        <v>-76.38541669999999</v>
      </c>
      <c r="H5" s="1">
        <v>37.1049722</v>
      </c>
      <c r="I5" s="1" t="s">
        <v>2171</v>
      </c>
      <c r="J5" s="1" t="s">
        <v>860</v>
      </c>
      <c r="K5" s="1" t="s">
        <v>867</v>
      </c>
      <c r="L5" s="2">
        <f>HYPERLINK("https://waterdata.usgs.gov/nwis/nwismap/?site_no=0167862550&amp;agency_cd=USGS", "Station Info")</f>
        <v>0</v>
      </c>
      <c r="M5" s="2">
        <f>HYPERLINK("https://waterservices.usgs.gov/nwis/site/?site=0167862550&amp;format=rdb", "Datum Info")</f>
        <v>0</v>
      </c>
    </row>
    <row r="6" spans="1:20">
      <c r="A6" s="1" t="s">
        <v>61</v>
      </c>
      <c r="B6" s="1" t="s">
        <v>612</v>
      </c>
      <c r="C6" s="1" t="s">
        <v>645</v>
      </c>
      <c r="D6" s="1" t="s">
        <v>652</v>
      </c>
      <c r="E6" s="1" t="s">
        <v>674</v>
      </c>
      <c r="F6" s="1" t="s">
        <v>831</v>
      </c>
      <c r="G6" s="1">
        <v>-75.98399999999999</v>
      </c>
      <c r="H6" s="1">
        <v>36.67980556</v>
      </c>
      <c r="I6" s="1" t="s">
        <v>2177</v>
      </c>
      <c r="J6" s="1" t="s">
        <v>860</v>
      </c>
      <c r="K6" s="1" t="s">
        <v>867</v>
      </c>
      <c r="L6" s="2">
        <f>HYPERLINK("https://waterdata.usgs.gov/nwis/nwismap/?site_no=0204300267&amp;agency_cd=USGS", "Station Info")</f>
        <v>0</v>
      </c>
      <c r="M6" s="2">
        <f>HYPERLINK("https://waterservices.usgs.gov/nwis/site/?site=0204300267&amp;format=rdb", "Datum Info")</f>
        <v>0</v>
      </c>
    </row>
    <row r="7" spans="1:20">
      <c r="A7" s="1" t="s">
        <v>62</v>
      </c>
      <c r="B7" s="1" t="s">
        <v>612</v>
      </c>
      <c r="C7" s="1" t="s">
        <v>645</v>
      </c>
      <c r="D7" s="1" t="s">
        <v>652</v>
      </c>
      <c r="E7" s="1" t="s">
        <v>674</v>
      </c>
      <c r="F7" s="1" t="s">
        <v>831</v>
      </c>
      <c r="G7" s="1">
        <v>-76.0463333</v>
      </c>
      <c r="H7" s="1">
        <v>36.61816667</v>
      </c>
      <c r="I7" s="1" t="s">
        <v>2178</v>
      </c>
      <c r="J7" s="1" t="s">
        <v>860</v>
      </c>
      <c r="K7" s="1" t="s">
        <v>867</v>
      </c>
      <c r="L7" s="2">
        <f>HYPERLINK("https://waterdata.usgs.gov/nwis/nwismap/?site_no=02043269&amp;agency_cd=USGS", "Station Info")</f>
        <v>0</v>
      </c>
      <c r="M7" s="2">
        <f>HYPERLINK("https://waterservices.usgs.gov/nwis/site/?site=02043269&amp;format=rdb", "Datum Info")</f>
        <v>0</v>
      </c>
    </row>
    <row r="8" spans="1:20">
      <c r="A8" s="1" t="s">
        <v>64</v>
      </c>
      <c r="B8" s="1" t="s">
        <v>612</v>
      </c>
      <c r="C8" s="1" t="s">
        <v>645</v>
      </c>
      <c r="D8" s="1" t="s">
        <v>652</v>
      </c>
      <c r="E8" s="1" t="s">
        <v>675</v>
      </c>
      <c r="F8" s="1" t="s">
        <v>832</v>
      </c>
      <c r="G8" s="1">
        <v>-76.72277575</v>
      </c>
      <c r="H8" s="1">
        <v>35.91499283</v>
      </c>
      <c r="I8" s="1" t="s">
        <v>2180</v>
      </c>
      <c r="J8" s="1" t="s">
        <v>861</v>
      </c>
      <c r="K8" s="1" t="s">
        <v>867</v>
      </c>
      <c r="L8" s="2">
        <f>HYPERLINK("https://waterdata.usgs.gov/nwis/nwismap/?site_no=0208114150&amp;agency_cd=USGS", "Station Info")</f>
        <v>0</v>
      </c>
      <c r="M8" s="2">
        <f>HYPERLINK("https://waterservices.usgs.gov/nwis/site/?site=0208114150&amp;format=rdb", "Datum Info")</f>
        <v>0</v>
      </c>
    </row>
    <row r="9" spans="1:20">
      <c r="A9" s="1" t="s">
        <v>67</v>
      </c>
      <c r="B9" s="1" t="s">
        <v>614</v>
      </c>
      <c r="C9" s="1" t="s">
        <v>646</v>
      </c>
      <c r="D9" s="1" t="s">
        <v>652</v>
      </c>
      <c r="E9" s="1" t="s">
        <v>678</v>
      </c>
      <c r="F9" s="1" t="s">
        <v>834</v>
      </c>
      <c r="G9" s="1">
        <v>-71.0767</v>
      </c>
      <c r="H9" s="1">
        <v>42.7633</v>
      </c>
      <c r="I9" s="1">
        <v>8440889</v>
      </c>
      <c r="J9" s="1" t="s">
        <v>861</v>
      </c>
      <c r="K9" s="1" t="s">
        <v>866</v>
      </c>
      <c r="L9" s="2">
        <f>HYPERLINK("https://tidesandcurrents.noaa.gov/stationhome.html?id=8440889", "Station Info")</f>
        <v>0</v>
      </c>
      <c r="M9" s="2">
        <f>HYPERLINK("https://tidesandcurrents.noaa.gov/datums.html?datum=MLLW&amp;units=0&amp;epoch=0&amp;id=8440889", "Datum Info")</f>
        <v>0</v>
      </c>
      <c r="N9" s="2">
        <f>HYPERLINK("https://api.tidesandcurrents.noaa.gov/mdapi/prod/webapi/stations/8440889.json", "More Info")</f>
        <v>0</v>
      </c>
    </row>
    <row r="10" spans="1:20">
      <c r="A10" s="1" t="s">
        <v>88</v>
      </c>
      <c r="B10" s="1" t="s">
        <v>615</v>
      </c>
      <c r="D10" s="1" t="s">
        <v>652</v>
      </c>
      <c r="E10" s="1" t="s">
        <v>685</v>
      </c>
      <c r="F10" s="1" t="s">
        <v>836</v>
      </c>
      <c r="G10" s="1">
        <v>-67.1447</v>
      </c>
      <c r="H10" s="1">
        <v>45.1284</v>
      </c>
      <c r="I10" s="1">
        <v>8410834</v>
      </c>
      <c r="J10" s="1" t="s">
        <v>861</v>
      </c>
      <c r="K10" s="1" t="s">
        <v>866</v>
      </c>
      <c r="L10" s="2">
        <f>HYPERLINK("https://tidesandcurrents.noaa.gov/stationhome.html?id=8410834", "Station Info")</f>
        <v>0</v>
      </c>
      <c r="M10" s="2">
        <f>HYPERLINK("https://tidesandcurrents.noaa.gov/datums.html?datum=MLLW&amp;units=0&amp;epoch=0&amp;id=8410834", "Datum Info")</f>
        <v>0</v>
      </c>
      <c r="N10" s="2">
        <f>HYPERLINK("https://api.tidesandcurrents.noaa.gov/mdapi/prod/webapi/stations/8410834.json", "More Info")</f>
        <v>0</v>
      </c>
    </row>
    <row r="11" spans="1:20">
      <c r="A11" s="1" t="s">
        <v>94</v>
      </c>
      <c r="B11" s="1" t="s">
        <v>615</v>
      </c>
      <c r="C11" s="1" t="s">
        <v>646</v>
      </c>
      <c r="D11" s="1" t="s">
        <v>652</v>
      </c>
      <c r="E11" s="1" t="s">
        <v>685</v>
      </c>
      <c r="F11" s="1" t="s">
        <v>836</v>
      </c>
      <c r="G11" s="1">
        <v>-67.45</v>
      </c>
      <c r="H11" s="1">
        <v>44.72</v>
      </c>
      <c r="I11" s="1" t="s">
        <v>859</v>
      </c>
      <c r="J11" s="1" t="s">
        <v>861</v>
      </c>
      <c r="K11" s="1" t="s">
        <v>859</v>
      </c>
    </row>
    <row r="12" spans="1:20">
      <c r="A12" s="1" t="s">
        <v>95</v>
      </c>
      <c r="B12" s="1" t="s">
        <v>615</v>
      </c>
      <c r="C12" s="1" t="s">
        <v>646</v>
      </c>
      <c r="D12" s="1" t="s">
        <v>652</v>
      </c>
      <c r="E12" s="1" t="s">
        <v>686</v>
      </c>
      <c r="F12" s="1" t="s">
        <v>836</v>
      </c>
      <c r="G12" s="1">
        <v>-68.76777781</v>
      </c>
      <c r="H12" s="1">
        <v>44.7963797</v>
      </c>
      <c r="I12" s="1" t="s">
        <v>2185</v>
      </c>
      <c r="J12" s="1" t="s">
        <v>861</v>
      </c>
      <c r="K12" s="1" t="s">
        <v>867</v>
      </c>
      <c r="L12" s="2">
        <f>HYPERLINK("https://waterdata.usgs.gov/nwis/nwismap/?site_no=01037050&amp;agency_cd=USGS", "Station Info")</f>
        <v>0</v>
      </c>
      <c r="M12" s="2">
        <f>HYPERLINK("https://waterservices.usgs.gov/nwis/site/?site=01037050&amp;format=rdb", "Datum Info")</f>
        <v>0</v>
      </c>
    </row>
    <row r="13" spans="1:20">
      <c r="A13" s="1" t="s">
        <v>101</v>
      </c>
      <c r="B13" s="1" t="s">
        <v>616</v>
      </c>
      <c r="C13" s="1" t="s">
        <v>645</v>
      </c>
      <c r="D13" s="1" t="s">
        <v>652</v>
      </c>
      <c r="E13" s="1" t="s">
        <v>690</v>
      </c>
      <c r="F13" s="1" t="s">
        <v>838</v>
      </c>
      <c r="G13" s="1">
        <v>-81.34332999999999</v>
      </c>
      <c r="H13" s="1">
        <v>31.44666</v>
      </c>
      <c r="I13" s="1">
        <v>8675245</v>
      </c>
      <c r="J13" s="1" t="s">
        <v>861</v>
      </c>
      <c r="K13" s="1" t="s">
        <v>866</v>
      </c>
      <c r="L13" s="2">
        <f>HYPERLINK("https://tidesandcurrents.noaa.gov/stationhome.html?id=8675245", "Station Info")</f>
        <v>0</v>
      </c>
      <c r="M13" s="2">
        <f>HYPERLINK("https://tidesandcurrents.noaa.gov/datums.html?datum=MLLW&amp;units=0&amp;epoch=0&amp;id=8675245", "Datum Info")</f>
        <v>0</v>
      </c>
      <c r="N13" s="2">
        <f>HYPERLINK("https://api.tidesandcurrents.noaa.gov/mdapi/prod/webapi/stations/8675245.json", "More Info")</f>
        <v>0</v>
      </c>
    </row>
    <row r="14" spans="1:20">
      <c r="A14" s="1" t="s">
        <v>102</v>
      </c>
      <c r="B14" s="1" t="s">
        <v>616</v>
      </c>
      <c r="C14" s="1" t="s">
        <v>645</v>
      </c>
      <c r="D14" s="1" t="s">
        <v>652</v>
      </c>
      <c r="E14" s="1" t="s">
        <v>690</v>
      </c>
      <c r="F14" s="1" t="s">
        <v>838</v>
      </c>
      <c r="G14" s="1">
        <v>-81.29000000000001</v>
      </c>
      <c r="H14" s="1">
        <v>31.42</v>
      </c>
      <c r="I14" s="1">
        <v>8675365</v>
      </c>
      <c r="J14" s="1" t="s">
        <v>860</v>
      </c>
      <c r="K14" s="1" t="s">
        <v>866</v>
      </c>
      <c r="L14" s="2">
        <f>HYPERLINK("https://tidesandcurrents.noaa.gov/stationhome.html?id=8675365", "Station Info")</f>
        <v>0</v>
      </c>
      <c r="M14" s="2">
        <f>HYPERLINK("https://tidesandcurrents.noaa.gov/datums.html?datum=MLLW&amp;units=0&amp;epoch=0&amp;id=8675365", "Datum Info")</f>
        <v>0</v>
      </c>
      <c r="N14" s="2">
        <f>HYPERLINK("https://api.tidesandcurrents.noaa.gov/mdapi/prod/webapi/stations/8675365.json", "More Info")</f>
        <v>0</v>
      </c>
    </row>
    <row r="15" spans="1:20">
      <c r="A15" s="1" t="s">
        <v>109</v>
      </c>
      <c r="B15" s="1" t="s">
        <v>616</v>
      </c>
      <c r="C15" s="1" t="s">
        <v>645</v>
      </c>
      <c r="D15" s="1" t="s">
        <v>652</v>
      </c>
      <c r="E15" s="1" t="s">
        <v>690</v>
      </c>
      <c r="F15" s="1" t="s">
        <v>838</v>
      </c>
      <c r="G15" s="1">
        <v>-81.60510782</v>
      </c>
      <c r="H15" s="1">
        <v>31.42685509</v>
      </c>
      <c r="I15" s="1" t="s">
        <v>2192</v>
      </c>
      <c r="J15" s="1" t="s">
        <v>861</v>
      </c>
      <c r="K15" s="1" t="s">
        <v>867</v>
      </c>
      <c r="L15" s="2">
        <f>HYPERLINK("https://waterdata.usgs.gov/nwis/nwismap/?site_no=02226160&amp;agency_cd=USGS", "Station Info")</f>
        <v>0</v>
      </c>
      <c r="M15" s="2">
        <f>HYPERLINK("https://waterservices.usgs.gov/nwis/site/?site=02226160&amp;format=rdb", "Datum Info")</f>
        <v>0</v>
      </c>
    </row>
    <row r="16" spans="1:20">
      <c r="A16" s="1" t="s">
        <v>119</v>
      </c>
      <c r="B16" s="1" t="s">
        <v>617</v>
      </c>
      <c r="C16" s="1" t="s">
        <v>646</v>
      </c>
      <c r="D16" s="1" t="s">
        <v>652</v>
      </c>
      <c r="E16" s="1" t="s">
        <v>694</v>
      </c>
      <c r="F16" s="1" t="s">
        <v>836</v>
      </c>
      <c r="G16" s="1">
        <v>-69.66670000000001</v>
      </c>
      <c r="H16" s="1">
        <v>44</v>
      </c>
      <c r="I16" s="1">
        <v>8416921</v>
      </c>
      <c r="J16" s="1" t="s">
        <v>861</v>
      </c>
      <c r="K16" s="1" t="s">
        <v>866</v>
      </c>
      <c r="L16" s="2">
        <f>HYPERLINK("https://tidesandcurrents.noaa.gov/stationhome.html?id=8416921", "Station Info")</f>
        <v>0</v>
      </c>
      <c r="M16" s="2">
        <f>HYPERLINK("https://tidesandcurrents.noaa.gov/datums.html?datum=MLLW&amp;units=0&amp;epoch=0&amp;id=8416921", "Datum Info")</f>
        <v>0</v>
      </c>
      <c r="N16" s="2">
        <f>HYPERLINK("https://api.tidesandcurrents.noaa.gov/mdapi/prod/webapi/stations/8416921.json", "More Info")</f>
        <v>0</v>
      </c>
    </row>
    <row r="17" spans="1:14">
      <c r="A17" s="1" t="s">
        <v>120</v>
      </c>
      <c r="B17" s="1" t="s">
        <v>617</v>
      </c>
      <c r="C17" s="1" t="s">
        <v>646</v>
      </c>
      <c r="D17" s="1" t="s">
        <v>652</v>
      </c>
      <c r="E17" s="1" t="s">
        <v>695</v>
      </c>
      <c r="F17" s="1" t="s">
        <v>836</v>
      </c>
      <c r="G17" s="1">
        <v>-69.7667</v>
      </c>
      <c r="H17" s="1">
        <v>44.2333</v>
      </c>
      <c r="I17" s="1">
        <v>8417134</v>
      </c>
      <c r="J17" s="1" t="s">
        <v>861</v>
      </c>
      <c r="K17" s="1" t="s">
        <v>866</v>
      </c>
      <c r="L17" s="2">
        <f>HYPERLINK("https://tidesandcurrents.noaa.gov/stationhome.html?id=8417134", "Station Info")</f>
        <v>0</v>
      </c>
      <c r="M17" s="2">
        <f>HYPERLINK("https://tidesandcurrents.noaa.gov/datums.html?datum=MLLW&amp;units=0&amp;epoch=0&amp;id=8417134", "Datum Info")</f>
        <v>0</v>
      </c>
      <c r="N17" s="2">
        <f>HYPERLINK("https://api.tidesandcurrents.noaa.gov/mdapi/prod/webapi/stations/8417134.json", "More Info")</f>
        <v>0</v>
      </c>
    </row>
    <row r="18" spans="1:14">
      <c r="A18" s="1" t="s">
        <v>122</v>
      </c>
      <c r="B18" s="1" t="s">
        <v>617</v>
      </c>
      <c r="C18" s="1" t="s">
        <v>646</v>
      </c>
      <c r="D18" s="1" t="s">
        <v>652</v>
      </c>
      <c r="E18" s="1" t="s">
        <v>696</v>
      </c>
      <c r="F18" s="1" t="s">
        <v>836</v>
      </c>
      <c r="G18" s="1">
        <v>-69.815</v>
      </c>
      <c r="H18" s="1">
        <v>43.925</v>
      </c>
      <c r="I18" s="1">
        <v>8417227</v>
      </c>
      <c r="J18" s="1" t="s">
        <v>860</v>
      </c>
      <c r="K18" s="1" t="s">
        <v>866</v>
      </c>
      <c r="L18" s="2">
        <f>HYPERLINK("https://tidesandcurrents.noaa.gov/stationhome.html?id=8417227", "Station Info")</f>
        <v>0</v>
      </c>
      <c r="M18" s="2">
        <f>HYPERLINK("https://tidesandcurrents.noaa.gov/datums.html?datum=MLLW&amp;units=0&amp;epoch=0&amp;id=8417227", "Datum Info")</f>
        <v>0</v>
      </c>
      <c r="N18" s="2">
        <f>HYPERLINK("https://api.tidesandcurrents.noaa.gov/mdapi/prod/webapi/stations/8417227.json", "More Info")</f>
        <v>0</v>
      </c>
    </row>
    <row r="19" spans="1:14">
      <c r="A19" s="1" t="s">
        <v>127</v>
      </c>
      <c r="B19" s="1" t="s">
        <v>617</v>
      </c>
      <c r="C19" s="1" t="s">
        <v>646</v>
      </c>
      <c r="D19" s="1" t="s">
        <v>652</v>
      </c>
      <c r="E19" s="1" t="s">
        <v>663</v>
      </c>
      <c r="F19" s="1" t="s">
        <v>836</v>
      </c>
      <c r="G19" s="1">
        <v>-70.44670000000001</v>
      </c>
      <c r="H19" s="1">
        <v>43.4917</v>
      </c>
      <c r="I19" s="1">
        <v>8418828</v>
      </c>
      <c r="J19" s="1" t="s">
        <v>861</v>
      </c>
      <c r="K19" s="1" t="s">
        <v>866</v>
      </c>
      <c r="L19" s="2">
        <f>HYPERLINK("https://tidesandcurrents.noaa.gov/stationhome.html?id=8418828", "Station Info")</f>
        <v>0</v>
      </c>
      <c r="M19" s="2">
        <f>HYPERLINK("https://tidesandcurrents.noaa.gov/datums.html?datum=MLLW&amp;units=0&amp;epoch=0&amp;id=8418828", "Datum Info")</f>
        <v>0</v>
      </c>
      <c r="N19" s="2">
        <f>HYPERLINK("https://api.tidesandcurrents.noaa.gov/mdapi/prod/webapi/stations/8418828.json", "More Info")</f>
        <v>0</v>
      </c>
    </row>
    <row r="20" spans="1:14">
      <c r="A20" s="1" t="s">
        <v>137</v>
      </c>
      <c r="B20" s="1" t="s">
        <v>617</v>
      </c>
      <c r="C20" s="1" t="s">
        <v>646</v>
      </c>
      <c r="D20" s="1" t="s">
        <v>652</v>
      </c>
      <c r="E20" s="1" t="s">
        <v>695</v>
      </c>
      <c r="F20" s="1" t="s">
        <v>836</v>
      </c>
      <c r="G20" s="1">
        <v>-69.78819412</v>
      </c>
      <c r="H20" s="1">
        <v>44.28679649</v>
      </c>
      <c r="I20" s="1" t="s">
        <v>2193</v>
      </c>
      <c r="J20" s="1" t="s">
        <v>861</v>
      </c>
      <c r="K20" s="1" t="s">
        <v>867</v>
      </c>
      <c r="L20" s="2">
        <f>HYPERLINK("https://waterdata.usgs.gov/nwis/nwismap/?site_no=01049330&amp;agency_cd=USGS", "Station Info")</f>
        <v>0</v>
      </c>
      <c r="M20" s="2">
        <f>HYPERLINK("https://waterservices.usgs.gov/nwis/site/?site=01049330&amp;format=rdb", "Datum Info")</f>
        <v>0</v>
      </c>
    </row>
    <row r="21" spans="1:14">
      <c r="A21" s="1" t="s">
        <v>195</v>
      </c>
      <c r="B21" s="1" t="s">
        <v>620</v>
      </c>
      <c r="C21" s="1" t="s">
        <v>645</v>
      </c>
      <c r="D21" s="1" t="s">
        <v>652</v>
      </c>
      <c r="E21" s="1" t="s">
        <v>716</v>
      </c>
      <c r="F21" s="1" t="s">
        <v>832</v>
      </c>
      <c r="G21" s="1">
        <v>-76.25</v>
      </c>
      <c r="H21" s="1">
        <v>35.92</v>
      </c>
      <c r="I21" s="1" t="s">
        <v>859</v>
      </c>
      <c r="J21" s="1" t="s">
        <v>861</v>
      </c>
      <c r="K21" s="1" t="s">
        <v>859</v>
      </c>
    </row>
    <row r="22" spans="1:14">
      <c r="A22" s="1" t="s">
        <v>199</v>
      </c>
      <c r="B22" s="1" t="s">
        <v>620</v>
      </c>
      <c r="C22" s="1" t="s">
        <v>645</v>
      </c>
      <c r="D22" s="1" t="s">
        <v>652</v>
      </c>
      <c r="E22" s="1" t="s">
        <v>717</v>
      </c>
      <c r="F22" s="1" t="s">
        <v>832</v>
      </c>
      <c r="G22" s="1">
        <v>-77.17583</v>
      </c>
      <c r="H22" s="1">
        <v>35.57389</v>
      </c>
      <c r="I22" s="1" t="s">
        <v>859</v>
      </c>
      <c r="J22" s="1" t="s">
        <v>861</v>
      </c>
      <c r="K22" s="1" t="s">
        <v>859</v>
      </c>
    </row>
    <row r="23" spans="1:14">
      <c r="A23" s="1" t="s">
        <v>200</v>
      </c>
      <c r="B23" s="1" t="s">
        <v>620</v>
      </c>
      <c r="C23" s="1" t="s">
        <v>645</v>
      </c>
      <c r="D23" s="1" t="s">
        <v>652</v>
      </c>
      <c r="E23" s="1" t="s">
        <v>718</v>
      </c>
      <c r="F23" s="1" t="s">
        <v>832</v>
      </c>
      <c r="G23" s="1">
        <v>-76.923</v>
      </c>
      <c r="H23" s="1">
        <v>34.891</v>
      </c>
      <c r="I23" s="1" t="s">
        <v>859</v>
      </c>
      <c r="J23" s="1" t="s">
        <v>861</v>
      </c>
      <c r="K23" s="1" t="s">
        <v>859</v>
      </c>
    </row>
    <row r="24" spans="1:14">
      <c r="A24" s="1" t="s">
        <v>254</v>
      </c>
      <c r="B24" s="1" t="s">
        <v>622</v>
      </c>
      <c r="C24" s="1" t="s">
        <v>644</v>
      </c>
      <c r="D24" s="1" t="s">
        <v>652</v>
      </c>
      <c r="E24" s="1" t="s">
        <v>731</v>
      </c>
      <c r="F24" s="1" t="s">
        <v>842</v>
      </c>
      <c r="G24" s="1">
        <v>-74.5</v>
      </c>
      <c r="H24" s="1">
        <v>39.4233</v>
      </c>
      <c r="I24" s="1">
        <v>8534540</v>
      </c>
      <c r="J24" s="1" t="s">
        <v>860</v>
      </c>
      <c r="K24" s="1" t="s">
        <v>866</v>
      </c>
      <c r="L24" s="2">
        <f>HYPERLINK("https://tidesandcurrents.noaa.gov/stationhome.html?id=8534540", "Station Info")</f>
        <v>0</v>
      </c>
      <c r="M24" s="2">
        <f>HYPERLINK("https://tidesandcurrents.noaa.gov/datums.html?datum=MLLW&amp;units=0&amp;epoch=0&amp;id=8534540", "Datum Info")</f>
        <v>0</v>
      </c>
      <c r="N24" s="2">
        <f>HYPERLINK("https://api.tidesandcurrents.noaa.gov/mdapi/prod/webapi/stations/8534540.json", "More Info")</f>
        <v>0</v>
      </c>
    </row>
    <row r="25" spans="1:14">
      <c r="A25" s="1" t="s">
        <v>265</v>
      </c>
      <c r="B25" s="1" t="s">
        <v>622</v>
      </c>
      <c r="C25" s="1" t="s">
        <v>644</v>
      </c>
      <c r="D25" s="1" t="s">
        <v>652</v>
      </c>
      <c r="E25" s="1" t="s">
        <v>733</v>
      </c>
      <c r="F25" s="1" t="s">
        <v>842</v>
      </c>
      <c r="G25" s="1">
        <v>-75.34999999999999</v>
      </c>
      <c r="H25" s="1">
        <v>39.3833</v>
      </c>
      <c r="I25" s="1">
        <v>8537374</v>
      </c>
      <c r="J25" s="1" t="s">
        <v>860</v>
      </c>
      <c r="K25" s="1" t="s">
        <v>866</v>
      </c>
      <c r="L25" s="2">
        <f>HYPERLINK("https://tidesandcurrents.noaa.gov/stationhome.html?id=8537374", "Station Info")</f>
        <v>0</v>
      </c>
      <c r="M25" s="2">
        <f>HYPERLINK("https://tidesandcurrents.noaa.gov/datums.html?datum=MLLW&amp;units=0&amp;epoch=0&amp;id=8537374", "Datum Info")</f>
        <v>0</v>
      </c>
      <c r="N25" s="2">
        <f>HYPERLINK("https://api.tidesandcurrents.noaa.gov/mdapi/prod/webapi/stations/8537374.json", "More Info")</f>
        <v>0</v>
      </c>
    </row>
    <row r="26" spans="1:14">
      <c r="A26" s="1" t="s">
        <v>283</v>
      </c>
      <c r="B26" s="1" t="s">
        <v>622</v>
      </c>
      <c r="C26" s="1" t="s">
        <v>644</v>
      </c>
      <c r="D26" s="1" t="s">
        <v>652</v>
      </c>
      <c r="E26" s="1" t="s">
        <v>731</v>
      </c>
      <c r="F26" s="1" t="s">
        <v>842</v>
      </c>
      <c r="G26" s="1">
        <v>-74.52055405999999</v>
      </c>
      <c r="H26" s="1">
        <v>39.4302698</v>
      </c>
      <c r="I26" s="1" t="s">
        <v>2207</v>
      </c>
      <c r="J26" s="1" t="s">
        <v>864</v>
      </c>
      <c r="K26" s="1" t="s">
        <v>867</v>
      </c>
      <c r="L26" s="2">
        <f>HYPERLINK("https://waterdata.usgs.gov/nwis/nwismap/?site_no=01410500&amp;agency_cd=USGS", "Station Info")</f>
        <v>0</v>
      </c>
      <c r="M26" s="2">
        <f>HYPERLINK("https://waterservices.usgs.gov/nwis/site/?site=01410500&amp;format=rdb", "Datum Info")</f>
        <v>0</v>
      </c>
    </row>
    <row r="27" spans="1:14">
      <c r="A27" s="1" t="s">
        <v>284</v>
      </c>
      <c r="B27" s="1" t="s">
        <v>622</v>
      </c>
      <c r="C27" s="1" t="s">
        <v>644</v>
      </c>
      <c r="D27" s="1" t="s">
        <v>652</v>
      </c>
      <c r="E27" s="1" t="s">
        <v>734</v>
      </c>
      <c r="F27" s="1" t="s">
        <v>843</v>
      </c>
      <c r="G27" s="1">
        <v>-75.18030382000001</v>
      </c>
      <c r="H27" s="1">
        <v>39.95663082</v>
      </c>
      <c r="I27" s="1" t="s">
        <v>2208</v>
      </c>
      <c r="J27" s="1" t="s">
        <v>861</v>
      </c>
      <c r="K27" s="1" t="s">
        <v>867</v>
      </c>
      <c r="L27" s="2">
        <f>HYPERLINK("https://waterdata.usgs.gov/nwis/nwismap/?site_no=01474501&amp;agency_cd=USGS", "Station Info")</f>
        <v>0</v>
      </c>
      <c r="M27" s="2">
        <f>HYPERLINK("https://waterservices.usgs.gov/nwis/site/?site=01474501&amp;format=rdb", "Datum Info")</f>
        <v>0</v>
      </c>
    </row>
    <row r="28" spans="1:14">
      <c r="A28" s="1" t="s">
        <v>285</v>
      </c>
      <c r="B28" s="1" t="s">
        <v>623</v>
      </c>
      <c r="D28" s="1" t="s">
        <v>653</v>
      </c>
      <c r="G28" s="1">
        <v>-157.832</v>
      </c>
      <c r="H28" s="1">
        <v>21.2882</v>
      </c>
      <c r="I28" s="1" t="s">
        <v>859</v>
      </c>
      <c r="J28" s="1" t="s">
        <v>861</v>
      </c>
      <c r="K28" s="1" t="s">
        <v>859</v>
      </c>
    </row>
    <row r="29" spans="1:14">
      <c r="A29" s="1" t="s">
        <v>286</v>
      </c>
      <c r="B29" s="1" t="s">
        <v>623</v>
      </c>
      <c r="C29" s="1" t="s">
        <v>647</v>
      </c>
      <c r="D29" s="1" t="s">
        <v>653</v>
      </c>
      <c r="E29" s="1" t="s">
        <v>740</v>
      </c>
      <c r="F29" s="1" t="s">
        <v>845</v>
      </c>
      <c r="G29" s="1">
        <v>-158.1035</v>
      </c>
      <c r="H29" s="1">
        <v>21.5936</v>
      </c>
      <c r="I29" s="1" t="s">
        <v>859</v>
      </c>
      <c r="J29" s="1" t="s">
        <v>861</v>
      </c>
      <c r="K29" s="1" t="s">
        <v>859</v>
      </c>
    </row>
    <row r="30" spans="1:14">
      <c r="A30" s="1" t="s">
        <v>287</v>
      </c>
      <c r="B30" s="1" t="s">
        <v>623</v>
      </c>
      <c r="C30" s="1" t="s">
        <v>647</v>
      </c>
      <c r="D30" s="1" t="s">
        <v>653</v>
      </c>
      <c r="E30" s="1" t="s">
        <v>740</v>
      </c>
      <c r="F30" s="1" t="s">
        <v>845</v>
      </c>
      <c r="G30" s="1">
        <v>-157.8937</v>
      </c>
      <c r="H30" s="1">
        <v>21.3354</v>
      </c>
      <c r="I30" s="1" t="s">
        <v>859</v>
      </c>
      <c r="J30" s="1" t="s">
        <v>861</v>
      </c>
      <c r="K30" s="1" t="s">
        <v>859</v>
      </c>
    </row>
    <row r="31" spans="1:14">
      <c r="A31" s="1" t="s">
        <v>288</v>
      </c>
      <c r="B31" s="1" t="s">
        <v>623</v>
      </c>
      <c r="C31" s="1" t="s">
        <v>647</v>
      </c>
      <c r="D31" s="1" t="s">
        <v>653</v>
      </c>
      <c r="E31" s="1" t="s">
        <v>740</v>
      </c>
      <c r="F31" s="1" t="s">
        <v>845</v>
      </c>
      <c r="G31" s="1">
        <v>-158.1052</v>
      </c>
      <c r="H31" s="1">
        <v>21.5798</v>
      </c>
      <c r="I31" s="1" t="s">
        <v>859</v>
      </c>
      <c r="J31" s="1" t="s">
        <v>861</v>
      </c>
      <c r="K31" s="1" t="s">
        <v>859</v>
      </c>
    </row>
    <row r="32" spans="1:14">
      <c r="A32" s="1" t="s">
        <v>289</v>
      </c>
      <c r="B32" s="1" t="s">
        <v>623</v>
      </c>
      <c r="C32" s="1" t="s">
        <v>647</v>
      </c>
      <c r="D32" s="1" t="s">
        <v>653</v>
      </c>
      <c r="E32" s="1" t="s">
        <v>741</v>
      </c>
      <c r="F32" s="1" t="s">
        <v>845</v>
      </c>
      <c r="G32" s="1">
        <v>-159.3389</v>
      </c>
      <c r="H32" s="1">
        <v>22.046</v>
      </c>
      <c r="I32" s="1" t="s">
        <v>859</v>
      </c>
      <c r="J32" s="1" t="s">
        <v>861</v>
      </c>
      <c r="K32" s="1" t="s">
        <v>859</v>
      </c>
    </row>
    <row r="33" spans="1:13">
      <c r="A33" s="1" t="s">
        <v>298</v>
      </c>
      <c r="B33" s="1" t="s">
        <v>624</v>
      </c>
      <c r="C33" s="1" t="s">
        <v>648</v>
      </c>
      <c r="D33" s="1" t="s">
        <v>654</v>
      </c>
      <c r="E33" s="1" t="s">
        <v>742</v>
      </c>
      <c r="F33" s="1" t="s">
        <v>846</v>
      </c>
      <c r="G33" s="1">
        <v>-97.194</v>
      </c>
      <c r="H33" s="1">
        <v>25.979</v>
      </c>
      <c r="I33" s="1" t="s">
        <v>859</v>
      </c>
      <c r="J33" s="1" t="s">
        <v>861</v>
      </c>
      <c r="K33" s="1" t="s">
        <v>859</v>
      </c>
    </row>
    <row r="34" spans="1:13">
      <c r="A34" s="1" t="s">
        <v>311</v>
      </c>
      <c r="B34" s="1" t="s">
        <v>626</v>
      </c>
      <c r="C34" s="1" t="s">
        <v>648</v>
      </c>
      <c r="D34" s="1" t="s">
        <v>654</v>
      </c>
      <c r="E34" s="1" t="s">
        <v>744</v>
      </c>
      <c r="F34" s="1" t="s">
        <v>846</v>
      </c>
      <c r="G34" s="1">
        <v>-95.1211</v>
      </c>
      <c r="H34" s="1">
        <v>29.5114</v>
      </c>
      <c r="I34" s="1">
        <v>110</v>
      </c>
      <c r="J34" s="1" t="s">
        <v>861</v>
      </c>
      <c r="K34" s="1" t="s">
        <v>868</v>
      </c>
    </row>
    <row r="35" spans="1:13">
      <c r="A35" s="1" t="s">
        <v>313</v>
      </c>
      <c r="B35" s="1" t="s">
        <v>626</v>
      </c>
      <c r="C35" s="1" t="s">
        <v>648</v>
      </c>
      <c r="D35" s="1" t="s">
        <v>654</v>
      </c>
      <c r="E35" s="1" t="s">
        <v>744</v>
      </c>
      <c r="F35" s="1" t="s">
        <v>846</v>
      </c>
      <c r="G35" s="1">
        <v>-95.22795000000001</v>
      </c>
      <c r="H35" s="1">
        <v>29.77162</v>
      </c>
      <c r="I35" s="1">
        <v>820</v>
      </c>
      <c r="J35" s="1" t="s">
        <v>861</v>
      </c>
      <c r="K35" s="1" t="s">
        <v>868</v>
      </c>
    </row>
    <row r="36" spans="1:13">
      <c r="A36" s="1" t="s">
        <v>314</v>
      </c>
      <c r="B36" s="1" t="s">
        <v>626</v>
      </c>
      <c r="C36" s="1" t="s">
        <v>648</v>
      </c>
      <c r="D36" s="1" t="s">
        <v>654</v>
      </c>
      <c r="E36" s="1" t="s">
        <v>744</v>
      </c>
      <c r="F36" s="1" t="s">
        <v>846</v>
      </c>
      <c r="G36" s="1">
        <v>-95.20014</v>
      </c>
      <c r="H36" s="1">
        <v>29.70549</v>
      </c>
      <c r="I36" s="1">
        <v>940</v>
      </c>
      <c r="J36" s="1" t="s">
        <v>861</v>
      </c>
      <c r="K36" s="1" t="s">
        <v>868</v>
      </c>
    </row>
    <row r="37" spans="1:13">
      <c r="A37" s="1" t="s">
        <v>315</v>
      </c>
      <c r="B37" s="1" t="s">
        <v>626</v>
      </c>
      <c r="C37" s="1" t="s">
        <v>648</v>
      </c>
      <c r="D37" s="1" t="s">
        <v>654</v>
      </c>
      <c r="E37" s="1" t="s">
        <v>744</v>
      </c>
      <c r="F37" s="1" t="s">
        <v>846</v>
      </c>
      <c r="G37" s="1">
        <v>-95.14901999999999</v>
      </c>
      <c r="H37" s="1">
        <v>29.77154</v>
      </c>
      <c r="I37" s="1">
        <v>1420</v>
      </c>
      <c r="J37" s="1" t="s">
        <v>861</v>
      </c>
      <c r="K37" s="1" t="s">
        <v>868</v>
      </c>
    </row>
    <row r="38" spans="1:13">
      <c r="A38" s="1" t="s">
        <v>317</v>
      </c>
      <c r="B38" s="1" t="s">
        <v>626</v>
      </c>
      <c r="C38" s="1" t="s">
        <v>648</v>
      </c>
      <c r="D38" s="1" t="s">
        <v>654</v>
      </c>
      <c r="E38" s="1" t="s">
        <v>744</v>
      </c>
      <c r="F38" s="1" t="s">
        <v>846</v>
      </c>
      <c r="G38" s="1">
        <v>-95.20645</v>
      </c>
      <c r="H38" s="1">
        <v>29.77602</v>
      </c>
      <c r="I38" s="1">
        <v>1610</v>
      </c>
      <c r="J38" s="1" t="s">
        <v>861</v>
      </c>
      <c r="K38" s="1" t="s">
        <v>868</v>
      </c>
    </row>
    <row r="39" spans="1:13">
      <c r="A39" s="1" t="s">
        <v>320</v>
      </c>
      <c r="B39" s="1" t="s">
        <v>626</v>
      </c>
      <c r="C39" s="1" t="s">
        <v>648</v>
      </c>
      <c r="D39" s="1" t="s">
        <v>654</v>
      </c>
      <c r="E39" s="1" t="s">
        <v>745</v>
      </c>
      <c r="F39" s="1" t="s">
        <v>846</v>
      </c>
      <c r="G39" s="1">
        <v>-95.0478</v>
      </c>
      <c r="H39" s="1">
        <v>29.4565</v>
      </c>
      <c r="I39" s="1">
        <v>5350</v>
      </c>
      <c r="J39" s="1" t="s">
        <v>861</v>
      </c>
      <c r="K39" s="1" t="s">
        <v>868</v>
      </c>
    </row>
    <row r="40" spans="1:13">
      <c r="A40" s="1" t="s">
        <v>344</v>
      </c>
      <c r="B40" s="1" t="s">
        <v>626</v>
      </c>
      <c r="C40" s="1" t="s">
        <v>648</v>
      </c>
      <c r="D40" s="1" t="s">
        <v>654</v>
      </c>
      <c r="E40" s="1" t="s">
        <v>744</v>
      </c>
      <c r="F40" s="1" t="s">
        <v>846</v>
      </c>
      <c r="G40" s="1">
        <v>-95.09381196</v>
      </c>
      <c r="H40" s="1">
        <v>29.87632903</v>
      </c>
      <c r="I40" s="1" t="s">
        <v>2210</v>
      </c>
      <c r="J40" s="1" t="s">
        <v>861</v>
      </c>
      <c r="K40" s="1" t="s">
        <v>867</v>
      </c>
      <c r="L40" s="2">
        <f>HYPERLINK("https://waterdata.usgs.gov/nwis/nwismap/?site_no=08072050&amp;agency_cd=USGS", "Station Info")</f>
        <v>0</v>
      </c>
      <c r="M40" s="2">
        <f>HYPERLINK("https://waterservices.usgs.gov/nwis/site/?site=08072050&amp;format=rdb", "Datum Info")</f>
        <v>0</v>
      </c>
    </row>
    <row r="41" spans="1:13">
      <c r="A41" s="1" t="s">
        <v>345</v>
      </c>
      <c r="B41" s="1" t="s">
        <v>626</v>
      </c>
      <c r="C41" s="1" t="s">
        <v>648</v>
      </c>
      <c r="D41" s="1" t="s">
        <v>654</v>
      </c>
      <c r="E41" s="1" t="s">
        <v>744</v>
      </c>
      <c r="F41" s="1" t="s">
        <v>846</v>
      </c>
      <c r="G41" s="1">
        <v>-95.28937372</v>
      </c>
      <c r="H41" s="1">
        <v>29.67439169</v>
      </c>
      <c r="I41" s="1" t="s">
        <v>2211</v>
      </c>
      <c r="J41" s="1" t="s">
        <v>861</v>
      </c>
      <c r="K41" s="1" t="s">
        <v>867</v>
      </c>
      <c r="L41" s="2">
        <f>HYPERLINK("https://waterdata.usgs.gov/nwis/nwismap/?site_no=08075500&amp;agency_cd=USGS", "Station Info")</f>
        <v>0</v>
      </c>
      <c r="M41" s="2">
        <f>HYPERLINK("https://waterservices.usgs.gov/nwis/site/?site=08075500&amp;format=rdb", "Datum Info")</f>
        <v>0</v>
      </c>
    </row>
    <row r="42" spans="1:13">
      <c r="A42" s="1" t="s">
        <v>355</v>
      </c>
      <c r="B42" s="1" t="s">
        <v>627</v>
      </c>
      <c r="C42" s="1" t="s">
        <v>645</v>
      </c>
      <c r="D42" s="1" t="s">
        <v>654</v>
      </c>
      <c r="E42" s="1" t="s">
        <v>751</v>
      </c>
      <c r="F42" s="1" t="s">
        <v>838</v>
      </c>
      <c r="G42" s="1">
        <v>-81.7268578</v>
      </c>
      <c r="H42" s="1">
        <v>30.97488298</v>
      </c>
      <c r="I42" s="1" t="s">
        <v>2214</v>
      </c>
      <c r="J42" s="1" t="s">
        <v>861</v>
      </c>
      <c r="K42" s="1" t="s">
        <v>867</v>
      </c>
      <c r="L42" s="2">
        <f>HYPERLINK("https://waterdata.usgs.gov/nwis/nwismap/?site_no=02228070&amp;agency_cd=USGS", "Station Info")</f>
        <v>0</v>
      </c>
      <c r="M42" s="2">
        <f>HYPERLINK("https://waterservices.usgs.gov/nwis/site/?site=02228070&amp;format=rdb", "Datum Info")</f>
        <v>0</v>
      </c>
    </row>
    <row r="43" spans="1:13">
      <c r="A43" s="1" t="s">
        <v>361</v>
      </c>
      <c r="B43" s="1" t="s">
        <v>627</v>
      </c>
      <c r="C43" s="1" t="s">
        <v>645</v>
      </c>
      <c r="D43" s="1" t="s">
        <v>654</v>
      </c>
      <c r="E43" s="1" t="s">
        <v>750</v>
      </c>
      <c r="F43" s="1" t="s">
        <v>847</v>
      </c>
      <c r="G43" s="1">
        <v>-81.48436352</v>
      </c>
      <c r="H43" s="1">
        <v>29.72337494</v>
      </c>
      <c r="I43" s="1" t="s">
        <v>2220</v>
      </c>
      <c r="J43" s="1" t="s">
        <v>861</v>
      </c>
      <c r="K43" s="1" t="s">
        <v>867</v>
      </c>
      <c r="L43" s="2">
        <f>HYPERLINK("https://waterdata.usgs.gov/nwis/nwismap/?site_no=02245260&amp;agency_cd=USGS", "Station Info")</f>
        <v>0</v>
      </c>
      <c r="M43" s="2">
        <f>HYPERLINK("https://waterservices.usgs.gov/nwis/site/?site=02245260&amp;format=rdb", "Datum Info")</f>
        <v>0</v>
      </c>
    </row>
    <row r="44" spans="1:13">
      <c r="A44" s="1" t="s">
        <v>364</v>
      </c>
      <c r="B44" s="1" t="s">
        <v>627</v>
      </c>
      <c r="C44" s="1" t="s">
        <v>645</v>
      </c>
      <c r="D44" s="1" t="s">
        <v>654</v>
      </c>
      <c r="E44" s="1" t="s">
        <v>749</v>
      </c>
      <c r="F44" s="1" t="s">
        <v>847</v>
      </c>
      <c r="G44" s="1">
        <v>-81.55589678</v>
      </c>
      <c r="H44" s="1">
        <v>30.14332484</v>
      </c>
      <c r="I44" s="1" t="s">
        <v>2223</v>
      </c>
      <c r="J44" s="1" t="s">
        <v>861</v>
      </c>
      <c r="K44" s="1" t="s">
        <v>867</v>
      </c>
      <c r="L44" s="2">
        <f>HYPERLINK("https://waterdata.usgs.gov/nwis/nwismap/?site_no=02246160&amp;agency_cd=USGS", "Station Info")</f>
        <v>0</v>
      </c>
      <c r="M44" s="2">
        <f>HYPERLINK("https://waterservices.usgs.gov/nwis/site/?site=02246160&amp;format=rdb", "Datum Info")</f>
        <v>0</v>
      </c>
    </row>
    <row r="45" spans="1:13">
      <c r="A45" s="1" t="s">
        <v>365</v>
      </c>
      <c r="B45" s="1" t="s">
        <v>627</v>
      </c>
      <c r="C45" s="1" t="s">
        <v>645</v>
      </c>
      <c r="D45" s="1" t="s">
        <v>654</v>
      </c>
      <c r="E45" s="1" t="s">
        <v>749</v>
      </c>
      <c r="F45" s="1" t="s">
        <v>847</v>
      </c>
      <c r="G45" s="1">
        <v>-81.54638568</v>
      </c>
      <c r="H45" s="1">
        <v>30.11916096</v>
      </c>
      <c r="I45" s="1" t="s">
        <v>2224</v>
      </c>
      <c r="J45" s="1" t="s">
        <v>861</v>
      </c>
      <c r="K45" s="1" t="s">
        <v>867</v>
      </c>
      <c r="L45" s="2">
        <f>HYPERLINK("https://waterdata.usgs.gov/nwis/nwismap/?site_no=022462002&amp;agency_cd=USGS", "Station Info")</f>
        <v>0</v>
      </c>
      <c r="M45" s="2">
        <f>HYPERLINK("https://waterservices.usgs.gov/nwis/site/?site=022462002&amp;format=rdb", "Datum Info")</f>
        <v>0</v>
      </c>
    </row>
    <row r="46" spans="1:13">
      <c r="A46" s="1" t="s">
        <v>366</v>
      </c>
      <c r="B46" s="1" t="s">
        <v>627</v>
      </c>
      <c r="C46" s="1" t="s">
        <v>645</v>
      </c>
      <c r="D46" s="1" t="s">
        <v>654</v>
      </c>
      <c r="E46" s="1" t="s">
        <v>749</v>
      </c>
      <c r="F46" s="1" t="s">
        <v>847</v>
      </c>
      <c r="G46" s="1">
        <v>-81.74037282</v>
      </c>
      <c r="H46" s="1">
        <v>30.282178</v>
      </c>
      <c r="I46" s="1" t="s">
        <v>2225</v>
      </c>
      <c r="J46" s="1" t="s">
        <v>861</v>
      </c>
      <c r="K46" s="1" t="s">
        <v>867</v>
      </c>
      <c r="L46" s="2">
        <f>HYPERLINK("https://waterdata.usgs.gov/nwis/nwismap/?site_no=02246459&amp;agency_cd=USGS", "Station Info")</f>
        <v>0</v>
      </c>
      <c r="M46" s="2">
        <f>HYPERLINK("https://waterservices.usgs.gov/nwis/site/?site=02246459&amp;format=rdb", "Datum Info")</f>
        <v>0</v>
      </c>
    </row>
    <row r="47" spans="1:13">
      <c r="A47" s="1" t="s">
        <v>368</v>
      </c>
      <c r="B47" s="1" t="s">
        <v>627</v>
      </c>
      <c r="C47" s="1" t="s">
        <v>645</v>
      </c>
      <c r="D47" s="1" t="s">
        <v>654</v>
      </c>
      <c r="E47" s="1" t="s">
        <v>749</v>
      </c>
      <c r="F47" s="1" t="s">
        <v>847</v>
      </c>
      <c r="G47" s="1">
        <v>-81.56999677</v>
      </c>
      <c r="H47" s="1">
        <v>30.28696369</v>
      </c>
      <c r="I47" s="1" t="s">
        <v>2227</v>
      </c>
      <c r="J47" s="1" t="s">
        <v>861</v>
      </c>
      <c r="K47" s="1" t="s">
        <v>867</v>
      </c>
      <c r="L47" s="2">
        <f>HYPERLINK("https://waterdata.usgs.gov/nwis/nwismap/?site_no=02246518&amp;agency_cd=USGS", "Station Info")</f>
        <v>0</v>
      </c>
      <c r="M47" s="2">
        <f>HYPERLINK("https://waterservices.usgs.gov/nwis/site/?site=02246518&amp;format=rdb", "Datum Info")</f>
        <v>0</v>
      </c>
    </row>
    <row r="48" spans="1:13">
      <c r="A48" s="1" t="s">
        <v>370</v>
      </c>
      <c r="B48" s="1" t="s">
        <v>627</v>
      </c>
      <c r="C48" s="1" t="s">
        <v>645</v>
      </c>
      <c r="D48" s="1" t="s">
        <v>654</v>
      </c>
      <c r="E48" s="1" t="s">
        <v>749</v>
      </c>
      <c r="F48" s="1" t="s">
        <v>847</v>
      </c>
      <c r="G48" s="1">
        <v>-81.59688565</v>
      </c>
      <c r="H48" s="1">
        <v>30.45493588</v>
      </c>
      <c r="I48" s="1" t="s">
        <v>2229</v>
      </c>
      <c r="J48" s="1" t="s">
        <v>861</v>
      </c>
      <c r="K48" s="1" t="s">
        <v>867</v>
      </c>
      <c r="L48" s="2">
        <f>HYPERLINK("https://waterdata.usgs.gov/nwis/nwismap/?site_no=02246804&amp;agency_cd=USGS", "Station Info")</f>
        <v>0</v>
      </c>
      <c r="M48" s="2">
        <f>HYPERLINK("https://waterservices.usgs.gov/nwis/site/?site=02246804&amp;format=rdb", "Datum Info")</f>
        <v>0</v>
      </c>
    </row>
    <row r="49" spans="1:14">
      <c r="A49" s="1" t="s">
        <v>371</v>
      </c>
      <c r="B49" s="1" t="s">
        <v>627</v>
      </c>
      <c r="C49" s="1" t="s">
        <v>645</v>
      </c>
      <c r="D49" s="1" t="s">
        <v>654</v>
      </c>
      <c r="E49" s="1" t="s">
        <v>749</v>
      </c>
      <c r="F49" s="1" t="s">
        <v>847</v>
      </c>
      <c r="G49" s="1">
        <v>-81.51825787999999</v>
      </c>
      <c r="H49" s="1">
        <v>30.44837477</v>
      </c>
      <c r="I49" s="1" t="s">
        <v>2230</v>
      </c>
      <c r="J49" s="1" t="s">
        <v>861</v>
      </c>
      <c r="K49" s="1" t="s">
        <v>867</v>
      </c>
      <c r="L49" s="2">
        <f>HYPERLINK("https://waterdata.usgs.gov/nwis/nwismap/?site_no=02246825&amp;agency_cd=USGS", "Station Info")</f>
        <v>0</v>
      </c>
      <c r="M49" s="2">
        <f>HYPERLINK("https://waterservices.usgs.gov/nwis/site/?site=02246825&amp;format=rdb", "Datum Info")</f>
        <v>0</v>
      </c>
    </row>
    <row r="50" spans="1:14">
      <c r="A50" s="1" t="s">
        <v>372</v>
      </c>
      <c r="B50" s="1" t="s">
        <v>627</v>
      </c>
      <c r="C50" s="1" t="s">
        <v>645</v>
      </c>
      <c r="D50" s="1" t="s">
        <v>654</v>
      </c>
      <c r="E50" s="1" t="s">
        <v>750</v>
      </c>
      <c r="F50" s="1" t="s">
        <v>847</v>
      </c>
      <c r="G50" s="1">
        <v>-81.25950769000001</v>
      </c>
      <c r="H50" s="1">
        <v>29.66941114</v>
      </c>
      <c r="I50" s="1" t="s">
        <v>2231</v>
      </c>
      <c r="J50" s="1" t="s">
        <v>861</v>
      </c>
      <c r="K50" s="1" t="s">
        <v>867</v>
      </c>
      <c r="L50" s="2">
        <f>HYPERLINK("https://waterdata.usgs.gov/nwis/nwismap/?site_no=02247222&amp;agency_cd=USGS", "Station Info")</f>
        <v>0</v>
      </c>
      <c r="M50" s="2">
        <f>HYPERLINK("https://waterservices.usgs.gov/nwis/site/?site=02247222&amp;format=rdb", "Datum Info")</f>
        <v>0</v>
      </c>
    </row>
    <row r="51" spans="1:14">
      <c r="A51" s="1" t="s">
        <v>381</v>
      </c>
      <c r="B51" s="1" t="s">
        <v>629</v>
      </c>
      <c r="C51" s="1" t="s">
        <v>649</v>
      </c>
      <c r="D51" s="1" t="s">
        <v>654</v>
      </c>
      <c r="E51" s="1" t="s">
        <v>756</v>
      </c>
      <c r="F51" s="1" t="s">
        <v>848</v>
      </c>
      <c r="G51" s="1">
        <v>-92.3052</v>
      </c>
      <c r="H51" s="1">
        <v>29.55169</v>
      </c>
      <c r="I51" s="1">
        <v>8766072</v>
      </c>
      <c r="J51" s="1" t="s">
        <v>860</v>
      </c>
      <c r="K51" s="1" t="s">
        <v>866</v>
      </c>
      <c r="L51" s="2">
        <f>HYPERLINK("https://tidesandcurrents.noaa.gov/stationhome.html?id=8766072", "Station Info")</f>
        <v>0</v>
      </c>
      <c r="M51" s="2">
        <f>HYPERLINK("https://tidesandcurrents.noaa.gov/datums.html?datum=MLLW&amp;units=0&amp;epoch=0&amp;id=8766072", "Datum Info")</f>
        <v>0</v>
      </c>
      <c r="N51" s="2">
        <f>HYPERLINK("https://api.tidesandcurrents.noaa.gov/mdapi/prod/webapi/stations/8766072.json", "More Info")</f>
        <v>0</v>
      </c>
    </row>
    <row r="52" spans="1:14">
      <c r="A52" s="1" t="s">
        <v>389</v>
      </c>
      <c r="B52" s="1" t="s">
        <v>629</v>
      </c>
      <c r="C52" s="1" t="s">
        <v>649</v>
      </c>
      <c r="D52" s="1" t="s">
        <v>654</v>
      </c>
      <c r="E52" s="1" t="s">
        <v>757</v>
      </c>
      <c r="F52" s="1" t="s">
        <v>848</v>
      </c>
      <c r="G52" s="1">
        <v>-93.25</v>
      </c>
      <c r="H52" s="1">
        <v>30.34</v>
      </c>
      <c r="I52" s="1" t="s">
        <v>859</v>
      </c>
      <c r="J52" s="1" t="s">
        <v>861</v>
      </c>
      <c r="K52" s="1" t="s">
        <v>859</v>
      </c>
    </row>
    <row r="53" spans="1:14">
      <c r="A53" s="1" t="s">
        <v>391</v>
      </c>
      <c r="B53" s="1" t="s">
        <v>629</v>
      </c>
      <c r="C53" s="1" t="s">
        <v>649</v>
      </c>
      <c r="D53" s="1" t="s">
        <v>654</v>
      </c>
      <c r="E53" s="1" t="s">
        <v>759</v>
      </c>
      <c r="F53" s="1" t="s">
        <v>848</v>
      </c>
      <c r="G53" s="1">
        <v>-91.76139000000001</v>
      </c>
      <c r="H53" s="1">
        <v>30.56889</v>
      </c>
      <c r="I53" s="1" t="s">
        <v>859</v>
      </c>
      <c r="J53" s="1" t="s">
        <v>861</v>
      </c>
      <c r="K53" s="1" t="s">
        <v>859</v>
      </c>
    </row>
    <row r="54" spans="1:14">
      <c r="A54" s="1" t="s">
        <v>393</v>
      </c>
      <c r="B54" s="1" t="s">
        <v>629</v>
      </c>
      <c r="C54" s="1" t="s">
        <v>649</v>
      </c>
      <c r="D54" s="1" t="s">
        <v>654</v>
      </c>
      <c r="E54" s="1" t="s">
        <v>757</v>
      </c>
      <c r="F54" s="1" t="s">
        <v>848</v>
      </c>
      <c r="G54" s="1">
        <v>-93.26278000000001</v>
      </c>
      <c r="H54" s="1">
        <v>30.29417</v>
      </c>
      <c r="I54" s="1" t="s">
        <v>859</v>
      </c>
      <c r="J54" s="1" t="s">
        <v>861</v>
      </c>
      <c r="K54" s="1" t="s">
        <v>859</v>
      </c>
    </row>
    <row r="55" spans="1:14">
      <c r="A55" s="1" t="s">
        <v>394</v>
      </c>
      <c r="B55" s="1" t="s">
        <v>629</v>
      </c>
      <c r="C55" s="1" t="s">
        <v>649</v>
      </c>
      <c r="D55" s="1" t="s">
        <v>654</v>
      </c>
      <c r="E55" s="1" t="s">
        <v>742</v>
      </c>
      <c r="F55" s="1" t="s">
        <v>848</v>
      </c>
      <c r="G55" s="1">
        <v>-92.78100000000001</v>
      </c>
      <c r="H55" s="1">
        <v>30.0003</v>
      </c>
      <c r="I55" s="1" t="s">
        <v>859</v>
      </c>
      <c r="J55" s="1" t="s">
        <v>861</v>
      </c>
      <c r="K55" s="1" t="s">
        <v>859</v>
      </c>
    </row>
    <row r="56" spans="1:14">
      <c r="A56" s="1" t="s">
        <v>395</v>
      </c>
      <c r="B56" s="1" t="s">
        <v>629</v>
      </c>
      <c r="C56" s="1" t="s">
        <v>649</v>
      </c>
      <c r="D56" s="1" t="s">
        <v>654</v>
      </c>
      <c r="E56" s="1" t="s">
        <v>755</v>
      </c>
      <c r="F56" s="1" t="s">
        <v>848</v>
      </c>
      <c r="G56" s="1">
        <v>-91.1872</v>
      </c>
      <c r="H56" s="1">
        <v>29.7194</v>
      </c>
      <c r="I56" s="1" t="s">
        <v>859</v>
      </c>
      <c r="J56" s="1" t="s">
        <v>861</v>
      </c>
      <c r="K56" s="1" t="s">
        <v>859</v>
      </c>
    </row>
    <row r="57" spans="1:14">
      <c r="A57" s="1" t="s">
        <v>397</v>
      </c>
      <c r="B57" s="1" t="s">
        <v>629</v>
      </c>
      <c r="C57" s="1" t="s">
        <v>649</v>
      </c>
      <c r="D57" s="1" t="s">
        <v>654</v>
      </c>
      <c r="E57" s="1" t="s">
        <v>760</v>
      </c>
      <c r="F57" s="1" t="s">
        <v>848</v>
      </c>
      <c r="G57" s="1">
        <v>-91.98389</v>
      </c>
      <c r="H57" s="1">
        <v>30.27167</v>
      </c>
      <c r="I57" s="1" t="s">
        <v>859</v>
      </c>
      <c r="J57" s="1" t="s">
        <v>861</v>
      </c>
      <c r="K57" s="1" t="s">
        <v>859</v>
      </c>
    </row>
    <row r="58" spans="1:14">
      <c r="A58" s="1" t="s">
        <v>398</v>
      </c>
      <c r="B58" s="1" t="s">
        <v>629</v>
      </c>
      <c r="C58" s="1" t="s">
        <v>649</v>
      </c>
      <c r="D58" s="1" t="s">
        <v>654</v>
      </c>
      <c r="E58" s="1" t="s">
        <v>761</v>
      </c>
      <c r="F58" s="1" t="s">
        <v>848</v>
      </c>
      <c r="G58" s="1">
        <v>-91.09971632</v>
      </c>
      <c r="H58" s="1">
        <v>29.66832801</v>
      </c>
      <c r="I58" s="1" t="s">
        <v>2234</v>
      </c>
      <c r="J58" s="1" t="s">
        <v>861</v>
      </c>
      <c r="K58" s="1" t="s">
        <v>867</v>
      </c>
      <c r="L58" s="2">
        <f>HYPERLINK("https://waterdata.usgs.gov/nwis/nwismap/?site_no=073814675&amp;agency_cd=USGS", "Station Info")</f>
        <v>0</v>
      </c>
      <c r="M58" s="2">
        <f>HYPERLINK("https://waterservices.usgs.gov/nwis/site/?site=073814675&amp;format=rdb", "Datum Info")</f>
        <v>0</v>
      </c>
    </row>
    <row r="59" spans="1:14">
      <c r="A59" s="1" t="s">
        <v>399</v>
      </c>
      <c r="B59" s="1" t="s">
        <v>629</v>
      </c>
      <c r="C59" s="1" t="s">
        <v>649</v>
      </c>
      <c r="D59" s="1" t="s">
        <v>654</v>
      </c>
      <c r="E59" s="1" t="s">
        <v>762</v>
      </c>
      <c r="F59" s="1" t="s">
        <v>848</v>
      </c>
      <c r="G59" s="1">
        <v>-91.7983333</v>
      </c>
      <c r="H59" s="1">
        <v>30.9825</v>
      </c>
      <c r="I59" s="1" t="s">
        <v>2235</v>
      </c>
      <c r="J59" s="1" t="s">
        <v>861</v>
      </c>
      <c r="K59" s="1" t="s">
        <v>867</v>
      </c>
      <c r="L59" s="2">
        <f>HYPERLINK("https://waterdata.usgs.gov/nwis/nwismap/?site_no=07381490&amp;agency_cd=USGS", "Station Info")</f>
        <v>0</v>
      </c>
      <c r="M59" s="2">
        <f>HYPERLINK("https://waterservices.usgs.gov/nwis/site/?site=07381490&amp;format=rdb", "Datum Info")</f>
        <v>0</v>
      </c>
    </row>
    <row r="60" spans="1:14">
      <c r="A60" s="1" t="s">
        <v>400</v>
      </c>
      <c r="B60" s="1" t="s">
        <v>629</v>
      </c>
      <c r="C60" s="1" t="s">
        <v>649</v>
      </c>
      <c r="D60" s="1" t="s">
        <v>654</v>
      </c>
      <c r="E60" s="1" t="s">
        <v>759</v>
      </c>
      <c r="F60" s="1" t="s">
        <v>848</v>
      </c>
      <c r="G60" s="1">
        <v>-91.7362262</v>
      </c>
      <c r="H60" s="1">
        <v>30.690743</v>
      </c>
      <c r="I60" s="1" t="s">
        <v>2236</v>
      </c>
      <c r="J60" s="1" t="s">
        <v>861</v>
      </c>
      <c r="K60" s="1" t="s">
        <v>867</v>
      </c>
      <c r="L60" s="2">
        <f>HYPERLINK("https://waterdata.usgs.gov/nwis/nwismap/?site_no=07381495&amp;agency_cd=USGS", "Station Info")</f>
        <v>0</v>
      </c>
      <c r="M60" s="2">
        <f>HYPERLINK("https://waterservices.usgs.gov/nwis/site/?site=07381495&amp;format=rdb", "Datum Info")</f>
        <v>0</v>
      </c>
    </row>
    <row r="61" spans="1:14">
      <c r="A61" s="1" t="s">
        <v>401</v>
      </c>
      <c r="B61" s="1" t="s">
        <v>629</v>
      </c>
      <c r="C61" s="1" t="s">
        <v>649</v>
      </c>
      <c r="D61" s="1" t="s">
        <v>654</v>
      </c>
      <c r="E61" s="1" t="s">
        <v>763</v>
      </c>
      <c r="F61" s="1" t="s">
        <v>848</v>
      </c>
      <c r="G61" s="1">
        <v>-91.6867797</v>
      </c>
      <c r="H61" s="1">
        <v>30.28158638</v>
      </c>
      <c r="I61" s="1" t="s">
        <v>2237</v>
      </c>
      <c r="J61" s="1" t="s">
        <v>861</v>
      </c>
      <c r="K61" s="1" t="s">
        <v>867</v>
      </c>
      <c r="L61" s="2">
        <f>HYPERLINK("https://waterdata.usgs.gov/nwis/nwismap/?site_no=07381515&amp;agency_cd=USGS", "Station Info")</f>
        <v>0</v>
      </c>
      <c r="M61" s="2">
        <f>HYPERLINK("https://waterservices.usgs.gov/nwis/site/?site=07381515&amp;format=rdb", "Datum Info")</f>
        <v>0</v>
      </c>
    </row>
    <row r="62" spans="1:14">
      <c r="A62" s="1" t="s">
        <v>403</v>
      </c>
      <c r="B62" s="1" t="s">
        <v>629</v>
      </c>
      <c r="C62" s="1" t="s">
        <v>649</v>
      </c>
      <c r="D62" s="1" t="s">
        <v>654</v>
      </c>
      <c r="E62" s="1" t="s">
        <v>755</v>
      </c>
      <c r="F62" s="1" t="s">
        <v>848</v>
      </c>
      <c r="G62" s="1">
        <v>-91.37287954999999</v>
      </c>
      <c r="H62" s="1">
        <v>29.69798113</v>
      </c>
      <c r="I62" s="1" t="s">
        <v>2239</v>
      </c>
      <c r="J62" s="1" t="s">
        <v>861</v>
      </c>
      <c r="K62" s="1" t="s">
        <v>867</v>
      </c>
      <c r="L62" s="2">
        <f>HYPERLINK("https://waterdata.usgs.gov/nwis/nwismap/?site_no=07381590&amp;agency_cd=USGS", "Station Info")</f>
        <v>0</v>
      </c>
      <c r="M62" s="2">
        <f>HYPERLINK("https://waterservices.usgs.gov/nwis/site/?site=07381590&amp;format=rdb", "Datum Info")</f>
        <v>0</v>
      </c>
    </row>
    <row r="63" spans="1:14">
      <c r="A63" s="1" t="s">
        <v>406</v>
      </c>
      <c r="B63" s="1" t="s">
        <v>629</v>
      </c>
      <c r="C63" s="1" t="s">
        <v>649</v>
      </c>
      <c r="D63" s="1" t="s">
        <v>654</v>
      </c>
      <c r="E63" s="1" t="s">
        <v>764</v>
      </c>
      <c r="F63" s="1" t="s">
        <v>848</v>
      </c>
      <c r="G63" s="1">
        <v>-92.5905556</v>
      </c>
      <c r="H63" s="1">
        <v>30.19</v>
      </c>
      <c r="I63" s="1" t="s">
        <v>2241</v>
      </c>
      <c r="J63" s="1" t="s">
        <v>861</v>
      </c>
      <c r="K63" s="1" t="s">
        <v>867</v>
      </c>
      <c r="L63" s="2">
        <f>HYPERLINK("https://waterdata.usgs.gov/nwis/nwismap/?site_no=08012150&amp;agency_cd=USGS", "Station Info")</f>
        <v>0</v>
      </c>
      <c r="M63" s="2">
        <f>HYPERLINK("https://waterservices.usgs.gov/nwis/site/?site=08012150&amp;format=rdb", "Datum Info")</f>
        <v>0</v>
      </c>
    </row>
    <row r="64" spans="1:14">
      <c r="A64" s="1" t="s">
        <v>408</v>
      </c>
      <c r="B64" s="1" t="s">
        <v>630</v>
      </c>
      <c r="C64" s="1" t="s">
        <v>649</v>
      </c>
      <c r="D64" s="1" t="s">
        <v>654</v>
      </c>
      <c r="E64" s="1" t="s">
        <v>765</v>
      </c>
      <c r="F64" s="1" t="s">
        <v>849</v>
      </c>
      <c r="G64" s="1">
        <v>-88.4029</v>
      </c>
      <c r="H64" s="1">
        <v>30.41319</v>
      </c>
      <c r="I64" s="1">
        <v>8740166</v>
      </c>
      <c r="J64" s="1" t="s">
        <v>860</v>
      </c>
      <c r="K64" s="1" t="s">
        <v>866</v>
      </c>
      <c r="L64" s="2">
        <f>HYPERLINK("https://tidesandcurrents.noaa.gov/stationhome.html?id=8740166", "Station Info")</f>
        <v>0</v>
      </c>
      <c r="M64" s="2">
        <f>HYPERLINK("https://tidesandcurrents.noaa.gov/datums.html?datum=MLLW&amp;units=0&amp;epoch=0&amp;id=8740166", "Datum Info")</f>
        <v>0</v>
      </c>
      <c r="N64" s="2">
        <f>HYPERLINK("https://api.tidesandcurrents.noaa.gov/mdapi/prod/webapi/stations/8740166.json", "More Info")</f>
        <v>0</v>
      </c>
    </row>
    <row r="65" spans="1:14">
      <c r="A65" s="1" t="s">
        <v>409</v>
      </c>
      <c r="B65" s="1" t="s">
        <v>630</v>
      </c>
      <c r="C65" s="1" t="s">
        <v>649</v>
      </c>
      <c r="D65" s="1" t="s">
        <v>654</v>
      </c>
      <c r="E65" s="1" t="s">
        <v>765</v>
      </c>
      <c r="F65" s="1" t="s">
        <v>849</v>
      </c>
      <c r="G65" s="1">
        <v>-88.50579999999999</v>
      </c>
      <c r="H65" s="1">
        <v>30.34778</v>
      </c>
      <c r="I65" s="1">
        <v>8741041</v>
      </c>
      <c r="J65" s="1" t="s">
        <v>860</v>
      </c>
      <c r="K65" s="1" t="s">
        <v>866</v>
      </c>
      <c r="L65" s="2">
        <f>HYPERLINK("https://tidesandcurrents.noaa.gov/stationhome.html?id=8741041", "Station Info")</f>
        <v>0</v>
      </c>
      <c r="M65" s="2">
        <f>HYPERLINK("https://tidesandcurrents.noaa.gov/datums.html?datum=MLLW&amp;units=0&amp;epoch=0&amp;id=8741041", "Datum Info")</f>
        <v>0</v>
      </c>
      <c r="N65" s="2">
        <f>HYPERLINK("https://api.tidesandcurrents.noaa.gov/mdapi/prod/webapi/stations/8741041.json", "More Info")</f>
        <v>0</v>
      </c>
    </row>
    <row r="66" spans="1:14">
      <c r="A66" s="1" t="s">
        <v>410</v>
      </c>
      <c r="B66" s="1" t="s">
        <v>630</v>
      </c>
      <c r="C66" s="1" t="s">
        <v>649</v>
      </c>
      <c r="D66" s="1" t="s">
        <v>654</v>
      </c>
      <c r="E66" s="1" t="s">
        <v>765</v>
      </c>
      <c r="F66" s="1" t="s">
        <v>849</v>
      </c>
      <c r="G66" s="1">
        <v>-88.56310000000001</v>
      </c>
      <c r="H66" s="1">
        <v>30.36778</v>
      </c>
      <c r="I66" s="1">
        <v>8741533</v>
      </c>
      <c r="J66" s="1" t="s">
        <v>860</v>
      </c>
      <c r="K66" s="1" t="s">
        <v>866</v>
      </c>
      <c r="L66" s="2">
        <f>HYPERLINK("https://tidesandcurrents.noaa.gov/stationhome.html?id=8741533", "Station Info")</f>
        <v>0</v>
      </c>
      <c r="M66" s="2">
        <f>HYPERLINK("https://tidesandcurrents.noaa.gov/datums.html?datum=MLLW&amp;units=0&amp;epoch=0&amp;id=8741533", "Datum Info")</f>
        <v>0</v>
      </c>
      <c r="N66" s="2">
        <f>HYPERLINK("https://api.tidesandcurrents.noaa.gov/mdapi/prod/webapi/stations/8741533.json", "More Info")</f>
        <v>0</v>
      </c>
    </row>
    <row r="67" spans="1:14">
      <c r="A67" s="1" t="s">
        <v>412</v>
      </c>
      <c r="B67" s="1" t="s">
        <v>630</v>
      </c>
      <c r="C67" s="1" t="s">
        <v>649</v>
      </c>
      <c r="D67" s="1" t="s">
        <v>654</v>
      </c>
      <c r="E67" s="1" t="s">
        <v>766</v>
      </c>
      <c r="F67" s="1" t="s">
        <v>848</v>
      </c>
      <c r="G67" s="1">
        <v>-89.61499999999999</v>
      </c>
      <c r="H67" s="1">
        <v>30.24</v>
      </c>
      <c r="I67" s="1">
        <v>8749704</v>
      </c>
      <c r="J67" s="1" t="s">
        <v>861</v>
      </c>
      <c r="K67" s="1" t="s">
        <v>866</v>
      </c>
      <c r="L67" s="2">
        <f>HYPERLINK("https://tidesandcurrents.noaa.gov/stationhome.html?id=8749704", "Station Info")</f>
        <v>0</v>
      </c>
      <c r="M67" s="2">
        <f>HYPERLINK("https://tidesandcurrents.noaa.gov/datums.html?datum=MLLW&amp;units=0&amp;epoch=0&amp;id=8749704", "Datum Info")</f>
        <v>0</v>
      </c>
      <c r="N67" s="2">
        <f>HYPERLINK("https://api.tidesandcurrents.noaa.gov/mdapi/prod/webapi/stations/8749704.json", "More Info")</f>
        <v>0</v>
      </c>
    </row>
    <row r="68" spans="1:14">
      <c r="A68" s="1" t="s">
        <v>415</v>
      </c>
      <c r="B68" s="1" t="s">
        <v>630</v>
      </c>
      <c r="C68" s="1" t="s">
        <v>649</v>
      </c>
      <c r="D68" s="1" t="s">
        <v>654</v>
      </c>
      <c r="E68" s="1" t="s">
        <v>767</v>
      </c>
      <c r="F68" s="1" t="s">
        <v>848</v>
      </c>
      <c r="G68" s="1">
        <v>-89.595</v>
      </c>
      <c r="H68" s="1">
        <v>29.39</v>
      </c>
      <c r="I68" s="1">
        <v>8761193</v>
      </c>
      <c r="J68" s="1" t="s">
        <v>861</v>
      </c>
      <c r="K68" s="1" t="s">
        <v>866</v>
      </c>
      <c r="L68" s="2">
        <f>HYPERLINK("https://tidesandcurrents.noaa.gov/stationhome.html?id=8761193", "Station Info")</f>
        <v>0</v>
      </c>
      <c r="M68" s="2">
        <f>HYPERLINK("https://tidesandcurrents.noaa.gov/datums.html?datum=MLLW&amp;units=0&amp;epoch=0&amp;id=8761193", "Datum Info")</f>
        <v>0</v>
      </c>
      <c r="N68" s="2">
        <f>HYPERLINK("https://api.tidesandcurrents.noaa.gov/mdapi/prod/webapi/stations/8761193.json", "More Info")</f>
        <v>0</v>
      </c>
    </row>
    <row r="69" spans="1:14">
      <c r="A69" s="1" t="s">
        <v>417</v>
      </c>
      <c r="B69" s="1" t="s">
        <v>630</v>
      </c>
      <c r="C69" s="1" t="s">
        <v>649</v>
      </c>
      <c r="D69" s="1" t="s">
        <v>654</v>
      </c>
      <c r="E69" s="1" t="s">
        <v>767</v>
      </c>
      <c r="F69" s="1" t="s">
        <v>848</v>
      </c>
      <c r="G69" s="1">
        <v>-89.80500000000001</v>
      </c>
      <c r="H69" s="1">
        <v>29.5733</v>
      </c>
      <c r="I69" s="1">
        <v>8761494</v>
      </c>
      <c r="J69" s="1" t="s">
        <v>861</v>
      </c>
      <c r="K69" s="1" t="s">
        <v>866</v>
      </c>
      <c r="L69" s="2">
        <f>HYPERLINK("https://tidesandcurrents.noaa.gov/stationhome.html?id=8761494", "Station Info")</f>
        <v>0</v>
      </c>
      <c r="M69" s="2">
        <f>HYPERLINK("https://tidesandcurrents.noaa.gov/datums.html?datum=MLLW&amp;units=0&amp;epoch=0&amp;id=8761494", "Datum Info")</f>
        <v>0</v>
      </c>
      <c r="N69" s="2">
        <f>HYPERLINK("https://api.tidesandcurrents.noaa.gov/mdapi/prod/webapi/stations/8761494.json", "More Info")</f>
        <v>0</v>
      </c>
    </row>
    <row r="70" spans="1:14">
      <c r="A70" s="1" t="s">
        <v>419</v>
      </c>
      <c r="B70" s="1" t="s">
        <v>630</v>
      </c>
      <c r="C70" s="1" t="s">
        <v>649</v>
      </c>
      <c r="D70" s="1" t="s">
        <v>654</v>
      </c>
      <c r="E70" s="1" t="s">
        <v>767</v>
      </c>
      <c r="F70" s="1" t="s">
        <v>848</v>
      </c>
      <c r="G70" s="1">
        <v>-89.97329999999999</v>
      </c>
      <c r="H70" s="1">
        <v>29.69</v>
      </c>
      <c r="I70" s="1">
        <v>8761727</v>
      </c>
      <c r="J70" s="1" t="s">
        <v>861</v>
      </c>
      <c r="K70" s="1" t="s">
        <v>866</v>
      </c>
      <c r="L70" s="2">
        <f>HYPERLINK("https://tidesandcurrents.noaa.gov/stationhome.html?id=8761727", "Station Info")</f>
        <v>0</v>
      </c>
      <c r="M70" s="2">
        <f>HYPERLINK("https://tidesandcurrents.noaa.gov/datums.html?datum=MLLW&amp;units=0&amp;epoch=0&amp;id=8761727", "Datum Info")</f>
        <v>0</v>
      </c>
      <c r="N70" s="2">
        <f>HYPERLINK("https://api.tidesandcurrents.noaa.gov/mdapi/prod/webapi/stations/8761727.json", "More Info")</f>
        <v>0</v>
      </c>
    </row>
    <row r="71" spans="1:14">
      <c r="A71" s="1" t="s">
        <v>421</v>
      </c>
      <c r="B71" s="1" t="s">
        <v>630</v>
      </c>
      <c r="C71" s="1" t="s">
        <v>649</v>
      </c>
      <c r="D71" s="1" t="s">
        <v>654</v>
      </c>
      <c r="E71" s="1" t="s">
        <v>769</v>
      </c>
      <c r="F71" s="1" t="s">
        <v>848</v>
      </c>
      <c r="G71" s="1">
        <v>-90.13549999999999</v>
      </c>
      <c r="H71" s="1">
        <v>29.9329</v>
      </c>
      <c r="I71" s="1">
        <v>8761955</v>
      </c>
      <c r="J71" s="1" t="s">
        <v>861</v>
      </c>
      <c r="K71" s="1" t="s">
        <v>866</v>
      </c>
      <c r="L71" s="2">
        <f>HYPERLINK("https://tidesandcurrents.noaa.gov/stationhome.html?id=8761955", "Station Info")</f>
        <v>0</v>
      </c>
      <c r="M71" s="2">
        <f>HYPERLINK("https://tidesandcurrents.noaa.gov/datums.html?datum=NAVD88&amp;units=0&amp;epoch=0&amp;id=8761955", "Datum Info")</f>
        <v>0</v>
      </c>
      <c r="N71" s="2">
        <f>HYPERLINK("https://api.tidesandcurrents.noaa.gov/mdapi/prod/webapi/stations/8761955.json", "More Info")</f>
        <v>0</v>
      </c>
    </row>
    <row r="72" spans="1:14">
      <c r="A72" s="1" t="s">
        <v>423</v>
      </c>
      <c r="B72" s="1" t="s">
        <v>630</v>
      </c>
      <c r="C72" s="1" t="s">
        <v>649</v>
      </c>
      <c r="D72" s="1" t="s">
        <v>654</v>
      </c>
      <c r="E72" s="1" t="s">
        <v>770</v>
      </c>
      <c r="F72" s="1" t="s">
        <v>848</v>
      </c>
      <c r="G72" s="1">
        <v>-90.1992</v>
      </c>
      <c r="H72" s="1">
        <v>29.11417</v>
      </c>
      <c r="I72" s="1">
        <v>8762075</v>
      </c>
      <c r="J72" s="1" t="s">
        <v>860</v>
      </c>
      <c r="K72" s="1" t="s">
        <v>866</v>
      </c>
      <c r="L72" s="2">
        <f>HYPERLINK("https://tidesandcurrents.noaa.gov/stationhome.html?id=8762075", "Station Info")</f>
        <v>0</v>
      </c>
      <c r="M72" s="2">
        <f>HYPERLINK("https://tidesandcurrents.noaa.gov/datums.html?datum=MLLW&amp;units=0&amp;epoch=0&amp;id=8762075", "Datum Info")</f>
        <v>0</v>
      </c>
      <c r="N72" s="2">
        <f>HYPERLINK("https://api.tidesandcurrents.noaa.gov/mdapi/prod/webapi/stations/8762075.json", "More Info")</f>
        <v>0</v>
      </c>
    </row>
    <row r="73" spans="1:14">
      <c r="A73" s="1" t="s">
        <v>424</v>
      </c>
      <c r="B73" s="1" t="s">
        <v>630</v>
      </c>
      <c r="C73" s="1" t="s">
        <v>649</v>
      </c>
      <c r="D73" s="1" t="s">
        <v>654</v>
      </c>
      <c r="E73" s="1" t="s">
        <v>771</v>
      </c>
      <c r="F73" s="1" t="s">
        <v>848</v>
      </c>
      <c r="G73" s="1">
        <v>-90.36799999999999</v>
      </c>
      <c r="H73" s="1">
        <v>30.0503</v>
      </c>
      <c r="I73" s="1">
        <v>8762372</v>
      </c>
      <c r="J73" s="1" t="s">
        <v>860</v>
      </c>
      <c r="K73" s="1" t="s">
        <v>866</v>
      </c>
      <c r="L73" s="2">
        <f>HYPERLINK("https://tidesandcurrents.noaa.gov/stationhome.html?id=8762372", "Station Info")</f>
        <v>0</v>
      </c>
      <c r="M73" s="2">
        <f>HYPERLINK("https://tidesandcurrents.noaa.gov/datums.html?datum=MLLW&amp;units=0&amp;epoch=0&amp;id=8762372", "Datum Info")</f>
        <v>0</v>
      </c>
      <c r="N73" s="2">
        <f>HYPERLINK("https://api.tidesandcurrents.noaa.gov/mdapi/prod/webapi/stations/8762372.json", "More Info")</f>
        <v>0</v>
      </c>
    </row>
    <row r="74" spans="1:14">
      <c r="A74" s="1" t="s">
        <v>425</v>
      </c>
      <c r="B74" s="1" t="s">
        <v>630</v>
      </c>
      <c r="C74" s="1" t="s">
        <v>649</v>
      </c>
      <c r="D74" s="1" t="s">
        <v>654</v>
      </c>
      <c r="E74" s="1" t="s">
        <v>770</v>
      </c>
      <c r="F74" s="1" t="s">
        <v>848</v>
      </c>
      <c r="G74" s="1">
        <v>-90.44670000000001</v>
      </c>
      <c r="H74" s="1">
        <v>29.4167</v>
      </c>
      <c r="I74" s="1">
        <v>8762525</v>
      </c>
      <c r="J74" s="1" t="s">
        <v>860</v>
      </c>
      <c r="K74" s="1" t="s">
        <v>866</v>
      </c>
      <c r="L74" s="2">
        <f>HYPERLINK("https://tidesandcurrents.noaa.gov/stationhome.html?id=8762525", "Station Info")</f>
        <v>0</v>
      </c>
      <c r="M74" s="2">
        <f>HYPERLINK("https://tidesandcurrents.noaa.gov/datums.html?datum=MLLW&amp;units=0&amp;epoch=0&amp;id=8762525", "Datum Info")</f>
        <v>0</v>
      </c>
      <c r="N74" s="2">
        <f>HYPERLINK("https://api.tidesandcurrents.noaa.gov/mdapi/prod/webapi/stations/8762525.json", "More Info")</f>
        <v>0</v>
      </c>
    </row>
    <row r="75" spans="1:14">
      <c r="A75" s="1" t="s">
        <v>426</v>
      </c>
      <c r="B75" s="1" t="s">
        <v>630</v>
      </c>
      <c r="C75" s="1" t="s">
        <v>649</v>
      </c>
      <c r="D75" s="1" t="s">
        <v>654</v>
      </c>
      <c r="E75" s="1" t="s">
        <v>770</v>
      </c>
      <c r="F75" s="1" t="s">
        <v>848</v>
      </c>
      <c r="G75" s="1">
        <v>-90.4717</v>
      </c>
      <c r="H75" s="1">
        <v>29.4567</v>
      </c>
      <c r="I75" s="1">
        <v>8762571</v>
      </c>
      <c r="J75" s="1" t="s">
        <v>860</v>
      </c>
      <c r="K75" s="1" t="s">
        <v>866</v>
      </c>
      <c r="L75" s="2">
        <f>HYPERLINK("https://tidesandcurrents.noaa.gov/stationhome.html?id=8762571", "Station Info")</f>
        <v>0</v>
      </c>
      <c r="M75" s="2">
        <f>HYPERLINK("https://tidesandcurrents.noaa.gov/datums.html?datum=MLLW&amp;units=0&amp;epoch=0&amp;id=8762571", "Datum Info")</f>
        <v>0</v>
      </c>
      <c r="N75" s="2">
        <f>HYPERLINK("https://api.tidesandcurrents.noaa.gov/mdapi/prod/webapi/stations/8762571.json", "More Info")</f>
        <v>0</v>
      </c>
    </row>
    <row r="76" spans="1:14">
      <c r="A76" s="1" t="s">
        <v>427</v>
      </c>
      <c r="B76" s="1" t="s">
        <v>630</v>
      </c>
      <c r="C76" s="1" t="s">
        <v>649</v>
      </c>
      <c r="D76" s="1" t="s">
        <v>654</v>
      </c>
      <c r="E76" s="1" t="s">
        <v>771</v>
      </c>
      <c r="F76" s="1" t="s">
        <v>848</v>
      </c>
      <c r="G76" s="1">
        <v>-90.4247</v>
      </c>
      <c r="H76" s="1">
        <v>29.9972</v>
      </c>
      <c r="I76" s="1" t="s">
        <v>859</v>
      </c>
      <c r="J76" s="1" t="s">
        <v>861</v>
      </c>
      <c r="K76" s="1" t="s">
        <v>859</v>
      </c>
    </row>
    <row r="77" spans="1:14">
      <c r="A77" s="1" t="s">
        <v>428</v>
      </c>
      <c r="B77" s="1" t="s">
        <v>630</v>
      </c>
      <c r="C77" s="1" t="s">
        <v>649</v>
      </c>
      <c r="D77" s="1" t="s">
        <v>654</v>
      </c>
      <c r="E77" s="1" t="s">
        <v>770</v>
      </c>
      <c r="F77" s="1" t="s">
        <v>848</v>
      </c>
      <c r="G77" s="1">
        <v>-90.47669999999999</v>
      </c>
      <c r="H77" s="1">
        <v>29.824</v>
      </c>
      <c r="I77" s="1" t="s">
        <v>859</v>
      </c>
      <c r="J77" s="1" t="s">
        <v>861</v>
      </c>
      <c r="K77" s="1" t="s">
        <v>859</v>
      </c>
    </row>
    <row r="78" spans="1:14">
      <c r="A78" s="1" t="s">
        <v>430</v>
      </c>
      <c r="B78" s="1" t="s">
        <v>630</v>
      </c>
      <c r="C78" s="1" t="s">
        <v>649</v>
      </c>
      <c r="D78" s="1" t="s">
        <v>654</v>
      </c>
      <c r="E78" s="1" t="s">
        <v>772</v>
      </c>
      <c r="F78" s="1" t="s">
        <v>848</v>
      </c>
      <c r="G78" s="1">
        <v>-91.32250000000001</v>
      </c>
      <c r="H78" s="1">
        <v>30.13</v>
      </c>
      <c r="I78" s="1" t="s">
        <v>859</v>
      </c>
      <c r="J78" s="1" t="s">
        <v>861</v>
      </c>
      <c r="K78" s="1" t="s">
        <v>859</v>
      </c>
    </row>
    <row r="79" spans="1:14">
      <c r="A79" s="1" t="s">
        <v>431</v>
      </c>
      <c r="B79" s="1" t="s">
        <v>630</v>
      </c>
      <c r="C79" s="1" t="s">
        <v>649</v>
      </c>
      <c r="D79" s="1" t="s">
        <v>654</v>
      </c>
      <c r="E79" s="1" t="s">
        <v>773</v>
      </c>
      <c r="F79" s="1" t="s">
        <v>848</v>
      </c>
      <c r="G79" s="1">
        <v>-90.56861000000001</v>
      </c>
      <c r="H79" s="1">
        <v>30.05556</v>
      </c>
      <c r="I79" s="1" t="s">
        <v>859</v>
      </c>
      <c r="J79" s="1" t="s">
        <v>861</v>
      </c>
      <c r="K79" s="1" t="s">
        <v>859</v>
      </c>
    </row>
    <row r="80" spans="1:14">
      <c r="A80" s="1" t="s">
        <v>432</v>
      </c>
      <c r="B80" s="1" t="s">
        <v>630</v>
      </c>
      <c r="C80" s="1" t="s">
        <v>649</v>
      </c>
      <c r="D80" s="1" t="s">
        <v>654</v>
      </c>
      <c r="E80" s="1" t="s">
        <v>766</v>
      </c>
      <c r="F80" s="1" t="s">
        <v>848</v>
      </c>
      <c r="G80" s="1">
        <v>-89.7186</v>
      </c>
      <c r="H80" s="1">
        <v>30.2917</v>
      </c>
      <c r="I80" s="1" t="s">
        <v>859</v>
      </c>
      <c r="J80" s="1" t="s">
        <v>861</v>
      </c>
      <c r="K80" s="1" t="s">
        <v>859</v>
      </c>
    </row>
    <row r="81" spans="1:13">
      <c r="A81" s="1" t="s">
        <v>433</v>
      </c>
      <c r="B81" s="1" t="s">
        <v>630</v>
      </c>
      <c r="C81" s="1" t="s">
        <v>649</v>
      </c>
      <c r="D81" s="1" t="s">
        <v>654</v>
      </c>
      <c r="E81" s="1" t="s">
        <v>767</v>
      </c>
      <c r="F81" s="1" t="s">
        <v>848</v>
      </c>
      <c r="G81" s="1">
        <v>-89.4646</v>
      </c>
      <c r="H81" s="1">
        <v>29.364</v>
      </c>
      <c r="I81" s="1" t="s">
        <v>859</v>
      </c>
      <c r="J81" s="1" t="s">
        <v>860</v>
      </c>
      <c r="K81" s="1" t="s">
        <v>859</v>
      </c>
    </row>
    <row r="82" spans="1:13">
      <c r="A82" s="1" t="s">
        <v>434</v>
      </c>
      <c r="B82" s="1" t="s">
        <v>630</v>
      </c>
      <c r="C82" s="1" t="s">
        <v>649</v>
      </c>
      <c r="D82" s="1" t="s">
        <v>654</v>
      </c>
      <c r="E82" s="1" t="s">
        <v>774</v>
      </c>
      <c r="F82" s="1" t="s">
        <v>848</v>
      </c>
      <c r="G82" s="1">
        <v>-90.718</v>
      </c>
      <c r="H82" s="1">
        <v>29.569</v>
      </c>
      <c r="I82" s="1" t="s">
        <v>859</v>
      </c>
      <c r="J82" s="1" t="s">
        <v>860</v>
      </c>
      <c r="K82" s="1" t="s">
        <v>859</v>
      </c>
    </row>
    <row r="83" spans="1:13">
      <c r="A83" s="1" t="s">
        <v>437</v>
      </c>
      <c r="B83" s="1" t="s">
        <v>630</v>
      </c>
      <c r="C83" s="1" t="s">
        <v>649</v>
      </c>
      <c r="D83" s="1" t="s">
        <v>654</v>
      </c>
      <c r="E83" s="1" t="s">
        <v>767</v>
      </c>
      <c r="F83" s="1" t="s">
        <v>848</v>
      </c>
      <c r="G83" s="1">
        <v>-89.9778</v>
      </c>
      <c r="H83" s="1">
        <v>29.8569</v>
      </c>
      <c r="I83" s="1" t="s">
        <v>859</v>
      </c>
      <c r="J83" s="1" t="s">
        <v>861</v>
      </c>
      <c r="K83" s="1" t="s">
        <v>859</v>
      </c>
    </row>
    <row r="84" spans="1:13">
      <c r="A84" s="1" t="s">
        <v>438</v>
      </c>
      <c r="B84" s="1" t="s">
        <v>630</v>
      </c>
      <c r="C84" s="1" t="s">
        <v>649</v>
      </c>
      <c r="D84" s="1" t="s">
        <v>654</v>
      </c>
      <c r="E84" s="1" t="s">
        <v>761</v>
      </c>
      <c r="F84" s="1" t="s">
        <v>848</v>
      </c>
      <c r="G84" s="1">
        <v>-91.008</v>
      </c>
      <c r="H84" s="1">
        <v>29.945</v>
      </c>
      <c r="I84" s="1" t="s">
        <v>859</v>
      </c>
      <c r="J84" s="1" t="s">
        <v>860</v>
      </c>
      <c r="K84" s="1" t="s">
        <v>859</v>
      </c>
    </row>
    <row r="85" spans="1:13">
      <c r="A85" s="1" t="s">
        <v>439</v>
      </c>
      <c r="B85" s="1" t="s">
        <v>630</v>
      </c>
      <c r="C85" s="1" t="s">
        <v>649</v>
      </c>
      <c r="D85" s="1" t="s">
        <v>654</v>
      </c>
      <c r="E85" s="1" t="s">
        <v>775</v>
      </c>
      <c r="F85" s="1" t="s">
        <v>848</v>
      </c>
      <c r="G85" s="1">
        <v>-91.66444</v>
      </c>
      <c r="H85" s="1">
        <v>30.96083</v>
      </c>
      <c r="I85" s="1" t="s">
        <v>859</v>
      </c>
      <c r="J85" s="1" t="s">
        <v>861</v>
      </c>
      <c r="K85" s="1" t="s">
        <v>859</v>
      </c>
    </row>
    <row r="86" spans="1:13">
      <c r="A86" s="1" t="s">
        <v>440</v>
      </c>
      <c r="B86" s="1" t="s">
        <v>630</v>
      </c>
      <c r="C86" s="1" t="s">
        <v>649</v>
      </c>
      <c r="D86" s="1" t="s">
        <v>654</v>
      </c>
      <c r="E86" s="1" t="s">
        <v>773</v>
      </c>
      <c r="F86" s="1" t="s">
        <v>848</v>
      </c>
      <c r="G86" s="1">
        <v>-90.56861000000001</v>
      </c>
      <c r="H86" s="1">
        <v>30.05556</v>
      </c>
      <c r="I86" s="1" t="s">
        <v>859</v>
      </c>
      <c r="J86" s="1" t="s">
        <v>861</v>
      </c>
      <c r="K86" s="1" t="s">
        <v>859</v>
      </c>
    </row>
    <row r="87" spans="1:13">
      <c r="A87" s="1" t="s">
        <v>441</v>
      </c>
      <c r="B87" s="1" t="s">
        <v>630</v>
      </c>
      <c r="C87" s="1" t="s">
        <v>649</v>
      </c>
      <c r="D87" s="1" t="s">
        <v>654</v>
      </c>
      <c r="E87" s="1" t="s">
        <v>776</v>
      </c>
      <c r="F87" s="1" t="s">
        <v>848</v>
      </c>
      <c r="G87" s="1">
        <v>-91.34417000000001</v>
      </c>
      <c r="H87" s="1">
        <v>30.7028</v>
      </c>
      <c r="I87" s="1" t="s">
        <v>859</v>
      </c>
      <c r="J87" s="1" t="s">
        <v>861</v>
      </c>
      <c r="K87" s="1" t="s">
        <v>859</v>
      </c>
    </row>
    <row r="88" spans="1:13">
      <c r="A88" s="1" t="s">
        <v>442</v>
      </c>
      <c r="B88" s="1" t="s">
        <v>630</v>
      </c>
      <c r="C88" s="1" t="s">
        <v>649</v>
      </c>
      <c r="D88" s="1" t="s">
        <v>654</v>
      </c>
      <c r="E88" s="1" t="s">
        <v>774</v>
      </c>
      <c r="F88" s="1" t="s">
        <v>848</v>
      </c>
      <c r="G88" s="1">
        <v>-90.62</v>
      </c>
      <c r="H88" s="1">
        <v>29.386</v>
      </c>
      <c r="I88" s="1" t="s">
        <v>859</v>
      </c>
      <c r="J88" s="1" t="s">
        <v>860</v>
      </c>
      <c r="K88" s="1" t="s">
        <v>859</v>
      </c>
    </row>
    <row r="89" spans="1:13">
      <c r="A89" s="1" t="s">
        <v>443</v>
      </c>
      <c r="B89" s="1" t="s">
        <v>630</v>
      </c>
      <c r="C89" s="1" t="s">
        <v>649</v>
      </c>
      <c r="D89" s="1" t="s">
        <v>654</v>
      </c>
      <c r="E89" s="1" t="s">
        <v>770</v>
      </c>
      <c r="F89" s="1" t="s">
        <v>848</v>
      </c>
      <c r="G89" s="1">
        <v>-90.242</v>
      </c>
      <c r="H89" s="1">
        <v>29.334</v>
      </c>
      <c r="I89" s="1" t="s">
        <v>859</v>
      </c>
      <c r="J89" s="1" t="s">
        <v>860</v>
      </c>
      <c r="K89" s="1" t="s">
        <v>859</v>
      </c>
    </row>
    <row r="90" spans="1:13">
      <c r="A90" s="1" t="s">
        <v>444</v>
      </c>
      <c r="B90" s="1" t="s">
        <v>630</v>
      </c>
      <c r="C90" s="1" t="s">
        <v>649</v>
      </c>
      <c r="D90" s="1" t="s">
        <v>654</v>
      </c>
      <c r="E90" s="1" t="s">
        <v>766</v>
      </c>
      <c r="F90" s="1" t="s">
        <v>848</v>
      </c>
      <c r="G90" s="1">
        <v>-89.66889999999999</v>
      </c>
      <c r="H90" s="1">
        <v>30.2308</v>
      </c>
      <c r="I90" s="1" t="s">
        <v>859</v>
      </c>
      <c r="J90" s="1" t="s">
        <v>861</v>
      </c>
      <c r="K90" s="1" t="s">
        <v>859</v>
      </c>
    </row>
    <row r="91" spans="1:13">
      <c r="A91" s="1" t="s">
        <v>445</v>
      </c>
      <c r="B91" s="1" t="s">
        <v>630</v>
      </c>
      <c r="C91" s="1" t="s">
        <v>649</v>
      </c>
      <c r="D91" s="1" t="s">
        <v>654</v>
      </c>
      <c r="E91" s="1" t="s">
        <v>777</v>
      </c>
      <c r="F91" s="1" t="s">
        <v>849</v>
      </c>
      <c r="G91" s="1">
        <v>-88.89335899</v>
      </c>
      <c r="H91" s="1">
        <v>30.47602513</v>
      </c>
      <c r="I91" s="1" t="s">
        <v>2243</v>
      </c>
      <c r="J91" s="1" t="s">
        <v>861</v>
      </c>
      <c r="K91" s="1" t="s">
        <v>867</v>
      </c>
      <c r="L91" s="2">
        <f>HYPERLINK("https://waterdata.usgs.gov/nwis/nwismap/?site_no=02480590&amp;agency_cd=USGS", "Station Info")</f>
        <v>0</v>
      </c>
      <c r="M91" s="2">
        <f>HYPERLINK("https://waterservices.usgs.gov/nwis/site/?site=02480590&amp;format=rdb", "Datum Info")</f>
        <v>0</v>
      </c>
    </row>
    <row r="92" spans="1:13">
      <c r="A92" s="1" t="s">
        <v>446</v>
      </c>
      <c r="B92" s="1" t="s">
        <v>630</v>
      </c>
      <c r="C92" s="1" t="s">
        <v>649</v>
      </c>
      <c r="D92" s="1" t="s">
        <v>654</v>
      </c>
      <c r="E92" s="1" t="s">
        <v>778</v>
      </c>
      <c r="F92" s="1" t="s">
        <v>849</v>
      </c>
      <c r="G92" s="1">
        <v>-89.44138344</v>
      </c>
      <c r="H92" s="1">
        <v>30.38721667</v>
      </c>
      <c r="I92" s="1" t="s">
        <v>2244</v>
      </c>
      <c r="J92" s="1" t="s">
        <v>861</v>
      </c>
      <c r="K92" s="1" t="s">
        <v>867</v>
      </c>
      <c r="L92" s="2">
        <f>HYPERLINK("https://waterdata.usgs.gov/nwis/nwismap/?site_no=02481660&amp;agency_cd=USGS", "Station Info")</f>
        <v>0</v>
      </c>
      <c r="M92" s="2">
        <f>HYPERLINK("https://waterservices.usgs.gov/nwis/site/?site=02481660&amp;format=rdb", "Datum Info")</f>
        <v>0</v>
      </c>
    </row>
    <row r="93" spans="1:13">
      <c r="A93" s="1" t="s">
        <v>447</v>
      </c>
      <c r="B93" s="1" t="s">
        <v>630</v>
      </c>
      <c r="C93" s="1" t="s">
        <v>649</v>
      </c>
      <c r="D93" s="1" t="s">
        <v>654</v>
      </c>
      <c r="E93" s="1" t="s">
        <v>778</v>
      </c>
      <c r="F93" s="1" t="s">
        <v>849</v>
      </c>
      <c r="G93" s="1">
        <v>-89.6458927</v>
      </c>
      <c r="H93" s="1">
        <v>30.352416</v>
      </c>
      <c r="I93" s="1" t="s">
        <v>2245</v>
      </c>
      <c r="J93" s="1" t="s">
        <v>861</v>
      </c>
      <c r="K93" s="1" t="s">
        <v>867</v>
      </c>
      <c r="L93" s="2">
        <f>HYPERLINK("https://waterdata.usgs.gov/nwis/nwismap/?site_no=02492620&amp;agency_cd=USGS", "Station Info")</f>
        <v>0</v>
      </c>
      <c r="M93" s="2">
        <f>HYPERLINK("https://waterservices.usgs.gov/nwis/site/?site=02492620&amp;format=rdb", "Datum Info")</f>
        <v>0</v>
      </c>
    </row>
    <row r="94" spans="1:13">
      <c r="A94" s="1" t="s">
        <v>448</v>
      </c>
      <c r="B94" s="1" t="s">
        <v>630</v>
      </c>
      <c r="C94" s="1" t="s">
        <v>649</v>
      </c>
      <c r="D94" s="1" t="s">
        <v>654</v>
      </c>
      <c r="E94" s="1" t="s">
        <v>767</v>
      </c>
      <c r="F94" s="1" t="s">
        <v>848</v>
      </c>
      <c r="G94" s="1">
        <v>-89.3500536</v>
      </c>
      <c r="H94" s="1">
        <v>29.2741095</v>
      </c>
      <c r="I94" s="1" t="s">
        <v>2246</v>
      </c>
      <c r="J94" s="1" t="s">
        <v>861</v>
      </c>
      <c r="K94" s="1" t="s">
        <v>867</v>
      </c>
      <c r="L94" s="2">
        <f>HYPERLINK("https://waterdata.usgs.gov/nwis/nwismap/?site_no=07374550&amp;agency_cd=USGS", "Station Info")</f>
        <v>0</v>
      </c>
      <c r="M94" s="2">
        <f>HYPERLINK("https://waterservices.usgs.gov/nwis/site/?site=07374550&amp;format=rdb", "Datum Info")</f>
        <v>0</v>
      </c>
    </row>
    <row r="95" spans="1:13">
      <c r="A95" s="1" t="s">
        <v>449</v>
      </c>
      <c r="B95" s="1" t="s">
        <v>630</v>
      </c>
      <c r="C95" s="1" t="s">
        <v>649</v>
      </c>
      <c r="D95" s="1" t="s">
        <v>654</v>
      </c>
      <c r="E95" s="1" t="s">
        <v>779</v>
      </c>
      <c r="F95" s="1" t="s">
        <v>848</v>
      </c>
      <c r="G95" s="1">
        <v>-90.33457758999999</v>
      </c>
      <c r="H95" s="1">
        <v>30.44368893</v>
      </c>
      <c r="I95" s="1" t="s">
        <v>2247</v>
      </c>
      <c r="J95" s="1" t="s">
        <v>861</v>
      </c>
      <c r="K95" s="1" t="s">
        <v>867</v>
      </c>
      <c r="L95" s="2">
        <f>HYPERLINK("https://waterdata.usgs.gov/nwis/nwismap/?site_no=07375650&amp;agency_cd=USGS", "Station Info")</f>
        <v>0</v>
      </c>
      <c r="M95" s="2">
        <f>HYPERLINK("https://waterservices.usgs.gov/nwis/site/?site=07375650&amp;format=rdb", "Datum Info")</f>
        <v>0</v>
      </c>
    </row>
    <row r="96" spans="1:13">
      <c r="A96" s="1" t="s">
        <v>450</v>
      </c>
      <c r="B96" s="1" t="s">
        <v>630</v>
      </c>
      <c r="C96" s="1" t="s">
        <v>649</v>
      </c>
      <c r="D96" s="1" t="s">
        <v>654</v>
      </c>
      <c r="E96" s="1" t="s">
        <v>780</v>
      </c>
      <c r="F96" s="1" t="s">
        <v>848</v>
      </c>
      <c r="G96" s="1">
        <v>-90.5511111</v>
      </c>
      <c r="H96" s="1">
        <v>30.37655556</v>
      </c>
      <c r="I96" s="1" t="s">
        <v>2248</v>
      </c>
      <c r="J96" s="1" t="s">
        <v>861</v>
      </c>
      <c r="K96" s="1" t="s">
        <v>867</v>
      </c>
      <c r="L96" s="2">
        <f>HYPERLINK("https://waterdata.usgs.gov/nwis/nwismap/?site_no=07376300&amp;agency_cd=USGS", "Station Info")</f>
        <v>0</v>
      </c>
      <c r="M96" s="2">
        <f>HYPERLINK("https://waterservices.usgs.gov/nwis/site/?site=07376300&amp;format=rdb", "Datum Info")</f>
        <v>0</v>
      </c>
    </row>
    <row r="97" spans="1:14">
      <c r="A97" s="1" t="s">
        <v>451</v>
      </c>
      <c r="B97" s="1" t="s">
        <v>630</v>
      </c>
      <c r="C97" s="1" t="s">
        <v>649</v>
      </c>
      <c r="D97" s="1" t="s">
        <v>654</v>
      </c>
      <c r="E97" s="1" t="s">
        <v>780</v>
      </c>
      <c r="F97" s="1" t="s">
        <v>848</v>
      </c>
      <c r="G97" s="1">
        <v>-90.60871643</v>
      </c>
      <c r="H97" s="1">
        <v>30.30768897</v>
      </c>
      <c r="I97" s="1" t="s">
        <v>2249</v>
      </c>
      <c r="J97" s="1" t="s">
        <v>861</v>
      </c>
      <c r="K97" s="1" t="s">
        <v>867</v>
      </c>
      <c r="L97" s="2">
        <f>HYPERLINK("https://waterdata.usgs.gov/nwis/nwismap/?site_no=07380215&amp;agency_cd=USGS", "Station Info")</f>
        <v>0</v>
      </c>
      <c r="M97" s="2">
        <f>HYPERLINK("https://waterservices.usgs.gov/nwis/site/?site=07380215&amp;format=rdb", "Datum Info")</f>
        <v>0</v>
      </c>
    </row>
    <row r="98" spans="1:14">
      <c r="A98" s="1" t="s">
        <v>452</v>
      </c>
      <c r="B98" s="1" t="s">
        <v>630</v>
      </c>
      <c r="C98" s="1" t="s">
        <v>649</v>
      </c>
      <c r="D98" s="1" t="s">
        <v>654</v>
      </c>
      <c r="E98" s="1" t="s">
        <v>774</v>
      </c>
      <c r="F98" s="1" t="s">
        <v>848</v>
      </c>
      <c r="G98" s="1">
        <v>-90.71536164</v>
      </c>
      <c r="H98" s="1">
        <v>29.38299342</v>
      </c>
      <c r="I98" s="1" t="s">
        <v>2250</v>
      </c>
      <c r="J98" s="1" t="s">
        <v>861</v>
      </c>
      <c r="K98" s="1" t="s">
        <v>867</v>
      </c>
      <c r="L98" s="2">
        <f>HYPERLINK("https://waterdata.usgs.gov/nwis/nwismap/?site_no=07381324&amp;agency_cd=USGS", "Station Info")</f>
        <v>0</v>
      </c>
      <c r="M98" s="2">
        <f>HYPERLINK("https://waterservices.usgs.gov/nwis/site/?site=07381324&amp;format=rdb", "Datum Info")</f>
        <v>0</v>
      </c>
    </row>
    <row r="99" spans="1:14">
      <c r="A99" s="1" t="s">
        <v>453</v>
      </c>
      <c r="B99" s="1" t="s">
        <v>630</v>
      </c>
      <c r="C99" s="1" t="s">
        <v>649</v>
      </c>
      <c r="D99" s="1" t="s">
        <v>654</v>
      </c>
      <c r="E99" s="1" t="s">
        <v>781</v>
      </c>
      <c r="F99" s="1" t="s">
        <v>848</v>
      </c>
      <c r="G99" s="1">
        <v>-91.2104722</v>
      </c>
      <c r="H99" s="1">
        <v>30.4322222</v>
      </c>
      <c r="I99" s="1" t="s">
        <v>2251</v>
      </c>
      <c r="J99" s="1" t="s">
        <v>861</v>
      </c>
      <c r="K99" s="1" t="s">
        <v>867</v>
      </c>
      <c r="L99" s="2">
        <f>HYPERLINK("https://waterdata.usgs.gov/nwis/nwismap/?site_no=07381412&amp;agency_cd=USGS", "Station Info")</f>
        <v>0</v>
      </c>
      <c r="M99" s="2">
        <f>HYPERLINK("https://waterservices.usgs.gov/nwis/site/?site=07381412&amp;format=rdb", "Datum Info")</f>
        <v>0</v>
      </c>
    </row>
    <row r="100" spans="1:14">
      <c r="A100" s="1" t="s">
        <v>455</v>
      </c>
      <c r="B100" s="1" t="s">
        <v>630</v>
      </c>
      <c r="D100" s="1" t="s">
        <v>654</v>
      </c>
      <c r="E100" s="1" t="s">
        <v>766</v>
      </c>
      <c r="F100" s="1" t="s">
        <v>848</v>
      </c>
      <c r="G100" s="1">
        <v>-89.53416122</v>
      </c>
      <c r="H100" s="1">
        <v>30.19471672</v>
      </c>
      <c r="I100" s="1" t="s">
        <v>2253</v>
      </c>
      <c r="J100" s="1" t="s">
        <v>861</v>
      </c>
      <c r="K100" s="1" t="s">
        <v>867</v>
      </c>
      <c r="L100" s="2">
        <f>HYPERLINK("https://waterdata.usgs.gov/nwis/nwismap/?site_no=301141089320300&amp;agency_cd=USGS", "Station Info")</f>
        <v>0</v>
      </c>
      <c r="M100" s="2">
        <f>HYPERLINK("https://waterservices.usgs.gov/nwis/site/?site=301141089320300&amp;format=rdb", "Datum Info")</f>
        <v>0</v>
      </c>
    </row>
    <row r="101" spans="1:14">
      <c r="A101" s="1" t="s">
        <v>459</v>
      </c>
      <c r="B101" s="1" t="s">
        <v>631</v>
      </c>
      <c r="C101" s="1" t="s">
        <v>645</v>
      </c>
      <c r="D101" s="1" t="s">
        <v>654</v>
      </c>
      <c r="E101" s="1" t="s">
        <v>782</v>
      </c>
      <c r="F101" s="1" t="s">
        <v>847</v>
      </c>
      <c r="G101" s="1">
        <v>-81.5443056</v>
      </c>
      <c r="H101" s="1">
        <v>25.926</v>
      </c>
      <c r="I101" s="1" t="s">
        <v>2254</v>
      </c>
      <c r="J101" s="1" t="s">
        <v>861</v>
      </c>
      <c r="K101" s="1" t="s">
        <v>867</v>
      </c>
      <c r="L101" s="2">
        <f>HYPERLINK("https://waterdata.usgs.gov/nwis/nwismap/?site_no=255534081324000&amp;agency_cd=USGS", "Station Info")</f>
        <v>0</v>
      </c>
      <c r="M101" s="2">
        <f>HYPERLINK("https://waterservices.usgs.gov/nwis/site/?site=255534081324000&amp;format=rdb", "Datum Info")</f>
        <v>0</v>
      </c>
    </row>
    <row r="102" spans="1:14">
      <c r="A102" s="1" t="s">
        <v>461</v>
      </c>
      <c r="B102" s="1" t="s">
        <v>632</v>
      </c>
      <c r="C102" s="1" t="s">
        <v>645</v>
      </c>
      <c r="D102" s="1" t="s">
        <v>654</v>
      </c>
      <c r="E102" s="1" t="s">
        <v>783</v>
      </c>
      <c r="F102" s="1" t="s">
        <v>847</v>
      </c>
      <c r="G102" s="1">
        <v>-81.52201253</v>
      </c>
      <c r="H102" s="1">
        <v>29.16691896</v>
      </c>
      <c r="I102" s="1" t="s">
        <v>2255</v>
      </c>
      <c r="J102" s="1" t="s">
        <v>861</v>
      </c>
      <c r="K102" s="1" t="s">
        <v>867</v>
      </c>
      <c r="L102" s="2">
        <f>HYPERLINK("https://waterdata.usgs.gov/nwis/nwismap/?site_no=02236125&amp;agency_cd=USGS", "Station Info")</f>
        <v>0</v>
      </c>
      <c r="M102" s="2">
        <f>HYPERLINK("https://waterservices.usgs.gov/nwis/site/?site=02236125&amp;format=rdb", "Datum Info")</f>
        <v>0</v>
      </c>
    </row>
    <row r="103" spans="1:14">
      <c r="A103" s="1" t="s">
        <v>465</v>
      </c>
      <c r="B103" s="1" t="s">
        <v>632</v>
      </c>
      <c r="C103" s="1" t="s">
        <v>645</v>
      </c>
      <c r="D103" s="1" t="s">
        <v>654</v>
      </c>
      <c r="E103" s="1" t="s">
        <v>784</v>
      </c>
      <c r="F103" s="1" t="s">
        <v>847</v>
      </c>
      <c r="G103" s="1">
        <v>-80.16</v>
      </c>
      <c r="H103" s="1">
        <v>26.98528333</v>
      </c>
      <c r="I103" s="1" t="s">
        <v>2259</v>
      </c>
      <c r="J103" s="1" t="s">
        <v>861</v>
      </c>
      <c r="K103" s="1" t="s">
        <v>867</v>
      </c>
      <c r="L103" s="2">
        <f>HYPERLINK("https://waterdata.usgs.gov/nwis/nwismap/?site_no=265906080093500&amp;agency_cd=USGS", "Station Info")</f>
        <v>0</v>
      </c>
      <c r="M103" s="2">
        <f>HYPERLINK("https://waterservices.usgs.gov/nwis/site/?site=265906080093500&amp;format=rdb", "Datum Info")</f>
        <v>0</v>
      </c>
    </row>
    <row r="104" spans="1:14">
      <c r="A104" s="1" t="s">
        <v>467</v>
      </c>
      <c r="B104" s="1" t="s">
        <v>633</v>
      </c>
      <c r="C104" s="1" t="s">
        <v>645</v>
      </c>
      <c r="D104" s="1" t="s">
        <v>654</v>
      </c>
      <c r="E104" s="1" t="s">
        <v>786</v>
      </c>
      <c r="F104" s="1" t="s">
        <v>850</v>
      </c>
      <c r="G104" s="1">
        <v>-87.8254</v>
      </c>
      <c r="H104" s="1">
        <v>30.4169</v>
      </c>
      <c r="I104" s="1">
        <v>8732828</v>
      </c>
      <c r="J104" s="1" t="s">
        <v>865</v>
      </c>
      <c r="K104" s="1" t="s">
        <v>866</v>
      </c>
      <c r="L104" s="2">
        <f>HYPERLINK("https://tidesandcurrents.noaa.gov/stationhome.html?id=8732828", "Station Info")</f>
        <v>0</v>
      </c>
      <c r="M104" s="2">
        <f>HYPERLINK("https://tidesandcurrents.noaa.gov/datums.html?datum=MLLW&amp;units=0&amp;epoch=0&amp;id=8732828", "Datum Info")</f>
        <v>0</v>
      </c>
      <c r="N104" s="2">
        <f>HYPERLINK("https://api.tidesandcurrents.noaa.gov/mdapi/prod/webapi/stations/8732828.json", "More Info")</f>
        <v>0</v>
      </c>
    </row>
    <row r="105" spans="1:14">
      <c r="A105" s="1" t="s">
        <v>470</v>
      </c>
      <c r="B105" s="1" t="s">
        <v>633</v>
      </c>
      <c r="C105" s="1" t="s">
        <v>645</v>
      </c>
      <c r="D105" s="1" t="s">
        <v>654</v>
      </c>
      <c r="G105" s="1">
        <v>-88.1139</v>
      </c>
      <c r="H105" s="1">
        <v>30.4437</v>
      </c>
      <c r="I105" s="1">
        <v>8735523</v>
      </c>
      <c r="J105" s="1" t="s">
        <v>865</v>
      </c>
      <c r="K105" s="1" t="s">
        <v>866</v>
      </c>
      <c r="L105" s="2">
        <f>HYPERLINK("https://tidesandcurrents.noaa.gov/stationhome.html?id=8735523", "Station Info")</f>
        <v>0</v>
      </c>
      <c r="M105" s="2">
        <f>HYPERLINK("https://tidesandcurrents.noaa.gov/datums.html?datum=MLLW&amp;units=0&amp;epoch=0&amp;id=8735523", "Datum Info")</f>
        <v>0</v>
      </c>
      <c r="N105" s="2">
        <f>HYPERLINK("https://api.tidesandcurrents.noaa.gov/mdapi/prod/webapi/stations/8735523.json", "More Info")</f>
        <v>0</v>
      </c>
    </row>
    <row r="106" spans="1:14">
      <c r="A106" s="1" t="s">
        <v>473</v>
      </c>
      <c r="B106" s="1" t="s">
        <v>633</v>
      </c>
      <c r="C106" s="1" t="s">
        <v>645</v>
      </c>
      <c r="D106" s="1" t="s">
        <v>654</v>
      </c>
      <c r="E106" s="1" t="s">
        <v>787</v>
      </c>
      <c r="F106" s="1" t="s">
        <v>850</v>
      </c>
      <c r="G106" s="1">
        <v>-88.0736</v>
      </c>
      <c r="H106" s="1">
        <v>30.7819</v>
      </c>
      <c r="I106" s="1">
        <v>8737138</v>
      </c>
      <c r="J106" s="1" t="s">
        <v>865</v>
      </c>
      <c r="K106" s="1" t="s">
        <v>866</v>
      </c>
      <c r="L106" s="2">
        <f>HYPERLINK("https://tidesandcurrents.noaa.gov/stationhome.html?id=8737138", "Station Info")</f>
        <v>0</v>
      </c>
      <c r="M106" s="2">
        <f>HYPERLINK("https://tidesandcurrents.noaa.gov/datums.html?datum=MLLW&amp;units=0&amp;epoch=0&amp;id=8737138", "Datum Info")</f>
        <v>0</v>
      </c>
      <c r="N106" s="2">
        <f>HYPERLINK("https://api.tidesandcurrents.noaa.gov/mdapi/prod/webapi/stations/8737138.json", "More Info")</f>
        <v>0</v>
      </c>
    </row>
    <row r="107" spans="1:14">
      <c r="A107" s="1" t="s">
        <v>474</v>
      </c>
      <c r="B107" s="1" t="s">
        <v>633</v>
      </c>
      <c r="C107" s="1" t="s">
        <v>649</v>
      </c>
      <c r="D107" s="1" t="s">
        <v>654</v>
      </c>
      <c r="E107" s="1" t="s">
        <v>787</v>
      </c>
      <c r="F107" s="1" t="s">
        <v>850</v>
      </c>
      <c r="G107" s="1">
        <v>-88.15860000000001</v>
      </c>
      <c r="H107" s="1">
        <v>30.3766</v>
      </c>
      <c r="I107" s="1">
        <v>8738043</v>
      </c>
      <c r="J107" s="1" t="s">
        <v>865</v>
      </c>
      <c r="K107" s="1" t="s">
        <v>866</v>
      </c>
      <c r="L107" s="2">
        <f>HYPERLINK("https://tidesandcurrents.noaa.gov/stationhome.html?id=8738043", "Station Info")</f>
        <v>0</v>
      </c>
      <c r="M107" s="2">
        <f>HYPERLINK("https://tidesandcurrents.noaa.gov/datums.html?datum=MLLW&amp;units=0&amp;epoch=0&amp;id=8738043", "Datum Info")</f>
        <v>0</v>
      </c>
      <c r="N107" s="2">
        <f>HYPERLINK("https://api.tidesandcurrents.noaa.gov/mdapi/prod/webapi/stations/8738043.json", "More Info")</f>
        <v>0</v>
      </c>
    </row>
    <row r="108" spans="1:14">
      <c r="A108" s="1" t="s">
        <v>477</v>
      </c>
      <c r="B108" s="1" t="s">
        <v>634</v>
      </c>
      <c r="D108" s="1" t="s">
        <v>654</v>
      </c>
      <c r="E108" s="1" t="s">
        <v>789</v>
      </c>
      <c r="F108" s="1" t="s">
        <v>653</v>
      </c>
      <c r="G108" s="1">
        <v>-66.16246</v>
      </c>
      <c r="H108" s="1">
        <v>18.45036</v>
      </c>
      <c r="I108" s="1" t="s">
        <v>859</v>
      </c>
      <c r="J108" s="1" t="s">
        <v>861</v>
      </c>
      <c r="K108" s="1" t="s">
        <v>859</v>
      </c>
    </row>
    <row r="109" spans="1:14">
      <c r="A109" s="1" t="s">
        <v>478</v>
      </c>
      <c r="B109" s="1" t="s">
        <v>634</v>
      </c>
      <c r="D109" s="1" t="s">
        <v>654</v>
      </c>
      <c r="E109" s="1" t="s">
        <v>790</v>
      </c>
      <c r="F109" s="1" t="s">
        <v>653</v>
      </c>
      <c r="G109" s="1">
        <v>-66.25814</v>
      </c>
      <c r="H109" s="1">
        <v>18.45856</v>
      </c>
      <c r="I109" s="1" t="s">
        <v>859</v>
      </c>
      <c r="J109" s="1" t="s">
        <v>861</v>
      </c>
      <c r="K109" s="1" t="s">
        <v>859</v>
      </c>
    </row>
    <row r="110" spans="1:14">
      <c r="A110" s="1" t="s">
        <v>479</v>
      </c>
      <c r="B110" s="1" t="s">
        <v>634</v>
      </c>
      <c r="D110" s="1" t="s">
        <v>654</v>
      </c>
      <c r="E110" s="1" t="s">
        <v>791</v>
      </c>
      <c r="F110" s="1" t="s">
        <v>653</v>
      </c>
      <c r="G110" s="1">
        <v>-65.73981999999999</v>
      </c>
      <c r="H110" s="1">
        <v>18.17517</v>
      </c>
      <c r="I110" s="1" t="s">
        <v>859</v>
      </c>
      <c r="J110" s="1" t="s">
        <v>861</v>
      </c>
      <c r="K110" s="1" t="s">
        <v>859</v>
      </c>
    </row>
    <row r="111" spans="1:14">
      <c r="A111" s="1" t="s">
        <v>480</v>
      </c>
      <c r="B111" s="1" t="s">
        <v>634</v>
      </c>
      <c r="D111" s="1" t="s">
        <v>654</v>
      </c>
      <c r="G111" s="1">
        <v>-65.88271</v>
      </c>
      <c r="H111" s="1">
        <v>18.434</v>
      </c>
      <c r="I111" s="1" t="s">
        <v>859</v>
      </c>
      <c r="J111" s="1" t="s">
        <v>861</v>
      </c>
      <c r="K111" s="1" t="s">
        <v>859</v>
      </c>
    </row>
    <row r="112" spans="1:14">
      <c r="A112" s="1" t="s">
        <v>481</v>
      </c>
      <c r="B112" s="1" t="s">
        <v>634</v>
      </c>
      <c r="D112" s="1" t="s">
        <v>654</v>
      </c>
      <c r="E112" s="1" t="s">
        <v>792</v>
      </c>
      <c r="F112" s="1" t="s">
        <v>653</v>
      </c>
      <c r="G112" s="1">
        <v>-65.75138</v>
      </c>
      <c r="H112" s="1">
        <v>18.38511</v>
      </c>
      <c r="I112" s="1" t="s">
        <v>859</v>
      </c>
      <c r="J112" s="1" t="s">
        <v>861</v>
      </c>
      <c r="K112" s="1" t="s">
        <v>859</v>
      </c>
    </row>
    <row r="113" spans="1:14">
      <c r="A113" s="1" t="s">
        <v>485</v>
      </c>
      <c r="B113" s="1" t="s">
        <v>634</v>
      </c>
      <c r="D113" s="1" t="s">
        <v>654</v>
      </c>
      <c r="G113" s="1">
        <v>-66.08135</v>
      </c>
      <c r="H113" s="1">
        <v>18.4387</v>
      </c>
      <c r="I113" s="1" t="s">
        <v>859</v>
      </c>
      <c r="J113" s="1" t="s">
        <v>861</v>
      </c>
      <c r="K113" s="1" t="s">
        <v>859</v>
      </c>
    </row>
    <row r="114" spans="1:14">
      <c r="A114" s="1" t="s">
        <v>488</v>
      </c>
      <c r="B114" s="1" t="s">
        <v>635</v>
      </c>
      <c r="C114" s="1" t="s">
        <v>645</v>
      </c>
      <c r="D114" s="1" t="s">
        <v>654</v>
      </c>
      <c r="E114" s="1" t="s">
        <v>793</v>
      </c>
      <c r="F114" s="1" t="s">
        <v>847</v>
      </c>
      <c r="G114" s="1">
        <v>-84.5025</v>
      </c>
      <c r="H114" s="1">
        <v>29.988333</v>
      </c>
      <c r="I114" s="1" t="s">
        <v>859</v>
      </c>
      <c r="J114" s="1" t="s">
        <v>861</v>
      </c>
      <c r="K114" s="1" t="s">
        <v>859</v>
      </c>
    </row>
    <row r="115" spans="1:14">
      <c r="A115" s="1" t="s">
        <v>490</v>
      </c>
      <c r="B115" s="1" t="s">
        <v>635</v>
      </c>
      <c r="C115" s="1" t="s">
        <v>645</v>
      </c>
      <c r="D115" s="1" t="s">
        <v>654</v>
      </c>
      <c r="E115" s="1" t="s">
        <v>794</v>
      </c>
      <c r="F115" s="1" t="s">
        <v>847</v>
      </c>
      <c r="G115" s="1">
        <v>-83.08651500000001</v>
      </c>
      <c r="H115" s="1">
        <v>29.33940554</v>
      </c>
      <c r="I115" s="1" t="s">
        <v>2261</v>
      </c>
      <c r="J115" s="1" t="s">
        <v>861</v>
      </c>
      <c r="K115" s="1" t="s">
        <v>867</v>
      </c>
      <c r="L115" s="2">
        <f>HYPERLINK("https://waterdata.usgs.gov/nwis/nwismap/?site_no=02323592&amp;agency_cd=USGS", "Station Info")</f>
        <v>0</v>
      </c>
      <c r="M115" s="2">
        <f>HYPERLINK("https://waterservices.usgs.gov/nwis/site/?site=02323592&amp;format=rdb", "Datum Info")</f>
        <v>0</v>
      </c>
    </row>
    <row r="116" spans="1:14">
      <c r="A116" s="1" t="s">
        <v>493</v>
      </c>
      <c r="B116" s="1" t="s">
        <v>635</v>
      </c>
      <c r="C116" s="1" t="s">
        <v>645</v>
      </c>
      <c r="D116" s="1" t="s">
        <v>654</v>
      </c>
      <c r="E116" s="1" t="s">
        <v>795</v>
      </c>
      <c r="F116" s="1" t="s">
        <v>847</v>
      </c>
      <c r="G116" s="1">
        <v>-83.8987028</v>
      </c>
      <c r="H116" s="1">
        <v>30.06811667</v>
      </c>
      <c r="I116" s="1" t="s">
        <v>2264</v>
      </c>
      <c r="J116" s="1" t="s">
        <v>860</v>
      </c>
      <c r="K116" s="1" t="s">
        <v>867</v>
      </c>
      <c r="L116" s="2">
        <f>HYPERLINK("https://waterdata.usgs.gov/nwis/nwismap/?site_no=02326050&amp;agency_cd=USGS", "Station Info")</f>
        <v>0</v>
      </c>
      <c r="M116" s="2">
        <f>HYPERLINK("https://waterservices.usgs.gov/nwis/site/?site=02326050&amp;format=rdb", "Datum Info")</f>
        <v>0</v>
      </c>
    </row>
    <row r="117" spans="1:14">
      <c r="A117" s="1" t="s">
        <v>494</v>
      </c>
      <c r="B117" s="1" t="s">
        <v>635</v>
      </c>
      <c r="C117" s="1" t="s">
        <v>645</v>
      </c>
      <c r="D117" s="1" t="s">
        <v>654</v>
      </c>
      <c r="E117" s="1" t="s">
        <v>795</v>
      </c>
      <c r="F117" s="1" t="s">
        <v>847</v>
      </c>
      <c r="G117" s="1">
        <v>-83.97976887999999</v>
      </c>
      <c r="H117" s="1">
        <v>30.1123413</v>
      </c>
      <c r="I117" s="1" t="s">
        <v>2265</v>
      </c>
      <c r="J117" s="1" t="s">
        <v>861</v>
      </c>
      <c r="K117" s="1" t="s">
        <v>867</v>
      </c>
      <c r="L117" s="2">
        <f>HYPERLINK("https://waterdata.usgs.gov/nwis/nwismap/?site_no=02326550&amp;agency_cd=USGS", "Station Info")</f>
        <v>0</v>
      </c>
      <c r="M117" s="2">
        <f>HYPERLINK("https://waterservices.usgs.gov/nwis/site/?site=02326550&amp;format=rdb", "Datum Info")</f>
        <v>0</v>
      </c>
    </row>
    <row r="118" spans="1:14">
      <c r="A118" s="1" t="s">
        <v>505</v>
      </c>
      <c r="B118" s="1" t="s">
        <v>636</v>
      </c>
      <c r="C118" s="1" t="s">
        <v>645</v>
      </c>
      <c r="D118" s="1" t="s">
        <v>654</v>
      </c>
      <c r="E118" s="1" t="s">
        <v>800</v>
      </c>
      <c r="F118" s="1" t="s">
        <v>847</v>
      </c>
      <c r="G118" s="1">
        <v>-82.45889</v>
      </c>
      <c r="H118" s="1">
        <v>27.991667</v>
      </c>
      <c r="I118" s="1" t="s">
        <v>859</v>
      </c>
      <c r="J118" s="1" t="s">
        <v>861</v>
      </c>
      <c r="K118" s="1" t="s">
        <v>859</v>
      </c>
    </row>
    <row r="119" spans="1:14">
      <c r="A119" s="1" t="s">
        <v>506</v>
      </c>
      <c r="B119" s="1" t="s">
        <v>636</v>
      </c>
      <c r="C119" s="1" t="s">
        <v>645</v>
      </c>
      <c r="D119" s="1" t="s">
        <v>654</v>
      </c>
      <c r="E119" s="1" t="s">
        <v>801</v>
      </c>
      <c r="F119" s="1" t="s">
        <v>847</v>
      </c>
      <c r="G119" s="1">
        <v>-82.29306217</v>
      </c>
      <c r="H119" s="1">
        <v>27.04519129</v>
      </c>
      <c r="I119" s="1" t="s">
        <v>2268</v>
      </c>
      <c r="J119" s="1" t="s">
        <v>861</v>
      </c>
      <c r="K119" s="1" t="s">
        <v>867</v>
      </c>
      <c r="L119" s="2">
        <f>HYPERLINK("https://waterdata.usgs.gov/nwis/nwismap/?site_no=02299230&amp;agency_cd=USGS", "Station Info")</f>
        <v>0</v>
      </c>
      <c r="M119" s="2">
        <f>HYPERLINK("https://waterservices.usgs.gov/nwis/site/?site=02299230&amp;format=rdb", "Datum Info")</f>
        <v>0</v>
      </c>
    </row>
    <row r="120" spans="1:14">
      <c r="A120" s="1" t="s">
        <v>507</v>
      </c>
      <c r="B120" s="1" t="s">
        <v>636</v>
      </c>
      <c r="C120" s="1" t="s">
        <v>645</v>
      </c>
      <c r="D120" s="1" t="s">
        <v>654</v>
      </c>
      <c r="E120" s="1" t="s">
        <v>801</v>
      </c>
      <c r="F120" s="1" t="s">
        <v>847</v>
      </c>
      <c r="G120" s="1">
        <v>-82.43009243</v>
      </c>
      <c r="H120" s="1">
        <v>27.14393748</v>
      </c>
      <c r="I120" s="1" t="s">
        <v>2269</v>
      </c>
      <c r="J120" s="1" t="s">
        <v>861</v>
      </c>
      <c r="K120" s="1" t="s">
        <v>867</v>
      </c>
      <c r="L120" s="2">
        <f>HYPERLINK("https://waterdata.usgs.gov/nwis/nwismap/?site_no=02299727&amp;agency_cd=USGS", "Station Info")</f>
        <v>0</v>
      </c>
      <c r="M120" s="2">
        <f>HYPERLINK("https://waterservices.usgs.gov/nwis/site/?site=02299727&amp;format=rdb", "Datum Info")</f>
        <v>0</v>
      </c>
    </row>
    <row r="121" spans="1:14">
      <c r="A121" s="1" t="s">
        <v>510</v>
      </c>
      <c r="B121" s="1" t="s">
        <v>636</v>
      </c>
      <c r="C121" s="1" t="s">
        <v>645</v>
      </c>
      <c r="D121" s="1" t="s">
        <v>654</v>
      </c>
      <c r="E121" s="1" t="s">
        <v>802</v>
      </c>
      <c r="F121" s="1" t="s">
        <v>847</v>
      </c>
      <c r="G121" s="1">
        <v>-82.72259711</v>
      </c>
      <c r="H121" s="1">
        <v>28.25028246</v>
      </c>
      <c r="I121" s="1" t="s">
        <v>2272</v>
      </c>
      <c r="J121" s="1" t="s">
        <v>861</v>
      </c>
      <c r="K121" s="1" t="s">
        <v>867</v>
      </c>
      <c r="L121" s="2">
        <f>HYPERLINK("https://waterdata.usgs.gov/nwis/nwismap/?site_no=02310308&amp;agency_cd=USGS", "Station Info")</f>
        <v>0</v>
      </c>
      <c r="M121" s="2">
        <f>HYPERLINK("https://waterservices.usgs.gov/nwis/site/?site=02310308&amp;format=rdb", "Datum Info")</f>
        <v>0</v>
      </c>
    </row>
    <row r="122" spans="1:14">
      <c r="A122" s="1" t="s">
        <v>511</v>
      </c>
      <c r="B122" s="1" t="s">
        <v>636</v>
      </c>
      <c r="C122" s="1" t="s">
        <v>645</v>
      </c>
      <c r="D122" s="1" t="s">
        <v>654</v>
      </c>
      <c r="E122" s="1" t="s">
        <v>803</v>
      </c>
      <c r="F122" s="1" t="s">
        <v>847</v>
      </c>
      <c r="G122" s="1">
        <v>-82.5767656</v>
      </c>
      <c r="H122" s="1">
        <v>28.71526419</v>
      </c>
      <c r="I122" s="1" t="s">
        <v>2273</v>
      </c>
      <c r="J122" s="1" t="s">
        <v>861</v>
      </c>
      <c r="K122" s="1" t="s">
        <v>867</v>
      </c>
      <c r="L122" s="2">
        <f>HYPERLINK("https://waterdata.usgs.gov/nwis/nwismap/?site_no=02310650&amp;agency_cd=USGS", "Station Info")</f>
        <v>0</v>
      </c>
      <c r="M122" s="2">
        <f>HYPERLINK("https://waterservices.usgs.gov/nwis/site/?site=02310650&amp;format=rdb", "Datum Info")</f>
        <v>0</v>
      </c>
    </row>
    <row r="123" spans="1:14">
      <c r="A123" s="1" t="s">
        <v>520</v>
      </c>
      <c r="B123" s="1" t="s">
        <v>636</v>
      </c>
      <c r="C123" s="1" t="s">
        <v>645</v>
      </c>
      <c r="D123" s="1" t="s">
        <v>654</v>
      </c>
      <c r="E123" s="1" t="s">
        <v>804</v>
      </c>
      <c r="F123" s="1" t="s">
        <v>847</v>
      </c>
      <c r="G123" s="1">
        <v>-82.76899747</v>
      </c>
      <c r="H123" s="1">
        <v>29.20412832</v>
      </c>
      <c r="I123" s="1" t="s">
        <v>2281</v>
      </c>
      <c r="J123" s="1" t="s">
        <v>861</v>
      </c>
      <c r="K123" s="1" t="s">
        <v>867</v>
      </c>
      <c r="L123" s="2">
        <f>HYPERLINK("https://waterdata.usgs.gov/nwis/nwismap/?site_no=02313700&amp;agency_cd=USGS", "Station Info")</f>
        <v>0</v>
      </c>
      <c r="M123" s="2">
        <f>HYPERLINK("https://waterservices.usgs.gov/nwis/site/?site=02313700&amp;format=rdb", "Datum Info")</f>
        <v>0</v>
      </c>
    </row>
    <row r="124" spans="1:14">
      <c r="A124" s="1" t="s">
        <v>522</v>
      </c>
      <c r="B124" s="1" t="s">
        <v>637</v>
      </c>
      <c r="C124" s="1" t="s">
        <v>650</v>
      </c>
      <c r="D124" s="1" t="s">
        <v>655</v>
      </c>
      <c r="E124" s="1" t="s">
        <v>805</v>
      </c>
      <c r="F124" s="1" t="s">
        <v>851</v>
      </c>
      <c r="G124" s="1">
        <v>-123.805</v>
      </c>
      <c r="H124" s="1">
        <v>39.4258</v>
      </c>
      <c r="I124" s="1">
        <v>9417426</v>
      </c>
      <c r="J124" s="1" t="s">
        <v>861</v>
      </c>
      <c r="K124" s="1" t="s">
        <v>866</v>
      </c>
      <c r="L124" s="2">
        <f>HYPERLINK("https://tidesandcurrents.noaa.gov/stationhome.html?id=9417426", "Station Info")</f>
        <v>0</v>
      </c>
      <c r="M124" s="2">
        <f>HYPERLINK("https://tidesandcurrents.noaa.gov/datums.html?datum=MLLW&amp;units=0&amp;epoch=0&amp;id=9417426", "Datum Info")</f>
        <v>0</v>
      </c>
      <c r="N124" s="2">
        <f>HYPERLINK("https://api.tidesandcurrents.noaa.gov/mdapi/prod/webapi/stations/9417426.json", "More Info")</f>
        <v>0</v>
      </c>
    </row>
    <row r="125" spans="1:14">
      <c r="A125" s="1" t="s">
        <v>585</v>
      </c>
      <c r="B125" s="1" t="s">
        <v>642</v>
      </c>
      <c r="C125" s="1" t="s">
        <v>651</v>
      </c>
      <c r="D125" s="1" t="s">
        <v>655</v>
      </c>
      <c r="E125" s="1" t="s">
        <v>823</v>
      </c>
      <c r="F125" s="1" t="s">
        <v>853</v>
      </c>
      <c r="G125" s="1">
        <v>-124.285</v>
      </c>
      <c r="H125" s="1">
        <v>47.34833</v>
      </c>
      <c r="I125" s="1">
        <v>9441644</v>
      </c>
      <c r="J125" s="1" t="s">
        <v>861</v>
      </c>
      <c r="K125" s="1" t="s">
        <v>866</v>
      </c>
      <c r="L125" s="2">
        <f>HYPERLINK("https://tidesandcurrents.noaa.gov/stationhome.html?id=9441644", "Station Info")</f>
        <v>0</v>
      </c>
      <c r="M125" s="2">
        <f>HYPERLINK("https://tidesandcurrents.noaa.gov/datums.html?datum=MHHW&amp;units=0&amp;epoch=0&amp;id=9441644", "Datum Info")</f>
        <v>0</v>
      </c>
      <c r="N125" s="2">
        <f>HYPERLINK("https://api.tidesandcurrents.noaa.gov/mdapi/prod/webapi/stations/9441644.json", "More Info")</f>
        <v>0</v>
      </c>
    </row>
    <row r="126" spans="1:14">
      <c r="A126" s="1" t="s">
        <v>594</v>
      </c>
      <c r="B126" s="1" t="s">
        <v>642</v>
      </c>
      <c r="C126" s="1" t="s">
        <v>651</v>
      </c>
      <c r="D126" s="1" t="s">
        <v>655</v>
      </c>
      <c r="E126" s="1" t="s">
        <v>825</v>
      </c>
      <c r="F126" s="1" t="s">
        <v>853</v>
      </c>
      <c r="G126" s="1">
        <v>-122.316</v>
      </c>
      <c r="H126" s="1">
        <v>47.5304</v>
      </c>
      <c r="I126" s="1">
        <v>9447029</v>
      </c>
      <c r="J126" s="1" t="s">
        <v>861</v>
      </c>
      <c r="K126" s="1" t="s">
        <v>866</v>
      </c>
      <c r="L126" s="2">
        <f>HYPERLINK("https://tidesandcurrents.noaa.gov/stationhome.html?id=9447029", "Station Info")</f>
        <v>0</v>
      </c>
      <c r="M126" s="2">
        <f>HYPERLINK("https://tidesandcurrents.noaa.gov/datums.html?datum=MLLW&amp;units=0&amp;epoch=0&amp;id=9447029", "Datum Info")</f>
        <v>0</v>
      </c>
      <c r="N126" s="2">
        <f>HYPERLINK("https://api.tidesandcurrents.noaa.gov/mdapi/prod/webapi/stations/9447029.json", "More Info")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NWM List with Conversions</vt:lpstr>
      <vt:lpstr>Tidal Datums</vt:lpstr>
      <vt:lpstr>Master List</vt:lpstr>
      <vt:lpstr>QC VDatum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2023-02-24T20:00:19Z</dcterms:created>
  <dcterms:modified xsi:type="dcterms:W3CDTF">2023-02-24T20:00:19Z</dcterms:modified>
</cp:coreProperties>
</file>