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Entry Form" sheetId="1" r:id="rId1"/>
    <sheet name="Administr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2" l="1"/>
  <c r="B6" i="2"/>
  <c r="C6" i="2"/>
  <c r="D6" i="2"/>
  <c r="E6" i="2"/>
  <c r="F6" i="2"/>
  <c r="G6" i="2"/>
  <c r="H6" i="2"/>
  <c r="I6" i="2"/>
  <c r="J6" i="2"/>
  <c r="A7" i="2"/>
  <c r="A8" i="2"/>
  <c r="A9" i="2"/>
  <c r="A10" i="2"/>
  <c r="A11" i="2"/>
  <c r="A12" i="2"/>
  <c r="A13" i="2"/>
  <c r="A14" i="2"/>
  <c r="A15" i="2"/>
  <c r="B18" i="2"/>
  <c r="C18" i="2"/>
  <c r="D18" i="2"/>
  <c r="E18" i="2"/>
  <c r="F18" i="2"/>
  <c r="G18" i="2"/>
  <c r="H18" i="2"/>
  <c r="I18" i="2"/>
  <c r="J18" i="2"/>
  <c r="A19" i="2"/>
  <c r="A20" i="2"/>
  <c r="A21" i="2"/>
  <c r="A22" i="2"/>
  <c r="A23" i="2"/>
  <c r="J25" i="2"/>
  <c r="Q93" i="1"/>
  <c r="I22" i="2" s="1"/>
  <c r="P93" i="1"/>
  <c r="H22" i="2" s="1"/>
  <c r="O93" i="1"/>
  <c r="G22" i="2" s="1"/>
  <c r="N93" i="1"/>
  <c r="F22" i="2" s="1"/>
  <c r="M93" i="1"/>
  <c r="E22" i="2" s="1"/>
  <c r="Q92" i="1"/>
  <c r="I21" i="2" s="1"/>
  <c r="P92" i="1"/>
  <c r="H21" i="2" s="1"/>
  <c r="O92" i="1"/>
  <c r="G21" i="2" s="1"/>
  <c r="N92" i="1"/>
  <c r="F21" i="2" s="1"/>
  <c r="M92" i="1"/>
  <c r="E21" i="2" s="1"/>
  <c r="Q91" i="1"/>
  <c r="I20" i="2" s="1"/>
  <c r="P91" i="1"/>
  <c r="H20" i="2" s="1"/>
  <c r="O91" i="1"/>
  <c r="G20" i="2" s="1"/>
  <c r="N91" i="1"/>
  <c r="F20" i="2" s="1"/>
  <c r="M91" i="1"/>
  <c r="E20" i="2" s="1"/>
  <c r="Q90" i="1"/>
  <c r="Q94" i="1" s="1"/>
  <c r="I23" i="2" s="1"/>
  <c r="P90" i="1"/>
  <c r="H19" i="2" s="1"/>
  <c r="O90" i="1"/>
  <c r="O94" i="1" s="1"/>
  <c r="G23" i="2" s="1"/>
  <c r="N90" i="1"/>
  <c r="F19" i="2" s="1"/>
  <c r="M90" i="1"/>
  <c r="M94" i="1" s="1"/>
  <c r="E23" i="2" s="1"/>
  <c r="Q85" i="1"/>
  <c r="I14" i="2" s="1"/>
  <c r="P85" i="1"/>
  <c r="H14" i="2" s="1"/>
  <c r="O85" i="1"/>
  <c r="G14" i="2" s="1"/>
  <c r="N85" i="1"/>
  <c r="F14" i="2" s="1"/>
  <c r="M85" i="1"/>
  <c r="E14" i="2" s="1"/>
  <c r="Q84" i="1"/>
  <c r="I13" i="2" s="1"/>
  <c r="P84" i="1"/>
  <c r="H13" i="2" s="1"/>
  <c r="O84" i="1"/>
  <c r="G13" i="2" s="1"/>
  <c r="N84" i="1"/>
  <c r="F13" i="2" s="1"/>
  <c r="M84" i="1"/>
  <c r="E13" i="2" s="1"/>
  <c r="Q83" i="1"/>
  <c r="I12" i="2" s="1"/>
  <c r="P83" i="1"/>
  <c r="H12" i="2" s="1"/>
  <c r="O83" i="1"/>
  <c r="G12" i="2" s="1"/>
  <c r="N83" i="1"/>
  <c r="F12" i="2" s="1"/>
  <c r="M83" i="1"/>
  <c r="E12" i="2" s="1"/>
  <c r="L83" i="1"/>
  <c r="D12" i="2" s="1"/>
  <c r="K83" i="1"/>
  <c r="C12" i="2" s="1"/>
  <c r="Q82" i="1"/>
  <c r="I11" i="2" s="1"/>
  <c r="P82" i="1"/>
  <c r="H11" i="2" s="1"/>
  <c r="O82" i="1"/>
  <c r="G11" i="2" s="1"/>
  <c r="N82" i="1"/>
  <c r="F11" i="2" s="1"/>
  <c r="M82" i="1"/>
  <c r="E11" i="2" s="1"/>
  <c r="L82" i="1"/>
  <c r="D11" i="2" s="1"/>
  <c r="K82" i="1"/>
  <c r="C11" i="2" s="1"/>
  <c r="Q81" i="1"/>
  <c r="I10" i="2" s="1"/>
  <c r="P81" i="1"/>
  <c r="H10" i="2" s="1"/>
  <c r="O81" i="1"/>
  <c r="G10" i="2" s="1"/>
  <c r="N81" i="1"/>
  <c r="F10" i="2" s="1"/>
  <c r="M81" i="1"/>
  <c r="E10" i="2" s="1"/>
  <c r="Q80" i="1"/>
  <c r="I9" i="2" s="1"/>
  <c r="P80" i="1"/>
  <c r="H9" i="2" s="1"/>
  <c r="O80" i="1"/>
  <c r="G9" i="2" s="1"/>
  <c r="N80" i="1"/>
  <c r="F9" i="2" s="1"/>
  <c r="M80" i="1"/>
  <c r="E9" i="2" s="1"/>
  <c r="Q79" i="1"/>
  <c r="I8" i="2" s="1"/>
  <c r="P79" i="1"/>
  <c r="H8" i="2" s="1"/>
  <c r="O79" i="1"/>
  <c r="G8" i="2" s="1"/>
  <c r="N79" i="1"/>
  <c r="F8" i="2" s="1"/>
  <c r="M79" i="1"/>
  <c r="E8" i="2" s="1"/>
  <c r="Q78" i="1"/>
  <c r="Q86" i="1" s="1"/>
  <c r="I15" i="2" s="1"/>
  <c r="P78" i="1"/>
  <c r="H7" i="2" s="1"/>
  <c r="O78" i="1"/>
  <c r="O86" i="1" s="1"/>
  <c r="G15" i="2" s="1"/>
  <c r="N78" i="1"/>
  <c r="F7" i="2" s="1"/>
  <c r="M78" i="1"/>
  <c r="M86" i="1" s="1"/>
  <c r="E15" i="2" s="1"/>
  <c r="K93" i="1"/>
  <c r="C22" i="2" s="1"/>
  <c r="L93" i="1"/>
  <c r="D22" i="2" s="1"/>
  <c r="L92" i="1"/>
  <c r="D21" i="2" s="1"/>
  <c r="L91" i="1"/>
  <c r="D20" i="2" s="1"/>
  <c r="L90" i="1"/>
  <c r="D19" i="2" s="1"/>
  <c r="L85" i="1"/>
  <c r="D14" i="2" s="1"/>
  <c r="L84" i="1"/>
  <c r="D13" i="2" s="1"/>
  <c r="L81" i="1"/>
  <c r="D10" i="2" s="1"/>
  <c r="L80" i="1"/>
  <c r="D9" i="2" s="1"/>
  <c r="L79" i="1"/>
  <c r="D8" i="2" s="1"/>
  <c r="K92" i="1"/>
  <c r="C21" i="2" s="1"/>
  <c r="K91" i="1"/>
  <c r="C20" i="2" s="1"/>
  <c r="K90" i="1"/>
  <c r="C19" i="2" s="1"/>
  <c r="K85" i="1"/>
  <c r="C14" i="2" s="1"/>
  <c r="K84" i="1"/>
  <c r="C13" i="2" s="1"/>
  <c r="K81" i="1"/>
  <c r="C10" i="2" s="1"/>
  <c r="K80" i="1"/>
  <c r="C9" i="2" s="1"/>
  <c r="K79" i="1"/>
  <c r="C8" i="2" s="1"/>
  <c r="J85" i="1"/>
  <c r="B14" i="2" s="1"/>
  <c r="J84" i="1"/>
  <c r="R84" i="1" s="1"/>
  <c r="J13" i="2" s="1"/>
  <c r="J83" i="1"/>
  <c r="R83" i="1" s="1"/>
  <c r="J12" i="2" s="1"/>
  <c r="J82" i="1"/>
  <c r="B11" i="2" s="1"/>
  <c r="J90" i="1"/>
  <c r="R90" i="1" s="1"/>
  <c r="J19" i="2" s="1"/>
  <c r="J93" i="1"/>
  <c r="R93" i="1" s="1"/>
  <c r="J22" i="2" s="1"/>
  <c r="J92" i="1"/>
  <c r="R92" i="1" s="1"/>
  <c r="J21" i="2" s="1"/>
  <c r="J91" i="1"/>
  <c r="R91" i="1" s="1"/>
  <c r="J20" i="2" s="1"/>
  <c r="J81" i="1"/>
  <c r="B10" i="2" s="1"/>
  <c r="J80" i="1"/>
  <c r="B9" i="2" s="1"/>
  <c r="J79" i="1"/>
  <c r="B8" i="2" s="1"/>
  <c r="L78" i="1"/>
  <c r="D7" i="2" s="1"/>
  <c r="K78" i="1"/>
  <c r="C7" i="2" s="1"/>
  <c r="J78" i="1"/>
  <c r="I19" i="2" l="1"/>
  <c r="G19" i="2"/>
  <c r="E19" i="2"/>
  <c r="B13" i="2"/>
  <c r="B12" i="2"/>
  <c r="B22" i="2"/>
  <c r="B21" i="2"/>
  <c r="B20" i="2"/>
  <c r="B19" i="2"/>
  <c r="I7" i="2"/>
  <c r="G7" i="2"/>
  <c r="E7" i="2"/>
  <c r="N86" i="1"/>
  <c r="F15" i="2" s="1"/>
  <c r="P86" i="1"/>
  <c r="H15" i="2" s="1"/>
  <c r="N94" i="1"/>
  <c r="F23" i="2" s="1"/>
  <c r="P94" i="1"/>
  <c r="H23" i="2" s="1"/>
  <c r="R85" i="1"/>
  <c r="J14" i="2" s="1"/>
  <c r="K94" i="1"/>
  <c r="C23" i="2" s="1"/>
  <c r="L94" i="1"/>
  <c r="D23" i="2" s="1"/>
  <c r="J94" i="1"/>
  <c r="B23" i="2" s="1"/>
  <c r="R80" i="1"/>
  <c r="J9" i="2" s="1"/>
  <c r="R79" i="1"/>
  <c r="J8" i="2" s="1"/>
  <c r="L86" i="1"/>
  <c r="D15" i="2" s="1"/>
  <c r="R78" i="1"/>
  <c r="J7" i="2" s="1"/>
  <c r="J86" i="1"/>
  <c r="B15" i="2" s="1"/>
  <c r="R81" i="1"/>
  <c r="J10" i="2" s="1"/>
  <c r="K86" i="1"/>
  <c r="C15" i="2" s="1"/>
  <c r="R94" i="1" l="1"/>
  <c r="J23" i="2" s="1"/>
  <c r="R82" i="1"/>
  <c r="R86" i="1" l="1"/>
  <c r="J15" i="2" s="1"/>
  <c r="J11" i="2"/>
  <c r="R97" i="1"/>
  <c r="J26" i="2" s="1"/>
  <c r="L63" i="1"/>
  <c r="L62" i="1"/>
  <c r="A3" i="2" s="1"/>
  <c r="L61" i="1"/>
  <c r="A2" i="2" s="1"/>
  <c r="L60" i="1"/>
  <c r="A1" i="2" s="1"/>
  <c r="I32" i="1"/>
  <c r="N28" i="1"/>
  <c r="P28" i="1" s="1"/>
  <c r="N27" i="1"/>
  <c r="P27" i="1" s="1"/>
  <c r="N26" i="1"/>
  <c r="P26" i="1" s="1"/>
  <c r="N25" i="1"/>
  <c r="P25" i="1" s="1"/>
  <c r="N24" i="1"/>
  <c r="Q6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Q10" i="1"/>
  <c r="Q9" i="1"/>
  <c r="Q7" i="1"/>
  <c r="Q5" i="1"/>
  <c r="Q8" i="1" l="1"/>
  <c r="M10" i="1"/>
  <c r="N29" i="1"/>
  <c r="M5" i="1"/>
  <c r="M6" i="1"/>
  <c r="M7" i="1"/>
  <c r="M8" i="1"/>
  <c r="M9" i="1"/>
  <c r="P17" i="1"/>
  <c r="P24" i="1"/>
  <c r="R27" i="1" l="1"/>
  <c r="R9" i="1"/>
  <c r="R32" i="1" l="1"/>
</calcChain>
</file>

<file path=xl/sharedStrings.xml><?xml version="1.0" encoding="utf-8"?>
<sst xmlns="http://schemas.openxmlformats.org/spreadsheetml/2006/main" count="158" uniqueCount="92">
  <si>
    <t xml:space="preserve">2013 Circle of Stars Registration Form - Women   </t>
  </si>
  <si>
    <t xml:space="preserve">                        Team Competition Fees</t>
  </si>
  <si>
    <t>Host:  DeVeau's Gymnastics Booster Club - Fishers, IN</t>
  </si>
  <si>
    <r>
      <t xml:space="preserve">Entering a Team?  Enter </t>
    </r>
    <r>
      <rPr>
        <b/>
        <sz val="12"/>
        <color rgb="FF000000"/>
        <rFont val="Arial"/>
        <family val="2"/>
      </rPr>
      <t>Yes</t>
    </r>
    <r>
      <rPr>
        <sz val="12"/>
        <color rgb="FF000000"/>
        <rFont val="Arial"/>
        <family val="2"/>
      </rPr>
      <t xml:space="preserve"> or leave blank.  Minimum of 3 Gymnasts.</t>
    </r>
  </si>
  <si>
    <t>Yes</t>
  </si>
  <si>
    <t>Fee</t>
  </si>
  <si>
    <t>Instructions</t>
  </si>
  <si>
    <t>Level 3</t>
  </si>
  <si>
    <t>Level 9</t>
  </si>
  <si>
    <t>1.  Please enter data in the yellow boxes applicable for your team.</t>
  </si>
  <si>
    <t>Level 4</t>
  </si>
  <si>
    <t>Level 10/Open</t>
  </si>
  <si>
    <r>
      <t>2.  Save spreadsheet file as "</t>
    </r>
    <r>
      <rPr>
        <b/>
        <u/>
        <sz val="10"/>
        <color rgb="FF000000"/>
        <rFont val="Arial"/>
        <family val="2"/>
      </rPr>
      <t>Gym Name 2013</t>
    </r>
    <r>
      <rPr>
        <sz val="10"/>
        <color rgb="FF000000"/>
        <rFont val="Arial"/>
        <family val="2"/>
      </rPr>
      <t>".  For example "DeVeaus 2013"</t>
    </r>
  </si>
  <si>
    <t>Level 5</t>
  </si>
  <si>
    <t>Xcel Bronze</t>
  </si>
  <si>
    <t>Total Team Fee</t>
  </si>
  <si>
    <r>
      <t xml:space="preserve">3.  Create email titled </t>
    </r>
    <r>
      <rPr>
        <b/>
        <u/>
        <sz val="10"/>
        <color rgb="FF000000"/>
        <rFont val="Arial"/>
        <family val="2"/>
      </rPr>
      <t>"Team Registration - Your Gym Name"</t>
    </r>
  </si>
  <si>
    <t>Level 6</t>
  </si>
  <si>
    <t>Xcel Silver</t>
  </si>
  <si>
    <r>
      <t xml:space="preserve">4.  Send email to :  circleofstars2013@yahoo.com by </t>
    </r>
    <r>
      <rPr>
        <b/>
        <sz val="10"/>
        <color rgb="FF000000"/>
        <rFont val="Arial"/>
        <family val="2"/>
      </rPr>
      <t>November 10, 2012</t>
    </r>
  </si>
  <si>
    <t>Level 7</t>
  </si>
  <si>
    <t>Xcel Gold</t>
  </si>
  <si>
    <r>
      <t xml:space="preserve">5.  Mail payment by </t>
    </r>
    <r>
      <rPr>
        <b/>
        <sz val="10"/>
        <color rgb="FF000000"/>
        <rFont val="Arial"/>
        <family val="2"/>
      </rPr>
      <t xml:space="preserve">November 30, 2012 </t>
    </r>
    <r>
      <rPr>
        <sz val="10"/>
        <color rgb="FF000000"/>
        <rFont val="Arial"/>
        <family val="2"/>
      </rPr>
      <t>to:</t>
    </r>
  </si>
  <si>
    <t>DeVeau's Booster Club, Inc.</t>
  </si>
  <si>
    <t>Level 8</t>
  </si>
  <si>
    <t>Xcel Platinum</t>
  </si>
  <si>
    <t>P.O. Box 430</t>
  </si>
  <si>
    <t>Fishers, IN  46038</t>
  </si>
  <si>
    <t>Gym Information</t>
  </si>
  <si>
    <t>Gymnasts Fees</t>
  </si>
  <si>
    <t>Gym Name</t>
  </si>
  <si>
    <t>(000) 000-0000</t>
  </si>
  <si>
    <t>Level</t>
  </si>
  <si>
    <t># of Gymnast</t>
  </si>
  <si>
    <t>Total</t>
  </si>
  <si>
    <t>Gym USAG #</t>
  </si>
  <si>
    <t>Gym Phone #1</t>
  </si>
  <si>
    <t>/</t>
  </si>
  <si>
    <t>Gymnast</t>
  </si>
  <si>
    <t>$</t>
  </si>
  <si>
    <t>Street Address</t>
  </si>
  <si>
    <t>Gym Phone #2</t>
  </si>
  <si>
    <t>City</t>
  </si>
  <si>
    <t>Gym Fax #</t>
  </si>
  <si>
    <t>State</t>
  </si>
  <si>
    <t>Zip Code</t>
  </si>
  <si>
    <t>Contact Name</t>
  </si>
  <si>
    <t>Contact Phone #</t>
  </si>
  <si>
    <t>Contact E-mail</t>
  </si>
  <si>
    <t>Coaches Information</t>
  </si>
  <si>
    <t>Coach</t>
  </si>
  <si>
    <t>Name</t>
  </si>
  <si>
    <t>USAG #</t>
  </si>
  <si>
    <t>Safety Exp.</t>
  </si>
  <si>
    <t>Background Exp.</t>
  </si>
  <si>
    <t>Coach 1</t>
  </si>
  <si>
    <t>Coach 2</t>
  </si>
  <si>
    <t>TOTAL</t>
  </si>
  <si>
    <t>Coach 3</t>
  </si>
  <si>
    <t>Coach 4</t>
  </si>
  <si>
    <t>Coach 5</t>
  </si>
  <si>
    <t>Total Registration Fee Due</t>
  </si>
  <si>
    <t>Coach 6</t>
  </si>
  <si>
    <t>Gymnast Information</t>
  </si>
  <si>
    <t>Please make checks out to: DeVeau's Gymnastics Booster Club.</t>
  </si>
  <si>
    <t>T-Shirt</t>
  </si>
  <si>
    <t>Last Name</t>
  </si>
  <si>
    <t>First Name</t>
  </si>
  <si>
    <t>Birthdate</t>
  </si>
  <si>
    <t>Size</t>
  </si>
  <si>
    <t>No refunds after payment deadline (November 30, 2012).</t>
  </si>
  <si>
    <t>Reminder:  Admission is FREE for all spectators!!!</t>
  </si>
  <si>
    <t xml:space="preserve">Comments:    </t>
  </si>
  <si>
    <t>CS</t>
  </si>
  <si>
    <t>CM</t>
  </si>
  <si>
    <t>CL</t>
  </si>
  <si>
    <t>AXS</t>
  </si>
  <si>
    <t>AS</t>
  </si>
  <si>
    <t>AM</t>
  </si>
  <si>
    <t>AL</t>
  </si>
  <si>
    <t>AXL</t>
  </si>
  <si>
    <t>Administrative Notes:</t>
  </si>
  <si>
    <t xml:space="preserve">                                                                                                                                                      </t>
  </si>
  <si>
    <t># T-shirts /size</t>
  </si>
  <si>
    <t># Hoodies/size</t>
  </si>
  <si>
    <t xml:space="preserve">Apparel Order: </t>
  </si>
  <si>
    <t xml:space="preserve">     </t>
  </si>
  <si>
    <t>For Administrative Use Only:</t>
  </si>
  <si>
    <t>Ad</t>
  </si>
  <si>
    <t>Level 10</t>
  </si>
  <si>
    <t>Total Shirts/Level</t>
  </si>
  <si>
    <t>Total #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</si>
</sst>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"/>
    <numFmt numFmtId="165" formatCode="[&lt;=9999999]###\-####;\(###\)\ ###\-####"/>
    <numFmt numFmtId="166" formatCode="00000"/>
    <numFmt numFmtId="167" formatCode="mm/dd/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b/>
      <sz val="16"/>
      <color rgb="FFFFFFFF"/>
      <name val="Arial"/>
      <family val="2"/>
    </font>
    <font>
      <b/>
      <sz val="18"/>
      <name val="Arial"/>
      <family val="2"/>
    </font>
    <font>
      <sz val="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rgb="FFBFBFBF"/>
      <name val="Arial"/>
      <family val="2"/>
    </font>
    <font>
      <b/>
      <sz val="10"/>
      <name val="Symbol"/>
      <family val="1"/>
      <charset val="2"/>
    </font>
    <font>
      <u/>
      <sz val="11"/>
      <color rgb="FF0000FF"/>
      <name val="Calibri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Symbol"/>
      <family val="1"/>
      <charset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9.5"/>
      <name val="Arial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3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242">
    <xf numFmtId="0" fontId="0" fillId="0" borderId="0" xfId="0"/>
    <xf numFmtId="0" fontId="3" fillId="0" borderId="0" xfId="0" applyFont="1" applyFill="1" applyBorder="1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4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Protection="1"/>
    <xf numFmtId="0" fontId="3" fillId="3" borderId="1" xfId="0" applyFont="1" applyFill="1" applyBorder="1" applyProtection="1"/>
    <xf numFmtId="6" fontId="3" fillId="0" borderId="1" xfId="0" applyNumberFormat="1" applyFont="1" applyFill="1" applyBorder="1" applyAlignment="1" applyProtection="1">
      <alignment horizontal="right"/>
    </xf>
    <xf numFmtId="6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6" fontId="3" fillId="0" borderId="7" xfId="0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6" fontId="3" fillId="0" borderId="1" xfId="0" applyNumberFormat="1" applyFont="1" applyFill="1" applyBorder="1" applyAlignment="1" applyProtection="1">
      <alignment horizontal="center"/>
    </xf>
    <xf numFmtId="0" fontId="12" fillId="5" borderId="9" xfId="0" applyFont="1" applyFill="1" applyBorder="1" applyAlignment="1" applyProtection="1">
      <alignment horizontal="center" vertical="center"/>
    </xf>
    <xf numFmtId="0" fontId="12" fillId="5" borderId="7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0" fontId="13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3" fillId="0" borderId="7" xfId="0" applyFont="1" applyFill="1" applyBorder="1" applyProtection="1"/>
    <xf numFmtId="0" fontId="3" fillId="2" borderId="2" xfId="0" applyFont="1" applyFill="1" applyBorder="1" applyProtection="1"/>
    <xf numFmtId="165" fontId="14" fillId="2" borderId="4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Protection="1"/>
    <xf numFmtId="0" fontId="3" fillId="3" borderId="2" xfId="0" applyFont="1" applyFill="1" applyBorder="1" applyProtection="1"/>
    <xf numFmtId="164" fontId="3" fillId="0" borderId="2" xfId="0" applyNumberFormat="1" applyFont="1" applyFill="1" applyBorder="1" applyAlignment="1" applyProtection="1">
      <alignment horizontal="right"/>
    </xf>
    <xf numFmtId="164" fontId="15" fillId="0" borderId="3" xfId="0" applyNumberFormat="1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right"/>
    </xf>
    <xf numFmtId="165" fontId="3" fillId="4" borderId="1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/>
    <xf numFmtId="0" fontId="3" fillId="2" borderId="11" xfId="0" applyFont="1" applyFill="1" applyBorder="1" applyProtection="1"/>
    <xf numFmtId="0" fontId="3" fillId="2" borderId="13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3" fillId="2" borderId="5" xfId="0" applyFont="1" applyFill="1" applyBorder="1" applyProtection="1"/>
    <xf numFmtId="0" fontId="14" fillId="2" borderId="6" xfId="0" applyFont="1" applyFill="1" applyBorder="1" applyAlignment="1" applyProtection="1">
      <alignment horizontal="center"/>
    </xf>
    <xf numFmtId="0" fontId="3" fillId="0" borderId="9" xfId="0" applyFont="1" applyFill="1" applyBorder="1" applyProtection="1"/>
    <xf numFmtId="0" fontId="12" fillId="5" borderId="13" xfId="0" applyFont="1" applyFill="1" applyBorder="1" applyAlignment="1" applyProtection="1">
      <alignment horizontal="center"/>
    </xf>
    <xf numFmtId="0" fontId="12" fillId="5" borderId="6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49" fontId="3" fillId="4" borderId="1" xfId="0" applyNumberFormat="1" applyFont="1" applyFill="1" applyBorder="1" applyAlignment="1" applyProtection="1">
      <alignment horizontal="left"/>
      <protection locked="0"/>
    </xf>
    <xf numFmtId="49" fontId="3" fillId="4" borderId="1" xfId="0" applyNumberFormat="1" applyFont="1" applyFill="1" applyBorder="1" applyAlignment="1" applyProtection="1">
      <alignment horizontal="center"/>
      <protection locked="0"/>
    </xf>
    <xf numFmtId="167" fontId="3" fillId="4" borderId="1" xfId="0" applyNumberFormat="1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</xf>
    <xf numFmtId="0" fontId="3" fillId="6" borderId="2" xfId="0" applyFont="1" applyFill="1" applyBorder="1" applyProtection="1"/>
    <xf numFmtId="0" fontId="3" fillId="6" borderId="4" xfId="0" applyFont="1" applyFill="1" applyBorder="1" applyAlignment="1" applyProtection="1">
      <alignment horizontal="center"/>
    </xf>
    <xf numFmtId="0" fontId="3" fillId="7" borderId="0" xfId="0" applyFont="1" applyFill="1" applyBorder="1" applyProtection="1"/>
    <xf numFmtId="0" fontId="19" fillId="0" borderId="0" xfId="0" applyFont="1" applyFill="1" applyBorder="1" applyAlignment="1" applyProtection="1">
      <alignment vertical="center"/>
    </xf>
    <xf numFmtId="0" fontId="3" fillId="3" borderId="9" xfId="0" applyFont="1" applyFill="1" applyBorder="1" applyProtection="1"/>
    <xf numFmtId="0" fontId="9" fillId="3" borderId="23" xfId="0" applyFont="1" applyFill="1" applyBorder="1" applyAlignment="1" applyProtection="1">
      <alignment horizontal="center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14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vertical="top"/>
    </xf>
    <xf numFmtId="0" fontId="13" fillId="0" borderId="0" xfId="0" applyFont="1" applyFill="1" applyBorder="1" applyAlignment="1">
      <alignment vertical="top"/>
    </xf>
    <xf numFmtId="0" fontId="11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 vertical="top"/>
      <protection locked="0"/>
    </xf>
    <xf numFmtId="0" fontId="3" fillId="4" borderId="1" xfId="0" applyFont="1" applyFill="1" applyBorder="1" applyProtection="1">
      <protection locked="0"/>
    </xf>
    <xf numFmtId="0" fontId="13" fillId="0" borderId="0" xfId="0" applyFont="1" applyFill="1" applyBorder="1" applyAlignment="1"/>
    <xf numFmtId="49" fontId="24" fillId="8" borderId="1" xfId="0" applyNumberFormat="1" applyFont="1" applyFill="1" applyBorder="1" applyAlignment="1" applyProtection="1">
      <alignment horizontal="left"/>
      <protection locked="0"/>
    </xf>
    <xf numFmtId="165" fontId="24" fillId="8" borderId="7" xfId="0" applyNumberFormat="1" applyFont="1" applyFill="1" applyBorder="1" applyAlignment="1" applyProtection="1">
      <alignment horizontal="center"/>
      <protection locked="0"/>
    </xf>
    <xf numFmtId="165" fontId="24" fillId="8" borderId="9" xfId="0" applyNumberFormat="1" applyFont="1" applyFill="1" applyBorder="1" applyAlignment="1" applyProtection="1">
      <alignment horizontal="center"/>
      <protection locked="0"/>
    </xf>
    <xf numFmtId="49" fontId="24" fillId="8" borderId="1" xfId="0" applyNumberFormat="1" applyFont="1" applyFill="1" applyBorder="1" applyAlignment="1" applyProtection="1">
      <alignment horizontal="center"/>
      <protection locked="0"/>
    </xf>
    <xf numFmtId="167" fontId="24" fillId="8" borderId="1" xfId="0" applyNumberFormat="1" applyFont="1" applyFill="1" applyBorder="1" applyAlignment="1" applyProtection="1">
      <alignment horizontal="center"/>
      <protection locked="0"/>
    </xf>
    <xf numFmtId="0" fontId="0" fillId="8" borderId="1" xfId="0" applyFont="1" applyFill="1" applyBorder="1" applyAlignment="1" applyProtection="1">
      <alignment horizontal="center"/>
      <protection locked="0"/>
    </xf>
    <xf numFmtId="0" fontId="26" fillId="8" borderId="1" xfId="2" applyFont="1" applyFill="1" applyBorder="1" applyAlignment="1">
      <alignment horizontal="center" vertical="center" wrapText="1"/>
    </xf>
    <xf numFmtId="1" fontId="26" fillId="8" borderId="1" xfId="2" applyNumberFormat="1" applyFont="1" applyFill="1" applyBorder="1" applyAlignment="1">
      <alignment horizontal="center" vertical="center"/>
    </xf>
    <xf numFmtId="14" fontId="26" fillId="8" borderId="1" xfId="2" applyNumberFormat="1" applyFont="1" applyFill="1" applyBorder="1" applyAlignment="1">
      <alignment horizontal="center" vertical="center"/>
    </xf>
    <xf numFmtId="0" fontId="24" fillId="8" borderId="2" xfId="0" applyFont="1" applyFill="1" applyBorder="1" applyAlignment="1" applyProtection="1">
      <alignment horizontal="center"/>
      <protection locked="0"/>
    </xf>
    <xf numFmtId="0" fontId="24" fillId="8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top"/>
    </xf>
    <xf numFmtId="0" fontId="13" fillId="0" borderId="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3" fillId="9" borderId="0" xfId="0" applyFont="1" applyFill="1" applyBorder="1" applyAlignment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13" fillId="0" borderId="0" xfId="0" applyFont="1" applyFill="1" applyBorder="1" applyAlignment="1">
      <alignment horizontal="left"/>
    </xf>
    <xf numFmtId="0" fontId="13" fillId="9" borderId="0" xfId="0" applyFont="1" applyFill="1" applyBorder="1" applyAlignment="1">
      <alignment horizontal="left"/>
    </xf>
    <xf numFmtId="0" fontId="3" fillId="0" borderId="0" xfId="0" applyFont="1" applyFill="1" applyBorder="1" applyAlignment="1" applyProtection="1">
      <alignment vertical="top"/>
      <protection locked="0"/>
    </xf>
    <xf numFmtId="0" fontId="11" fillId="0" borderId="15" xfId="0" applyFont="1" applyFill="1" applyBorder="1" applyAlignment="1" applyProtection="1"/>
    <xf numFmtId="0" fontId="3" fillId="0" borderId="24" xfId="0" applyFont="1" applyFill="1" applyBorder="1" applyProtection="1"/>
    <xf numFmtId="0" fontId="13" fillId="9" borderId="25" xfId="0" applyFont="1" applyFill="1" applyBorder="1" applyAlignment="1">
      <alignment horizontal="center"/>
    </xf>
    <xf numFmtId="0" fontId="13" fillId="0" borderId="24" xfId="0" applyFont="1" applyFill="1" applyBorder="1" applyAlignment="1"/>
    <xf numFmtId="0" fontId="13" fillId="9" borderId="24" xfId="0" applyFont="1" applyFill="1" applyBorder="1" applyAlignment="1"/>
    <xf numFmtId="0" fontId="13" fillId="0" borderId="25" xfId="0" applyFont="1" applyFill="1" applyBorder="1" applyAlignment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19" xfId="0" applyFont="1" applyFill="1" applyBorder="1" applyProtection="1"/>
    <xf numFmtId="0" fontId="13" fillId="0" borderId="20" xfId="0" applyFont="1" applyFill="1" applyBorder="1" applyAlignment="1"/>
    <xf numFmtId="0" fontId="13" fillId="9" borderId="18" xfId="0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49" fontId="0" fillId="11" borderId="9" xfId="0" applyNumberFormat="1" applyFill="1" applyBorder="1"/>
    <xf numFmtId="49" fontId="0" fillId="11" borderId="23" xfId="0" applyNumberFormat="1" applyFill="1" applyBorder="1"/>
    <xf numFmtId="49" fontId="0" fillId="11" borderId="7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22" fillId="0" borderId="0" xfId="0" applyFont="1" applyFill="1" applyBorder="1" applyAlignment="1" applyProtection="1"/>
    <xf numFmtId="0" fontId="28" fillId="0" borderId="24" xfId="0" applyFont="1" applyFill="1" applyBorder="1" applyProtection="1"/>
    <xf numFmtId="0" fontId="29" fillId="0" borderId="16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right"/>
    </xf>
    <xf numFmtId="0" fontId="29" fillId="0" borderId="16" xfId="0" applyFont="1" applyFill="1" applyBorder="1" applyAlignment="1" applyProtection="1">
      <alignment horizontal="left"/>
    </xf>
    <xf numFmtId="0" fontId="28" fillId="0" borderId="17" xfId="0" applyFont="1" applyFill="1" applyBorder="1" applyAlignment="1" applyProtection="1">
      <alignment horizontal="center"/>
    </xf>
    <xf numFmtId="0" fontId="29" fillId="0" borderId="0" xfId="0" applyFont="1" applyFill="1" applyBorder="1" applyAlignment="1" applyProtection="1">
      <alignment horizontal="center"/>
    </xf>
    <xf numFmtId="0" fontId="29" fillId="0" borderId="0" xfId="0" applyFont="1" applyFill="1" applyBorder="1" applyAlignment="1" applyProtection="1">
      <alignment horizontal="right"/>
    </xf>
    <xf numFmtId="0" fontId="29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7" fillId="0" borderId="4" xfId="0" applyFont="1" applyFill="1" applyBorder="1" applyAlignment="1" applyProtection="1">
      <alignment horizontal="left"/>
    </xf>
    <xf numFmtId="164" fontId="8" fillId="0" borderId="9" xfId="0" applyNumberFormat="1" applyFont="1" applyFill="1" applyBorder="1" applyAlignment="1" applyProtection="1">
      <alignment horizontal="center" vertical="center"/>
    </xf>
    <xf numFmtId="164" fontId="8" fillId="0" borderId="7" xfId="0" applyNumberFormat="1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horizontal="left"/>
    </xf>
    <xf numFmtId="0" fontId="13" fillId="0" borderId="10" xfId="0" applyFont="1" applyFill="1" applyBorder="1" applyAlignment="1">
      <alignment horizontal="left"/>
    </xf>
    <xf numFmtId="0" fontId="4" fillId="2" borderId="11" xfId="0" applyFont="1" applyFill="1" applyBorder="1" applyAlignment="1" applyProtection="1">
      <alignment horizontal="left" vertical="center"/>
    </xf>
    <xf numFmtId="0" fontId="4" fillId="2" borderId="12" xfId="0" applyFont="1" applyFill="1" applyBorder="1" applyAlignment="1" applyProtection="1">
      <alignment horizontal="left" vertical="center"/>
    </xf>
    <xf numFmtId="0" fontId="4" fillId="2" borderId="13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49" fontId="24" fillId="8" borderId="1" xfId="0" applyNumberFormat="1" applyFont="1" applyFill="1" applyBorder="1" applyAlignment="1" applyProtection="1">
      <alignment horizontal="left"/>
      <protection locked="0"/>
    </xf>
    <xf numFmtId="49" fontId="24" fillId="8" borderId="2" xfId="0" applyNumberFormat="1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/>
    <xf numFmtId="0" fontId="3" fillId="0" borderId="4" xfId="0" applyFont="1" applyFill="1" applyBorder="1" applyAlignment="1" applyProtection="1"/>
    <xf numFmtId="49" fontId="24" fillId="8" borderId="7" xfId="0" applyNumberFormat="1" applyFont="1" applyFill="1" applyBorder="1" applyAlignment="1" applyProtection="1">
      <alignment horizontal="left"/>
      <protection locked="0"/>
    </xf>
    <xf numFmtId="49" fontId="24" fillId="8" borderId="5" xfId="0" applyNumberFormat="1" applyFont="1" applyFill="1" applyBorder="1" applyAlignment="1" applyProtection="1">
      <alignment horizontal="left"/>
      <protection locked="0"/>
    </xf>
    <xf numFmtId="0" fontId="9" fillId="3" borderId="14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0" fontId="9" fillId="3" borderId="11" xfId="0" applyFont="1" applyFill="1" applyBorder="1" applyAlignment="1" applyProtection="1">
      <alignment horizontal="center"/>
    </xf>
    <xf numFmtId="0" fontId="9" fillId="3" borderId="13" xfId="0" applyFont="1" applyFill="1" applyBorder="1" applyAlignment="1" applyProtection="1">
      <alignment horizontal="center"/>
    </xf>
    <xf numFmtId="0" fontId="9" fillId="3" borderId="9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166" fontId="24" fillId="8" borderId="2" xfId="0" applyNumberFormat="1" applyFont="1" applyFill="1" applyBorder="1" applyAlignment="1" applyProtection="1">
      <alignment horizontal="left"/>
      <protection locked="0"/>
    </xf>
    <xf numFmtId="166" fontId="24" fillId="8" borderId="3" xfId="0" applyNumberFormat="1" applyFont="1" applyFill="1" applyBorder="1" applyAlignment="1" applyProtection="1">
      <alignment horizontal="left"/>
      <protection locked="0"/>
    </xf>
    <xf numFmtId="49" fontId="24" fillId="8" borderId="9" xfId="0" applyNumberFormat="1" applyFont="1" applyFill="1" applyBorder="1" applyAlignment="1" applyProtection="1">
      <alignment horizontal="left"/>
      <protection locked="0"/>
    </xf>
    <xf numFmtId="0" fontId="16" fillId="4" borderId="2" xfId="1" applyFont="1" applyFill="1" applyBorder="1" applyAlignment="1" applyProtection="1">
      <alignment horizontal="left"/>
      <protection locked="0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49" fontId="17" fillId="3" borderId="15" xfId="0" applyNumberFormat="1" applyFont="1" applyFill="1" applyBorder="1" applyAlignment="1" applyProtection="1">
      <alignment horizontal="center" vertical="center" shrinkToFit="1"/>
    </xf>
    <xf numFmtId="49" fontId="17" fillId="3" borderId="16" xfId="0" applyNumberFormat="1" applyFont="1" applyFill="1" applyBorder="1" applyAlignment="1" applyProtection="1">
      <alignment horizontal="center" vertical="center" shrinkToFit="1"/>
    </xf>
    <xf numFmtId="49" fontId="17" fillId="3" borderId="17" xfId="0" applyNumberFormat="1" applyFont="1" applyFill="1" applyBorder="1" applyAlignment="1" applyProtection="1">
      <alignment horizontal="center" vertical="center" shrinkToFit="1"/>
    </xf>
    <xf numFmtId="49" fontId="17" fillId="3" borderId="19" xfId="0" applyNumberFormat="1" applyFont="1" applyFill="1" applyBorder="1" applyAlignment="1" applyProtection="1">
      <alignment horizontal="center" vertical="center" shrinkToFit="1"/>
    </xf>
    <xf numFmtId="49" fontId="17" fillId="3" borderId="20" xfId="0" applyNumberFormat="1" applyFont="1" applyFill="1" applyBorder="1" applyAlignment="1" applyProtection="1">
      <alignment horizontal="center" vertical="center" shrinkToFit="1"/>
    </xf>
    <xf numFmtId="49" fontId="17" fillId="3" borderId="21" xfId="0" applyNumberFormat="1" applyFont="1" applyFill="1" applyBorder="1" applyAlignment="1" applyProtection="1">
      <alignment horizontal="center" vertical="center" shrinkToFit="1"/>
    </xf>
    <xf numFmtId="0" fontId="17" fillId="2" borderId="16" xfId="0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center"/>
    </xf>
    <xf numFmtId="0" fontId="17" fillId="2" borderId="20" xfId="0" applyFont="1" applyFill="1" applyBorder="1" applyAlignment="1" applyProtection="1">
      <alignment horizontal="center" vertical="center"/>
    </xf>
    <xf numFmtId="0" fontId="17" fillId="2" borderId="21" xfId="0" applyFont="1" applyFill="1" applyBorder="1" applyAlignment="1" applyProtection="1">
      <alignment horizontal="center" vertical="center"/>
    </xf>
    <xf numFmtId="164" fontId="18" fillId="0" borderId="18" xfId="0" applyNumberFormat="1" applyFont="1" applyFill="1" applyBorder="1" applyAlignment="1" applyProtection="1">
      <alignment horizontal="center" vertical="center"/>
    </xf>
    <xf numFmtId="0" fontId="18" fillId="0" borderId="22" xfId="0" applyFont="1" applyFill="1" applyBorder="1" applyAlignment="1" applyProtection="1">
      <alignment horizontal="center" vertical="center"/>
    </xf>
    <xf numFmtId="0" fontId="20" fillId="5" borderId="15" xfId="0" applyFont="1" applyFill="1" applyBorder="1" applyAlignment="1" applyProtection="1">
      <alignment horizontal="center" vertical="center"/>
    </xf>
    <xf numFmtId="0" fontId="20" fillId="5" borderId="16" xfId="0" applyFont="1" applyFill="1" applyBorder="1" applyAlignment="1" applyProtection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</xf>
    <xf numFmtId="0" fontId="20" fillId="5" borderId="19" xfId="0" applyFont="1" applyFill="1" applyBorder="1" applyAlignment="1" applyProtection="1">
      <alignment horizontal="center" vertical="center"/>
    </xf>
    <xf numFmtId="0" fontId="20" fillId="5" borderId="20" xfId="0" applyFont="1" applyFill="1" applyBorder="1" applyAlignment="1" applyProtection="1">
      <alignment horizontal="center" vertical="center"/>
    </xf>
    <xf numFmtId="0" fontId="20" fillId="5" borderId="21" xfId="0" applyFont="1" applyFill="1" applyBorder="1" applyAlignment="1" applyProtection="1">
      <alignment horizontal="center" vertical="center"/>
    </xf>
    <xf numFmtId="0" fontId="20" fillId="5" borderId="15" xfId="0" applyFont="1" applyFill="1" applyBorder="1" applyAlignment="1" applyProtection="1">
      <alignment horizontal="center" vertical="center" wrapText="1"/>
    </xf>
    <xf numFmtId="0" fontId="22" fillId="5" borderId="16" xfId="0" applyFont="1" applyFill="1" applyBorder="1" applyAlignment="1" applyProtection="1">
      <alignment horizontal="center" vertical="center" wrapText="1"/>
    </xf>
    <xf numFmtId="0" fontId="22" fillId="5" borderId="17" xfId="0" applyFont="1" applyFill="1" applyBorder="1" applyAlignment="1" applyProtection="1">
      <alignment horizontal="center" vertical="center" wrapText="1"/>
    </xf>
    <xf numFmtId="0" fontId="22" fillId="5" borderId="19" xfId="0" applyFont="1" applyFill="1" applyBorder="1" applyAlignment="1" applyProtection="1">
      <alignment horizontal="center" vertical="center" wrapText="1"/>
    </xf>
    <xf numFmtId="0" fontId="22" fillId="5" borderId="20" xfId="0" applyFont="1" applyFill="1" applyBorder="1" applyAlignment="1" applyProtection="1">
      <alignment horizontal="center" vertical="center" wrapText="1"/>
    </xf>
    <xf numFmtId="0" fontId="22" fillId="5" borderId="21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9" fillId="3" borderId="11" xfId="0" applyFont="1" applyFill="1" applyBorder="1" applyAlignment="1" applyProtection="1">
      <alignment horizontal="left"/>
    </xf>
    <xf numFmtId="0" fontId="9" fillId="3" borderId="12" xfId="0" applyFont="1" applyFill="1" applyBorder="1" applyAlignment="1" applyProtection="1">
      <alignment horizontal="left"/>
    </xf>
    <xf numFmtId="0" fontId="9" fillId="3" borderId="13" xfId="0" applyFont="1" applyFill="1" applyBorder="1" applyAlignment="1" applyProtection="1">
      <alignment horizontal="left"/>
    </xf>
    <xf numFmtId="49" fontId="3" fillId="0" borderId="0" xfId="0" applyNumberFormat="1" applyFont="1" applyFill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top" wrapText="1"/>
      <protection locked="0"/>
    </xf>
    <xf numFmtId="0" fontId="3" fillId="0" borderId="16" xfId="0" applyFont="1" applyFill="1" applyBorder="1" applyAlignment="1" applyProtection="1">
      <alignment horizontal="center" vertical="top" wrapText="1"/>
      <protection locked="0"/>
    </xf>
    <xf numFmtId="0" fontId="3" fillId="0" borderId="17" xfId="0" applyFont="1" applyFill="1" applyBorder="1" applyAlignment="1" applyProtection="1">
      <alignment horizontal="center" vertical="top" wrapText="1"/>
      <protection locked="0"/>
    </xf>
    <xf numFmtId="0" fontId="3" fillId="0" borderId="24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25" xfId="0" applyFont="1" applyFill="1" applyBorder="1" applyAlignment="1" applyProtection="1">
      <alignment horizontal="center" vertical="top" wrapText="1"/>
      <protection locked="0"/>
    </xf>
    <xf numFmtId="0" fontId="3" fillId="0" borderId="19" xfId="0" applyFont="1" applyFill="1" applyBorder="1" applyAlignment="1" applyProtection="1">
      <alignment horizontal="center" vertical="top" wrapText="1"/>
      <protection locked="0"/>
    </xf>
    <xf numFmtId="0" fontId="3" fillId="0" borderId="20" xfId="0" applyFont="1" applyFill="1" applyBorder="1" applyAlignment="1" applyProtection="1">
      <alignment horizontal="center" vertical="top" wrapText="1"/>
      <protection locked="0"/>
    </xf>
    <xf numFmtId="0" fontId="3" fillId="0" borderId="21" xfId="0" applyFont="1" applyFill="1" applyBorder="1" applyAlignment="1" applyProtection="1">
      <alignment horizontal="center" vertical="top" wrapText="1"/>
      <protection locked="0"/>
    </xf>
    <xf numFmtId="0" fontId="27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3" fillId="10" borderId="17" xfId="0" applyFont="1" applyFill="1" applyBorder="1" applyAlignment="1" applyProtection="1">
      <alignment horizontal="center" vertical="center"/>
      <protection locked="0"/>
    </xf>
    <xf numFmtId="0" fontId="3" fillId="10" borderId="24" xfId="0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Border="1" applyAlignment="1" applyProtection="1">
      <alignment horizontal="center" vertical="center"/>
      <protection locked="0"/>
    </xf>
    <xf numFmtId="0" fontId="3" fillId="10" borderId="25" xfId="0" applyFont="1" applyFill="1" applyBorder="1" applyAlignment="1" applyProtection="1">
      <alignment horizontal="center" vertical="center"/>
      <protection locked="0"/>
    </xf>
    <xf numFmtId="0" fontId="3" fillId="10" borderId="19" xfId="0" applyFont="1" applyFill="1" applyBorder="1" applyAlignment="1" applyProtection="1">
      <alignment horizontal="center" vertical="center"/>
      <protection locked="0"/>
    </xf>
    <xf numFmtId="0" fontId="3" fillId="10" borderId="20" xfId="0" applyFont="1" applyFill="1" applyBorder="1" applyAlignment="1" applyProtection="1">
      <alignment horizontal="center" vertical="center"/>
      <protection locked="0"/>
    </xf>
    <xf numFmtId="0" fontId="3" fillId="10" borderId="21" xfId="0" applyFont="1" applyFill="1" applyBorder="1" applyAlignment="1" applyProtection="1">
      <alignment horizontal="center" vertical="center"/>
      <protection locked="0"/>
    </xf>
    <xf numFmtId="0" fontId="17" fillId="10" borderId="11" xfId="0" applyFont="1" applyFill="1" applyBorder="1" applyAlignment="1" applyProtection="1">
      <alignment horizontal="left" vertical="center" wrapText="1"/>
    </xf>
    <xf numFmtId="0" fontId="3" fillId="10" borderId="12" xfId="0" applyFont="1" applyFill="1" applyBorder="1" applyAlignment="1" applyProtection="1">
      <alignment horizontal="left" vertical="center" wrapText="1"/>
    </xf>
    <xf numFmtId="0" fontId="3" fillId="10" borderId="13" xfId="0" applyFont="1" applyFill="1" applyBorder="1" applyAlignment="1" applyProtection="1">
      <alignment horizontal="left" vertical="center" wrapText="1"/>
    </xf>
    <xf numFmtId="0" fontId="3" fillId="10" borderId="5" xfId="0" applyFont="1" applyFill="1" applyBorder="1" applyAlignment="1" applyProtection="1">
      <alignment horizontal="left" vertical="center" wrapText="1"/>
    </xf>
    <xf numFmtId="0" fontId="3" fillId="10" borderId="10" xfId="0" applyFont="1" applyFill="1" applyBorder="1" applyAlignment="1" applyProtection="1">
      <alignment horizontal="left" vertical="center" wrapText="1"/>
    </xf>
    <xf numFmtId="0" fontId="3" fillId="10" borderId="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center" vertical="top"/>
      <protection locked="0"/>
    </xf>
    <xf numFmtId="0" fontId="3" fillId="0" borderId="0" xfId="0" applyFont="1" applyFill="1" applyBorder="1" applyAlignment="1" applyProtection="1">
      <alignment horizontal="center" vertical="top"/>
      <protection locked="0"/>
    </xf>
    <xf numFmtId="0" fontId="9" fillId="3" borderId="14" xfId="0" applyFont="1" applyFill="1" applyBorder="1" applyAlignment="1" applyProtection="1">
      <alignment horizontal="left"/>
    </xf>
    <xf numFmtId="0" fontId="9" fillId="3" borderId="0" xfId="0" applyFont="1" applyFill="1" applyBorder="1" applyAlignment="1" applyProtection="1">
      <alignment horizontal="left"/>
    </xf>
    <xf numFmtId="0" fontId="9" fillId="3" borderId="8" xfId="0" applyFont="1" applyFill="1" applyBorder="1" applyAlignment="1" applyProtection="1">
      <alignment horizontal="left"/>
    </xf>
    <xf numFmtId="165" fontId="3" fillId="0" borderId="0" xfId="0" applyNumberFormat="1" applyFont="1" applyFill="1" applyBorder="1" applyAlignment="1" applyProtection="1">
      <alignment horizontal="left"/>
    </xf>
    <xf numFmtId="0" fontId="9" fillId="3" borderId="5" xfId="0" applyFont="1" applyFill="1" applyBorder="1" applyAlignment="1" applyProtection="1">
      <alignment horizontal="left"/>
    </xf>
    <xf numFmtId="0" fontId="9" fillId="3" borderId="10" xfId="0" applyFont="1" applyFill="1" applyBorder="1" applyAlignment="1" applyProtection="1">
      <alignment horizontal="left"/>
    </xf>
    <xf numFmtId="0" fontId="9" fillId="3" borderId="6" xfId="0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CC"/>
      <color rgb="FFFF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333379</xdr:colOff>
      <xdr:row>16</xdr:row>
      <xdr:rowOff>161597</xdr:rowOff>
    </xdr:from>
    <xdr:to>
      <xdr:col>17</xdr:col>
      <xdr:colOff>609600</xdr:colOff>
      <xdr:row>18</xdr:row>
      <xdr:rowOff>152483</xdr:rowOff>
    </xdr:to>
    <xdr:pic>
      <xdr:nvPicPr>
        <xdr:cNvPr id="2" name="Picture 1" descr="Plus_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9" y="2933372"/>
          <a:ext cx="380996" cy="314736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333374</xdr:colOff>
      <xdr:row>29</xdr:row>
      <xdr:rowOff>9525</xdr:rowOff>
    </xdr:from>
    <xdr:to>
      <xdr:col>17</xdr:col>
      <xdr:colOff>609599</xdr:colOff>
      <xdr:row>31</xdr:row>
      <xdr:rowOff>47625</xdr:rowOff>
    </xdr:to>
    <xdr:pic>
      <xdr:nvPicPr>
        <xdr:cNvPr id="3" name="Picture 2" descr="equal sig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20524" y="4886325"/>
          <a:ext cx="3619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abSelected="1" workbookViewId="0">
      <selection activeCell="P10" sqref="P10"/>
    </sheetView>
  </sheetViews>
  <sheetFormatPr defaultRowHeight="12.75" x14ac:dyDescent="0.2"/>
  <cols>
    <col min="1" max="1" width="3.7109375" style="22" customWidth="1"/>
    <col min="2" max="3" width="20.7109375" style="1" customWidth="1"/>
    <col min="4" max="4" width="10.7109375" style="8" customWidth="1"/>
    <col min="5" max="6" width="14.7109375" style="1" customWidth="1"/>
    <col min="7" max="7" width="8.28515625" style="1" customWidth="1"/>
    <col min="8" max="8" width="1.28515625" style="1" customWidth="1"/>
    <col min="9" max="9" width="14.7109375" style="1" customWidth="1"/>
    <col min="10" max="10" width="6.7109375" style="1" customWidth="1"/>
    <col min="11" max="11" width="4.85546875" style="1" customWidth="1"/>
    <col min="12" max="12" width="10.7109375" style="1" customWidth="1"/>
    <col min="13" max="13" width="5.7109375" style="1" customWidth="1"/>
    <col min="14" max="14" width="12.5703125" style="1" customWidth="1"/>
    <col min="15" max="15" width="6.7109375" style="1" customWidth="1"/>
    <col min="16" max="16" width="9.7109375" style="1" customWidth="1"/>
    <col min="17" max="17" width="5.7109375" style="1" customWidth="1"/>
    <col min="18" max="18" width="15.7109375" style="1" customWidth="1"/>
    <col min="19" max="19" width="9.140625" style="1"/>
    <col min="20" max="20" width="15.5703125" style="8" customWidth="1"/>
    <col min="21" max="21" width="9.140625" style="9"/>
    <col min="22" max="16384" width="9.140625" style="1"/>
  </cols>
  <sheetData>
    <row r="1" spans="1:21" ht="24.95" customHeight="1" x14ac:dyDescent="0.35">
      <c r="A1" s="137" t="s">
        <v>0</v>
      </c>
      <c r="B1" s="137"/>
      <c r="C1" s="137"/>
      <c r="D1" s="137"/>
      <c r="E1" s="137"/>
      <c r="F1" s="137"/>
      <c r="G1" s="137"/>
      <c r="I1" s="2" t="s">
        <v>1</v>
      </c>
      <c r="J1" s="3"/>
      <c r="K1" s="3"/>
      <c r="L1" s="4"/>
      <c r="M1" s="4"/>
      <c r="N1" s="5"/>
      <c r="O1" s="3"/>
      <c r="P1" s="3"/>
      <c r="Q1" s="6"/>
      <c r="R1" s="7"/>
    </row>
    <row r="2" spans="1:21" s="11" customFormat="1" ht="12.75" customHeight="1" x14ac:dyDescent="0.15">
      <c r="A2" s="10"/>
      <c r="D2" s="10"/>
      <c r="I2" s="12"/>
      <c r="J2" s="12"/>
      <c r="K2" s="12"/>
      <c r="L2" s="12"/>
      <c r="M2" s="12"/>
      <c r="N2" s="12"/>
      <c r="O2" s="12"/>
      <c r="P2" s="12"/>
      <c r="Q2" s="12"/>
      <c r="T2" s="10"/>
      <c r="U2" s="13"/>
    </row>
    <row r="3" spans="1:21" s="14" customFormat="1" ht="15" customHeight="1" x14ac:dyDescent="0.25">
      <c r="A3" s="138" t="s">
        <v>2</v>
      </c>
      <c r="B3" s="138"/>
      <c r="C3" s="138"/>
      <c r="D3" s="138"/>
      <c r="E3" s="138"/>
      <c r="F3" s="138"/>
      <c r="G3" s="138"/>
      <c r="I3" s="139" t="s">
        <v>3</v>
      </c>
      <c r="J3" s="140"/>
      <c r="K3" s="140"/>
      <c r="L3" s="140"/>
      <c r="M3" s="140"/>
      <c r="N3" s="140"/>
      <c r="O3" s="140"/>
      <c r="P3" s="140"/>
      <c r="Q3" s="141"/>
      <c r="T3" s="15"/>
      <c r="U3" s="16"/>
    </row>
    <row r="4" spans="1:21" s="11" customFormat="1" ht="12.75" customHeight="1" x14ac:dyDescent="0.2">
      <c r="A4" s="10"/>
      <c r="D4" s="10"/>
      <c r="I4" s="17"/>
      <c r="J4" s="18"/>
      <c r="K4" s="18"/>
      <c r="L4" s="19" t="s">
        <v>4</v>
      </c>
      <c r="M4" s="19" t="s">
        <v>5</v>
      </c>
      <c r="N4" s="17"/>
      <c r="O4" s="18"/>
      <c r="P4" s="20" t="s">
        <v>4</v>
      </c>
      <c r="Q4" s="21" t="s">
        <v>5</v>
      </c>
      <c r="R4" s="1"/>
      <c r="T4" s="10"/>
      <c r="U4" s="13"/>
    </row>
    <row r="5" spans="1:21" ht="12.75" customHeight="1" x14ac:dyDescent="0.2">
      <c r="B5" s="23" t="s">
        <v>6</v>
      </c>
      <c r="I5" s="24" t="s">
        <v>7</v>
      </c>
      <c r="J5" s="25">
        <v>50</v>
      </c>
      <c r="K5" s="26"/>
      <c r="L5" s="89"/>
      <c r="M5" s="27">
        <f>IF(AND(N17&gt;=3,L5="YES"),50,0)</f>
        <v>0</v>
      </c>
      <c r="N5" s="24" t="s">
        <v>8</v>
      </c>
      <c r="O5" s="28">
        <v>50</v>
      </c>
      <c r="P5" s="90"/>
      <c r="Q5" s="30">
        <f t="shared" ref="Q5:Q10" si="0">IF(AND(N23&gt;=3,P5="Yes"),50,0)</f>
        <v>0</v>
      </c>
    </row>
    <row r="6" spans="1:21" ht="12.75" customHeight="1" x14ac:dyDescent="0.2">
      <c r="B6" s="136" t="s">
        <v>9</v>
      </c>
      <c r="C6" s="136"/>
      <c r="D6" s="136"/>
      <c r="E6" s="136"/>
      <c r="F6" s="136"/>
      <c r="I6" s="24" t="s">
        <v>10</v>
      </c>
      <c r="J6" s="25">
        <v>50</v>
      </c>
      <c r="K6" s="26"/>
      <c r="L6" s="89"/>
      <c r="M6" s="27">
        <f>IF(AND(N18&gt;=3,L6="Yes"),50,0)</f>
        <v>0</v>
      </c>
      <c r="N6" s="24" t="s">
        <v>11</v>
      </c>
      <c r="O6" s="31">
        <v>50</v>
      </c>
      <c r="P6" s="90"/>
      <c r="Q6" s="30">
        <f t="shared" si="0"/>
        <v>0</v>
      </c>
    </row>
    <row r="7" spans="1:21" ht="12.75" customHeight="1" x14ac:dyDescent="0.2">
      <c r="B7" s="136" t="s">
        <v>12</v>
      </c>
      <c r="C7" s="136"/>
      <c r="D7" s="136"/>
      <c r="E7" s="136"/>
      <c r="F7" s="136"/>
      <c r="I7" s="24" t="s">
        <v>13</v>
      </c>
      <c r="J7" s="25">
        <v>50</v>
      </c>
      <c r="K7" s="26"/>
      <c r="L7" s="89"/>
      <c r="M7" s="27">
        <f>IF(AND(N19&gt;=3,L7="Yes"),50,0)</f>
        <v>0</v>
      </c>
      <c r="N7" s="24" t="s">
        <v>14</v>
      </c>
      <c r="O7" s="31">
        <v>50</v>
      </c>
      <c r="P7" s="90"/>
      <c r="Q7" s="30">
        <f t="shared" si="0"/>
        <v>0</v>
      </c>
      <c r="R7" s="32" t="s">
        <v>15</v>
      </c>
    </row>
    <row r="8" spans="1:21" ht="12.75" customHeight="1" x14ac:dyDescent="0.2">
      <c r="B8" s="136" t="s">
        <v>16</v>
      </c>
      <c r="C8" s="136"/>
      <c r="D8" s="136"/>
      <c r="E8" s="136"/>
      <c r="F8" s="136"/>
      <c r="I8" s="24" t="s">
        <v>17</v>
      </c>
      <c r="J8" s="25">
        <v>50</v>
      </c>
      <c r="K8" s="26"/>
      <c r="L8" s="89"/>
      <c r="M8" s="27">
        <f>IF(AND(N20&gt;=3,L8="Yes"),50,0)</f>
        <v>0</v>
      </c>
      <c r="N8" s="24" t="s">
        <v>18</v>
      </c>
      <c r="O8" s="31">
        <v>50</v>
      </c>
      <c r="P8" s="90"/>
      <c r="Q8" s="30">
        <f t="shared" si="0"/>
        <v>0</v>
      </c>
      <c r="R8" s="33"/>
    </row>
    <row r="9" spans="1:21" ht="12.75" customHeight="1" x14ac:dyDescent="0.2">
      <c r="B9" s="136" t="s">
        <v>19</v>
      </c>
      <c r="C9" s="136"/>
      <c r="D9" s="136"/>
      <c r="E9" s="136"/>
      <c r="F9" s="136"/>
      <c r="I9" s="24" t="s">
        <v>20</v>
      </c>
      <c r="J9" s="25">
        <v>50</v>
      </c>
      <c r="K9" s="26"/>
      <c r="L9" s="89"/>
      <c r="M9" s="27">
        <f>IF(AND(N21&gt;=3,L9="Yes"),50,0)</f>
        <v>0</v>
      </c>
      <c r="N9" s="24" t="s">
        <v>21</v>
      </c>
      <c r="O9" s="31">
        <v>50</v>
      </c>
      <c r="P9" s="90"/>
      <c r="Q9" s="30">
        <f t="shared" si="0"/>
        <v>0</v>
      </c>
      <c r="R9" s="142">
        <f>SUM(M5:M10,Q5:Q10)</f>
        <v>0</v>
      </c>
    </row>
    <row r="10" spans="1:21" ht="12.75" customHeight="1" x14ac:dyDescent="0.2">
      <c r="B10" s="9" t="s">
        <v>22</v>
      </c>
      <c r="C10" s="9"/>
      <c r="D10" s="34" t="s">
        <v>23</v>
      </c>
      <c r="E10" s="34"/>
      <c r="I10" s="24" t="s">
        <v>24</v>
      </c>
      <c r="J10" s="25">
        <v>50</v>
      </c>
      <c r="K10" s="26"/>
      <c r="L10" s="89"/>
      <c r="M10" s="27">
        <f>IF(AND(N22&gt;=3,L10="Yes"),50,0)</f>
        <v>0</v>
      </c>
      <c r="N10" s="24" t="s">
        <v>25</v>
      </c>
      <c r="O10" s="31">
        <v>50</v>
      </c>
      <c r="P10" s="90"/>
      <c r="Q10" s="30">
        <f t="shared" si="0"/>
        <v>0</v>
      </c>
      <c r="R10" s="143"/>
    </row>
    <row r="11" spans="1:21" ht="12.75" customHeight="1" x14ac:dyDescent="0.2">
      <c r="B11" s="136"/>
      <c r="C11" s="136"/>
      <c r="D11" s="34" t="s">
        <v>26</v>
      </c>
      <c r="E11" s="34"/>
    </row>
    <row r="12" spans="1:21" ht="12.75" customHeight="1" x14ac:dyDescent="0.2">
      <c r="D12" s="34" t="s">
        <v>27</v>
      </c>
      <c r="E12" s="34"/>
    </row>
    <row r="13" spans="1:21" s="35" customFormat="1" ht="12.75" customHeight="1" x14ac:dyDescent="0.25">
      <c r="A13" s="22"/>
      <c r="D13" s="144"/>
      <c r="E13" s="145"/>
      <c r="I13" s="1"/>
      <c r="J13" s="1"/>
      <c r="K13" s="1"/>
      <c r="L13" s="1"/>
      <c r="M13" s="1"/>
      <c r="N13" s="1"/>
      <c r="O13" s="1"/>
      <c r="P13" s="1"/>
      <c r="Q13" s="1"/>
      <c r="R13" s="1"/>
      <c r="T13" s="36"/>
      <c r="U13" s="37"/>
    </row>
    <row r="14" spans="1:21" ht="12.75" customHeight="1" x14ac:dyDescent="0.25">
      <c r="A14" s="8"/>
      <c r="B14" s="146" t="s">
        <v>28</v>
      </c>
      <c r="C14" s="147"/>
      <c r="D14" s="147"/>
      <c r="E14" s="147"/>
      <c r="F14" s="148"/>
      <c r="I14" s="146" t="s">
        <v>29</v>
      </c>
      <c r="J14" s="147"/>
      <c r="K14" s="147"/>
      <c r="L14" s="147"/>
      <c r="M14" s="147"/>
      <c r="N14" s="147"/>
      <c r="O14" s="147"/>
      <c r="P14" s="147"/>
      <c r="Q14" s="148"/>
      <c r="T14" s="36"/>
    </row>
    <row r="15" spans="1:21" ht="12.75" customHeight="1" x14ac:dyDescent="0.25">
      <c r="A15" s="8"/>
      <c r="B15" s="149"/>
      <c r="C15" s="150"/>
      <c r="D15" s="150"/>
      <c r="E15" s="150"/>
      <c r="F15" s="151"/>
      <c r="I15" s="149"/>
      <c r="J15" s="150"/>
      <c r="K15" s="150"/>
      <c r="L15" s="150"/>
      <c r="M15" s="150"/>
      <c r="N15" s="150"/>
      <c r="O15" s="150"/>
      <c r="P15" s="150"/>
      <c r="Q15" s="151"/>
      <c r="T15" s="36"/>
      <c r="U15" s="37"/>
    </row>
    <row r="16" spans="1:21" ht="12.75" customHeight="1" x14ac:dyDescent="0.25">
      <c r="B16" s="38" t="s">
        <v>30</v>
      </c>
      <c r="C16" s="156"/>
      <c r="D16" s="157"/>
      <c r="E16" s="39"/>
      <c r="F16" s="40" t="s">
        <v>31</v>
      </c>
      <c r="I16" s="19" t="s">
        <v>32</v>
      </c>
      <c r="J16" s="158" t="s">
        <v>5</v>
      </c>
      <c r="K16" s="159"/>
      <c r="L16" s="160"/>
      <c r="M16" s="161" t="s">
        <v>33</v>
      </c>
      <c r="N16" s="162"/>
      <c r="O16" s="163" t="s">
        <v>34</v>
      </c>
      <c r="P16" s="163"/>
      <c r="Q16" s="163"/>
      <c r="T16" s="36"/>
    </row>
    <row r="17" spans="1:21" ht="12.75" customHeight="1" x14ac:dyDescent="0.25">
      <c r="B17" s="41" t="s">
        <v>35</v>
      </c>
      <c r="C17" s="152"/>
      <c r="D17" s="152"/>
      <c r="E17" s="38" t="s">
        <v>36</v>
      </c>
      <c r="F17" s="81"/>
      <c r="I17" s="42" t="s">
        <v>7</v>
      </c>
      <c r="J17" s="43">
        <v>50</v>
      </c>
      <c r="K17" s="44" t="s">
        <v>37</v>
      </c>
      <c r="L17" s="45" t="s">
        <v>38</v>
      </c>
      <c r="M17" s="46"/>
      <c r="N17" s="45">
        <f>COUNTIF(E38:E162,"3")</f>
        <v>0</v>
      </c>
      <c r="O17" s="47" t="s">
        <v>39</v>
      </c>
      <c r="P17" s="154">
        <f>SUM(N17*50)</f>
        <v>0</v>
      </c>
      <c r="Q17" s="155"/>
      <c r="R17" s="164"/>
      <c r="T17" s="36"/>
      <c r="U17" s="37"/>
    </row>
    <row r="18" spans="1:21" ht="12.75" customHeight="1" x14ac:dyDescent="0.25">
      <c r="B18" s="41" t="s">
        <v>40</v>
      </c>
      <c r="C18" s="152"/>
      <c r="D18" s="152"/>
      <c r="E18" s="41" t="s">
        <v>41</v>
      </c>
      <c r="F18" s="48"/>
      <c r="I18" s="42" t="s">
        <v>10</v>
      </c>
      <c r="J18" s="43">
        <v>105</v>
      </c>
      <c r="K18" s="44" t="s">
        <v>37</v>
      </c>
      <c r="L18" s="45" t="s">
        <v>38</v>
      </c>
      <c r="M18" s="46"/>
      <c r="N18" s="45">
        <f>COUNTIF(E38:E162,"4")</f>
        <v>0</v>
      </c>
      <c r="O18" s="49"/>
      <c r="P18" s="154">
        <f>SUM(N18*105)</f>
        <v>0</v>
      </c>
      <c r="Q18" s="155"/>
      <c r="R18" s="164"/>
      <c r="T18" s="36"/>
    </row>
    <row r="19" spans="1:21" ht="12.75" customHeight="1" x14ac:dyDescent="0.25">
      <c r="B19" s="41" t="s">
        <v>42</v>
      </c>
      <c r="C19" s="152"/>
      <c r="D19" s="153"/>
      <c r="E19" s="41" t="s">
        <v>43</v>
      </c>
      <c r="F19" s="48"/>
      <c r="I19" s="42" t="s">
        <v>13</v>
      </c>
      <c r="J19" s="43">
        <v>105</v>
      </c>
      <c r="K19" s="44" t="s">
        <v>37</v>
      </c>
      <c r="L19" s="45" t="s">
        <v>38</v>
      </c>
      <c r="M19" s="46"/>
      <c r="N19" s="45">
        <f>COUNTIF(E38:E162,"5")</f>
        <v>0</v>
      </c>
      <c r="O19" s="49"/>
      <c r="P19" s="154">
        <f>SUM(N19*105)</f>
        <v>0</v>
      </c>
      <c r="Q19" s="155"/>
      <c r="R19" s="164"/>
      <c r="T19" s="36"/>
      <c r="U19" s="37"/>
    </row>
    <row r="20" spans="1:21" ht="12.75" customHeight="1" x14ac:dyDescent="0.25">
      <c r="B20" s="41" t="s">
        <v>44</v>
      </c>
      <c r="C20" s="152"/>
      <c r="D20" s="153"/>
      <c r="E20" s="50"/>
      <c r="F20" s="51"/>
      <c r="I20" s="42" t="s">
        <v>17</v>
      </c>
      <c r="J20" s="43">
        <v>105</v>
      </c>
      <c r="K20" s="44" t="s">
        <v>37</v>
      </c>
      <c r="L20" s="45" t="s">
        <v>38</v>
      </c>
      <c r="M20" s="46"/>
      <c r="N20" s="45">
        <f>COUNTIF(E38:E162,"6")</f>
        <v>0</v>
      </c>
      <c r="O20" s="49"/>
      <c r="P20" s="154">
        <f>SUM(N20*105)</f>
        <v>0</v>
      </c>
      <c r="Q20" s="155"/>
      <c r="R20" s="52"/>
      <c r="T20" s="36"/>
    </row>
    <row r="21" spans="1:21" ht="12.75" customHeight="1" x14ac:dyDescent="0.25">
      <c r="B21" s="41" t="s">
        <v>45</v>
      </c>
      <c r="C21" s="166"/>
      <c r="D21" s="167"/>
      <c r="E21" s="53"/>
      <c r="F21" s="54" t="s">
        <v>31</v>
      </c>
      <c r="I21" s="42" t="s">
        <v>20</v>
      </c>
      <c r="J21" s="43">
        <v>135</v>
      </c>
      <c r="K21" s="44" t="s">
        <v>37</v>
      </c>
      <c r="L21" s="45" t="s">
        <v>38</v>
      </c>
      <c r="M21" s="46"/>
      <c r="N21" s="45">
        <f>COUNTIF(E38:E162,"7")</f>
        <v>0</v>
      </c>
      <c r="O21" s="49"/>
      <c r="P21" s="154">
        <f>SUM(N21*135)</f>
        <v>0</v>
      </c>
      <c r="Q21" s="155"/>
      <c r="T21" s="36"/>
      <c r="U21" s="37"/>
    </row>
    <row r="22" spans="1:21" ht="12.75" customHeight="1" x14ac:dyDescent="0.25">
      <c r="B22" s="41" t="s">
        <v>46</v>
      </c>
      <c r="C22" s="168"/>
      <c r="D22" s="168"/>
      <c r="E22" s="55" t="s">
        <v>47</v>
      </c>
      <c r="F22" s="82"/>
      <c r="I22" s="42" t="s">
        <v>24</v>
      </c>
      <c r="J22" s="43">
        <v>135</v>
      </c>
      <c r="K22" s="44" t="s">
        <v>37</v>
      </c>
      <c r="L22" s="45" t="s">
        <v>38</v>
      </c>
      <c r="M22" s="46"/>
      <c r="N22" s="45">
        <f>COUNTIF(E38:E162,"8")</f>
        <v>0</v>
      </c>
      <c r="O22" s="49"/>
      <c r="P22" s="154">
        <f>SUM(N22*135)</f>
        <v>0</v>
      </c>
      <c r="Q22" s="155"/>
      <c r="T22" s="36"/>
    </row>
    <row r="23" spans="1:21" ht="12.75" customHeight="1" x14ac:dyDescent="0.25">
      <c r="B23" s="41" t="s">
        <v>48</v>
      </c>
      <c r="C23" s="169"/>
      <c r="D23" s="170"/>
      <c r="E23" s="170"/>
      <c r="F23" s="171"/>
      <c r="I23" s="42" t="s">
        <v>8</v>
      </c>
      <c r="J23" s="43">
        <v>135</v>
      </c>
      <c r="K23" s="44" t="s">
        <v>37</v>
      </c>
      <c r="L23" s="45" t="s">
        <v>38</v>
      </c>
      <c r="M23" s="46"/>
      <c r="N23" s="45">
        <f>COUNTIF(E38:E162,"9")</f>
        <v>0</v>
      </c>
      <c r="O23" s="49"/>
      <c r="P23" s="154">
        <f>SUM(N23*135)</f>
        <v>0</v>
      </c>
      <c r="Q23" s="155"/>
      <c r="T23" s="36"/>
      <c r="U23" s="37"/>
    </row>
    <row r="24" spans="1:21" ht="12.75" customHeight="1" x14ac:dyDescent="0.25">
      <c r="A24" s="8"/>
      <c r="I24" s="42" t="s">
        <v>11</v>
      </c>
      <c r="J24" s="43">
        <v>135</v>
      </c>
      <c r="K24" s="44" t="s">
        <v>37</v>
      </c>
      <c r="L24" s="45" t="s">
        <v>38</v>
      </c>
      <c r="M24" s="46"/>
      <c r="N24" s="45">
        <f>COUNTIF(E38:E162,"10/Open")</f>
        <v>0</v>
      </c>
      <c r="O24" s="49"/>
      <c r="P24" s="154">
        <f>SUM(N24*135)</f>
        <v>0</v>
      </c>
      <c r="Q24" s="155"/>
      <c r="T24" s="36"/>
    </row>
    <row r="25" spans="1:21" ht="12.75" customHeight="1" x14ac:dyDescent="0.25">
      <c r="A25" s="8"/>
      <c r="B25" s="146" t="s">
        <v>49</v>
      </c>
      <c r="C25" s="147"/>
      <c r="D25" s="147"/>
      <c r="E25" s="147"/>
      <c r="F25" s="148"/>
      <c r="I25" s="42" t="s">
        <v>14</v>
      </c>
      <c r="J25" s="43">
        <v>85</v>
      </c>
      <c r="K25" s="44" t="s">
        <v>37</v>
      </c>
      <c r="L25" s="45" t="s">
        <v>38</v>
      </c>
      <c r="M25" s="46"/>
      <c r="N25" s="45">
        <f>COUNTIF(E38:E162,"Xcel Bronze")</f>
        <v>0</v>
      </c>
      <c r="O25" s="49"/>
      <c r="P25" s="154">
        <f>SUM(N25*85)</f>
        <v>0</v>
      </c>
      <c r="Q25" s="155"/>
      <c r="R25" s="56" t="s">
        <v>34</v>
      </c>
      <c r="T25" s="36"/>
      <c r="U25" s="37"/>
    </row>
    <row r="26" spans="1:21" ht="12.75" customHeight="1" x14ac:dyDescent="0.25">
      <c r="A26" s="8"/>
      <c r="B26" s="149"/>
      <c r="C26" s="150"/>
      <c r="D26" s="150"/>
      <c r="E26" s="150"/>
      <c r="F26" s="151"/>
      <c r="I26" s="42" t="s">
        <v>18</v>
      </c>
      <c r="J26" s="43">
        <v>85</v>
      </c>
      <c r="K26" s="44" t="s">
        <v>37</v>
      </c>
      <c r="L26" s="45" t="s">
        <v>38</v>
      </c>
      <c r="M26" s="46"/>
      <c r="N26" s="45">
        <f>COUNTIF(E38:E162,"Xcel Silver")</f>
        <v>0</v>
      </c>
      <c r="O26" s="49"/>
      <c r="P26" s="154">
        <f>SUM(N26*85)</f>
        <v>0</v>
      </c>
      <c r="Q26" s="155"/>
      <c r="R26" s="57" t="s">
        <v>29</v>
      </c>
      <c r="T26" s="36"/>
    </row>
    <row r="27" spans="1:21" ht="12.75" customHeight="1" x14ac:dyDescent="0.25">
      <c r="B27" s="58" t="s">
        <v>50</v>
      </c>
      <c r="C27" s="58" t="s">
        <v>51</v>
      </c>
      <c r="D27" s="58" t="s">
        <v>52</v>
      </c>
      <c r="E27" s="58" t="s">
        <v>53</v>
      </c>
      <c r="F27" s="58" t="s">
        <v>54</v>
      </c>
      <c r="I27" s="42" t="s">
        <v>21</v>
      </c>
      <c r="J27" s="43">
        <v>85</v>
      </c>
      <c r="K27" s="44" t="s">
        <v>37</v>
      </c>
      <c r="L27" s="45" t="s">
        <v>38</v>
      </c>
      <c r="M27" s="46"/>
      <c r="N27" s="45">
        <f>COUNTIF(E38:E162,"Xcel Gold")</f>
        <v>0</v>
      </c>
      <c r="O27" s="49"/>
      <c r="P27" s="154">
        <f>SUM(N27*85)</f>
        <v>0</v>
      </c>
      <c r="Q27" s="155"/>
      <c r="R27" s="165">
        <f>SUM(P17:Q28)</f>
        <v>0</v>
      </c>
      <c r="T27" s="36"/>
      <c r="U27" s="37"/>
    </row>
    <row r="28" spans="1:21" ht="12.75" customHeight="1" x14ac:dyDescent="0.25">
      <c r="B28" s="30" t="s">
        <v>55</v>
      </c>
      <c r="C28" s="80"/>
      <c r="D28" s="83"/>
      <c r="E28" s="84"/>
      <c r="F28" s="84"/>
      <c r="I28" s="42" t="s">
        <v>25</v>
      </c>
      <c r="J28" s="43">
        <v>85</v>
      </c>
      <c r="K28" s="44" t="s">
        <v>37</v>
      </c>
      <c r="L28" s="45" t="s">
        <v>38</v>
      </c>
      <c r="M28" s="46"/>
      <c r="N28" s="45">
        <f>COUNTIF(E38:E162,"Xcel Platinum")</f>
        <v>0</v>
      </c>
      <c r="O28" s="49"/>
      <c r="P28" s="154">
        <f>SUM(N28*85)</f>
        <v>0</v>
      </c>
      <c r="Q28" s="155"/>
      <c r="R28" s="165"/>
      <c r="T28" s="36"/>
    </row>
    <row r="29" spans="1:21" ht="12.75" customHeight="1" x14ac:dyDescent="0.25">
      <c r="B29" s="30" t="s">
        <v>56</v>
      </c>
      <c r="C29" s="80"/>
      <c r="D29" s="83"/>
      <c r="E29" s="84"/>
      <c r="F29" s="84"/>
      <c r="I29" s="8"/>
      <c r="L29" s="62" t="s">
        <v>57</v>
      </c>
      <c r="M29" s="63"/>
      <c r="N29" s="64">
        <f>SUM(N17:N28)</f>
        <v>0</v>
      </c>
      <c r="R29" s="65"/>
      <c r="T29" s="36"/>
      <c r="U29" s="37"/>
    </row>
    <row r="30" spans="1:21" ht="12.75" customHeight="1" x14ac:dyDescent="0.25">
      <c r="B30" s="30" t="s">
        <v>58</v>
      </c>
      <c r="C30" s="80"/>
      <c r="D30" s="83"/>
      <c r="E30" s="84"/>
      <c r="F30" s="84"/>
      <c r="I30" s="8"/>
      <c r="R30" s="164"/>
      <c r="T30" s="36"/>
    </row>
    <row r="31" spans="1:21" ht="12.75" customHeight="1" thickBot="1" x14ac:dyDescent="0.3">
      <c r="B31" s="30" t="s">
        <v>59</v>
      </c>
      <c r="C31" s="59"/>
      <c r="D31" s="60"/>
      <c r="E31" s="61"/>
      <c r="F31" s="61"/>
      <c r="I31" s="8"/>
      <c r="R31" s="164"/>
      <c r="T31" s="36"/>
      <c r="U31" s="37"/>
    </row>
    <row r="32" spans="1:21" ht="12.75" customHeight="1" x14ac:dyDescent="0.25">
      <c r="B32" s="30" t="s">
        <v>60</v>
      </c>
      <c r="C32" s="59"/>
      <c r="D32" s="60"/>
      <c r="E32" s="61"/>
      <c r="F32" s="61"/>
      <c r="I32" s="172">
        <f>C16</f>
        <v>0</v>
      </c>
      <c r="J32" s="173"/>
      <c r="K32" s="173"/>
      <c r="L32" s="173"/>
      <c r="M32" s="174"/>
      <c r="N32" s="178" t="s">
        <v>61</v>
      </c>
      <c r="O32" s="178"/>
      <c r="P32" s="178"/>
      <c r="Q32" s="179"/>
      <c r="R32" s="182">
        <f>SUM(R9+R27)</f>
        <v>0</v>
      </c>
      <c r="T32" s="36"/>
    </row>
    <row r="33" spans="1:21" ht="12.75" customHeight="1" thickBot="1" x14ac:dyDescent="0.3">
      <c r="B33" s="30" t="s">
        <v>62</v>
      </c>
      <c r="C33" s="59"/>
      <c r="D33" s="60"/>
      <c r="E33" s="61"/>
      <c r="F33" s="61"/>
      <c r="I33" s="175"/>
      <c r="J33" s="176"/>
      <c r="K33" s="176"/>
      <c r="L33" s="176"/>
      <c r="M33" s="177"/>
      <c r="N33" s="180"/>
      <c r="O33" s="180"/>
      <c r="P33" s="180"/>
      <c r="Q33" s="181"/>
      <c r="R33" s="183"/>
      <c r="T33" s="36"/>
      <c r="U33" s="37"/>
    </row>
    <row r="34" spans="1:21" ht="12.75" customHeight="1" thickBot="1" x14ac:dyDescent="0.3">
      <c r="A34" s="8"/>
      <c r="I34" s="8"/>
      <c r="L34" s="66"/>
      <c r="M34" s="66"/>
      <c r="N34" s="66"/>
      <c r="O34" s="66"/>
      <c r="P34" s="66"/>
      <c r="Q34" s="66"/>
      <c r="R34" s="66"/>
      <c r="T34" s="36"/>
    </row>
    <row r="35" spans="1:21" ht="12.75" customHeight="1" x14ac:dyDescent="0.25">
      <c r="A35" s="8"/>
      <c r="B35" s="146" t="s">
        <v>63</v>
      </c>
      <c r="C35" s="147"/>
      <c r="D35" s="147"/>
      <c r="E35" s="147"/>
      <c r="F35" s="148"/>
      <c r="G35" s="67"/>
      <c r="I35" s="184" t="s">
        <v>64</v>
      </c>
      <c r="J35" s="185"/>
      <c r="K35" s="185"/>
      <c r="L35" s="185"/>
      <c r="M35" s="185"/>
      <c r="N35" s="185"/>
      <c r="O35" s="185"/>
      <c r="P35" s="185"/>
      <c r="Q35" s="185"/>
      <c r="R35" s="186"/>
      <c r="T35" s="36"/>
      <c r="U35" s="37"/>
    </row>
    <row r="36" spans="1:21" ht="12.75" customHeight="1" thickBot="1" x14ac:dyDescent="0.3">
      <c r="A36" s="8"/>
      <c r="B36" s="149"/>
      <c r="C36" s="150"/>
      <c r="D36" s="150"/>
      <c r="E36" s="150"/>
      <c r="F36" s="151"/>
      <c r="G36" s="68" t="s">
        <v>65</v>
      </c>
      <c r="I36" s="187"/>
      <c r="J36" s="188"/>
      <c r="K36" s="188"/>
      <c r="L36" s="188"/>
      <c r="M36" s="188"/>
      <c r="N36" s="188"/>
      <c r="O36" s="188"/>
      <c r="P36" s="188"/>
      <c r="Q36" s="188"/>
      <c r="R36" s="189"/>
      <c r="T36" s="36"/>
    </row>
    <row r="37" spans="1:21" ht="12.75" customHeight="1" thickBot="1" x14ac:dyDescent="0.3">
      <c r="B37" s="69" t="s">
        <v>66</v>
      </c>
      <c r="C37" s="69" t="s">
        <v>67</v>
      </c>
      <c r="D37" s="70" t="s">
        <v>52</v>
      </c>
      <c r="E37" s="71" t="s">
        <v>32</v>
      </c>
      <c r="F37" s="17" t="s">
        <v>68</v>
      </c>
      <c r="G37" s="72" t="s">
        <v>69</v>
      </c>
      <c r="I37" s="8"/>
      <c r="T37" s="36"/>
      <c r="U37" s="37"/>
    </row>
    <row r="38" spans="1:21" ht="12.75" customHeight="1" x14ac:dyDescent="0.25">
      <c r="A38" s="22">
        <v>1</v>
      </c>
      <c r="B38" s="83"/>
      <c r="C38" s="83"/>
      <c r="D38" s="83"/>
      <c r="E38" s="83"/>
      <c r="F38" s="84"/>
      <c r="G38" s="85"/>
      <c r="H38" s="73"/>
      <c r="I38" s="190" t="s">
        <v>70</v>
      </c>
      <c r="J38" s="191"/>
      <c r="K38" s="191"/>
      <c r="L38" s="191"/>
      <c r="M38" s="191"/>
      <c r="N38" s="191"/>
      <c r="O38" s="191"/>
      <c r="P38" s="191"/>
      <c r="Q38" s="191"/>
      <c r="R38" s="192"/>
      <c r="T38" s="36"/>
    </row>
    <row r="39" spans="1:21" ht="12.75" customHeight="1" thickBot="1" x14ac:dyDescent="0.3">
      <c r="A39" s="22">
        <v>2</v>
      </c>
      <c r="B39" s="83"/>
      <c r="C39" s="83"/>
      <c r="D39" s="83"/>
      <c r="E39" s="83"/>
      <c r="F39" s="84"/>
      <c r="G39" s="85"/>
      <c r="I39" s="193"/>
      <c r="J39" s="194"/>
      <c r="K39" s="194"/>
      <c r="L39" s="194"/>
      <c r="M39" s="194"/>
      <c r="N39" s="194"/>
      <c r="O39" s="194"/>
      <c r="P39" s="194"/>
      <c r="Q39" s="194"/>
      <c r="R39" s="195"/>
      <c r="T39" s="36"/>
      <c r="U39" s="37"/>
    </row>
    <row r="40" spans="1:21" ht="12.75" customHeight="1" thickBot="1" x14ac:dyDescent="0.3">
      <c r="A40" s="22">
        <v>3</v>
      </c>
      <c r="B40" s="83"/>
      <c r="C40" s="83"/>
      <c r="D40" s="83"/>
      <c r="E40" s="83"/>
      <c r="F40" s="84"/>
      <c r="G40" s="85"/>
      <c r="I40" s="8"/>
      <c r="T40" s="36"/>
    </row>
    <row r="41" spans="1:21" ht="12.75" customHeight="1" x14ac:dyDescent="0.25">
      <c r="A41" s="22">
        <v>4</v>
      </c>
      <c r="B41" s="83"/>
      <c r="C41" s="83"/>
      <c r="D41" s="83"/>
      <c r="E41" s="83"/>
      <c r="F41" s="84"/>
      <c r="G41" s="85"/>
      <c r="I41" s="190" t="s">
        <v>71</v>
      </c>
      <c r="J41" s="191"/>
      <c r="K41" s="191"/>
      <c r="L41" s="191"/>
      <c r="M41" s="191"/>
      <c r="N41" s="191"/>
      <c r="O41" s="191"/>
      <c r="P41" s="191"/>
      <c r="Q41" s="191"/>
      <c r="R41" s="192"/>
      <c r="T41" s="36"/>
      <c r="U41" s="37"/>
    </row>
    <row r="42" spans="1:21" ht="12.75" customHeight="1" thickBot="1" x14ac:dyDescent="0.3">
      <c r="A42" s="22">
        <v>5</v>
      </c>
      <c r="B42" s="83"/>
      <c r="C42" s="83"/>
      <c r="D42" s="83"/>
      <c r="E42" s="83"/>
      <c r="F42" s="84"/>
      <c r="G42" s="85"/>
      <c r="I42" s="193"/>
      <c r="J42" s="194"/>
      <c r="K42" s="194"/>
      <c r="L42" s="194"/>
      <c r="M42" s="194"/>
      <c r="N42" s="194"/>
      <c r="O42" s="194"/>
      <c r="P42" s="194"/>
      <c r="Q42" s="194"/>
      <c r="R42" s="195"/>
      <c r="T42" s="36"/>
    </row>
    <row r="43" spans="1:21" ht="12.75" customHeight="1" x14ac:dyDescent="0.25">
      <c r="A43" s="22">
        <v>6</v>
      </c>
      <c r="B43" s="83"/>
      <c r="C43" s="83"/>
      <c r="D43" s="83"/>
      <c r="E43" s="83"/>
      <c r="F43" s="84"/>
      <c r="G43" s="85"/>
      <c r="I43" s="8"/>
      <c r="T43" s="36"/>
      <c r="U43" s="37"/>
    </row>
    <row r="44" spans="1:21" ht="12.75" customHeight="1" thickBot="1" x14ac:dyDescent="0.3">
      <c r="A44" s="22">
        <v>7</v>
      </c>
      <c r="B44" s="83"/>
      <c r="C44" s="83"/>
      <c r="D44" s="83"/>
      <c r="E44" s="83"/>
      <c r="F44" s="84"/>
      <c r="G44" s="85"/>
      <c r="I44" s="74" t="s">
        <v>72</v>
      </c>
      <c r="J44" s="75"/>
      <c r="K44" s="75"/>
      <c r="L44" s="75"/>
      <c r="M44" s="75"/>
      <c r="N44" s="75"/>
      <c r="O44" s="75"/>
      <c r="P44" s="75"/>
      <c r="Q44" s="75"/>
      <c r="R44" s="75"/>
      <c r="T44" s="36"/>
    </row>
    <row r="45" spans="1:21" ht="12.75" customHeight="1" x14ac:dyDescent="0.25">
      <c r="A45" s="22">
        <v>8</v>
      </c>
      <c r="B45" s="83"/>
      <c r="C45" s="83"/>
      <c r="D45" s="83"/>
      <c r="E45" s="83"/>
      <c r="F45" s="84"/>
      <c r="G45" s="85"/>
      <c r="I45" s="196"/>
      <c r="J45" s="197"/>
      <c r="K45" s="197"/>
      <c r="L45" s="197"/>
      <c r="M45" s="197"/>
      <c r="N45" s="197"/>
      <c r="O45" s="197"/>
      <c r="P45" s="197"/>
      <c r="Q45" s="197"/>
      <c r="R45" s="198"/>
      <c r="T45" s="36"/>
      <c r="U45" s="37"/>
    </row>
    <row r="46" spans="1:21" ht="12.75" customHeight="1" x14ac:dyDescent="0.25">
      <c r="A46" s="22">
        <v>9</v>
      </c>
      <c r="B46" s="83"/>
      <c r="C46" s="83"/>
      <c r="D46" s="83"/>
      <c r="E46" s="83"/>
      <c r="F46" s="84"/>
      <c r="G46" s="85"/>
      <c r="I46" s="199"/>
      <c r="J46" s="200"/>
      <c r="K46" s="200"/>
      <c r="L46" s="200"/>
      <c r="M46" s="200"/>
      <c r="N46" s="200"/>
      <c r="O46" s="200"/>
      <c r="P46" s="200"/>
      <c r="Q46" s="200"/>
      <c r="R46" s="201"/>
      <c r="T46" s="36"/>
    </row>
    <row r="47" spans="1:21" ht="12.75" customHeight="1" x14ac:dyDescent="0.25">
      <c r="A47" s="22">
        <v>10</v>
      </c>
      <c r="B47" s="83"/>
      <c r="C47" s="83"/>
      <c r="D47" s="83"/>
      <c r="E47" s="83"/>
      <c r="F47" s="84"/>
      <c r="G47" s="85"/>
      <c r="I47" s="199"/>
      <c r="J47" s="200"/>
      <c r="K47" s="200"/>
      <c r="L47" s="200"/>
      <c r="M47" s="200"/>
      <c r="N47" s="200"/>
      <c r="O47" s="200"/>
      <c r="P47" s="200"/>
      <c r="Q47" s="200"/>
      <c r="R47" s="201"/>
      <c r="T47" s="36"/>
      <c r="U47" s="37"/>
    </row>
    <row r="48" spans="1:21" ht="12.75" customHeight="1" x14ac:dyDescent="0.25">
      <c r="A48" s="22">
        <v>11</v>
      </c>
      <c r="B48" s="83"/>
      <c r="C48" s="83"/>
      <c r="D48" s="83"/>
      <c r="E48" s="83"/>
      <c r="F48" s="84"/>
      <c r="G48" s="85"/>
      <c r="I48" s="199"/>
      <c r="J48" s="200"/>
      <c r="K48" s="200"/>
      <c r="L48" s="200"/>
      <c r="M48" s="200"/>
      <c r="N48" s="200"/>
      <c r="O48" s="200"/>
      <c r="P48" s="200"/>
      <c r="Q48" s="200"/>
      <c r="R48" s="201"/>
      <c r="T48" s="36"/>
    </row>
    <row r="49" spans="1:21" ht="12.75" customHeight="1" x14ac:dyDescent="0.25">
      <c r="A49" s="22">
        <v>12</v>
      </c>
      <c r="B49" s="83"/>
      <c r="C49" s="83"/>
      <c r="D49" s="83"/>
      <c r="E49" s="83"/>
      <c r="F49" s="84"/>
      <c r="G49" s="85"/>
      <c r="I49" s="199"/>
      <c r="J49" s="200"/>
      <c r="K49" s="200"/>
      <c r="L49" s="200"/>
      <c r="M49" s="200"/>
      <c r="N49" s="200"/>
      <c r="O49" s="200"/>
      <c r="P49" s="200"/>
      <c r="Q49" s="200"/>
      <c r="R49" s="201"/>
      <c r="T49" s="36"/>
      <c r="U49" s="37"/>
    </row>
    <row r="50" spans="1:21" ht="12.75" customHeight="1" x14ac:dyDescent="0.25">
      <c r="A50" s="22">
        <v>13</v>
      </c>
      <c r="B50" s="83"/>
      <c r="C50" s="83"/>
      <c r="D50" s="83"/>
      <c r="E50" s="83"/>
      <c r="F50" s="84"/>
      <c r="G50" s="85"/>
      <c r="I50" s="199"/>
      <c r="J50" s="200"/>
      <c r="K50" s="200"/>
      <c r="L50" s="200"/>
      <c r="M50" s="200"/>
      <c r="N50" s="200"/>
      <c r="O50" s="200"/>
      <c r="P50" s="200"/>
      <c r="Q50" s="200"/>
      <c r="R50" s="201"/>
      <c r="T50" s="36"/>
    </row>
    <row r="51" spans="1:21" ht="12.75" customHeight="1" x14ac:dyDescent="0.25">
      <c r="A51" s="22">
        <v>14</v>
      </c>
      <c r="B51" s="83"/>
      <c r="C51" s="83"/>
      <c r="D51" s="83"/>
      <c r="E51" s="83"/>
      <c r="F51" s="84"/>
      <c r="G51" s="85"/>
      <c r="I51" s="199"/>
      <c r="J51" s="200"/>
      <c r="K51" s="200"/>
      <c r="L51" s="200"/>
      <c r="M51" s="200"/>
      <c r="N51" s="200"/>
      <c r="O51" s="200"/>
      <c r="P51" s="200"/>
      <c r="Q51" s="200"/>
      <c r="R51" s="201"/>
      <c r="T51" s="36"/>
      <c r="U51" s="37"/>
    </row>
    <row r="52" spans="1:21" ht="12.75" customHeight="1" x14ac:dyDescent="0.25">
      <c r="A52" s="22">
        <v>15</v>
      </c>
      <c r="B52" s="86"/>
      <c r="C52" s="86"/>
      <c r="D52" s="87"/>
      <c r="E52" s="87"/>
      <c r="F52" s="88"/>
      <c r="G52" s="86"/>
      <c r="I52" s="199"/>
      <c r="J52" s="200"/>
      <c r="K52" s="200"/>
      <c r="L52" s="200"/>
      <c r="M52" s="200"/>
      <c r="N52" s="200"/>
      <c r="O52" s="200"/>
      <c r="P52" s="200"/>
      <c r="Q52" s="200"/>
      <c r="R52" s="201"/>
      <c r="T52" s="36"/>
    </row>
    <row r="53" spans="1:21" ht="12.75" customHeight="1" thickBot="1" x14ac:dyDescent="0.3">
      <c r="A53" s="22">
        <v>16</v>
      </c>
      <c r="B53" s="86"/>
      <c r="C53" s="86"/>
      <c r="D53" s="87"/>
      <c r="E53" s="87"/>
      <c r="F53" s="88"/>
      <c r="G53" s="86"/>
      <c r="I53" s="202"/>
      <c r="J53" s="203"/>
      <c r="K53" s="203"/>
      <c r="L53" s="203"/>
      <c r="M53" s="203"/>
      <c r="N53" s="203"/>
      <c r="O53" s="203"/>
      <c r="P53" s="203"/>
      <c r="Q53" s="203"/>
      <c r="R53" s="204"/>
      <c r="T53" s="36"/>
      <c r="U53" s="37"/>
    </row>
    <row r="54" spans="1:21" ht="12.75" customHeight="1" x14ac:dyDescent="0.25">
      <c r="A54" s="22">
        <v>17</v>
      </c>
      <c r="B54" s="86"/>
      <c r="C54" s="86"/>
      <c r="D54" s="87"/>
      <c r="E54" s="87"/>
      <c r="F54" s="88"/>
      <c r="G54" s="86"/>
      <c r="J54" s="52"/>
      <c r="K54" s="52"/>
      <c r="L54" s="52"/>
      <c r="M54" s="52"/>
      <c r="N54" s="52"/>
      <c r="O54" s="52"/>
      <c r="P54" s="52"/>
      <c r="Q54" s="52"/>
      <c r="T54" s="36"/>
    </row>
    <row r="55" spans="1:21" ht="12.75" customHeight="1" x14ac:dyDescent="0.25">
      <c r="A55" s="22">
        <v>18</v>
      </c>
      <c r="B55" s="86"/>
      <c r="C55" s="86"/>
      <c r="D55" s="87"/>
      <c r="E55" s="87"/>
      <c r="F55" s="88"/>
      <c r="G55" s="86"/>
      <c r="J55" s="127"/>
      <c r="K55" s="127"/>
      <c r="L55" s="127"/>
      <c r="M55" s="127"/>
      <c r="N55" s="127"/>
      <c r="O55" s="127"/>
      <c r="P55" s="127"/>
      <c r="Q55" s="127"/>
      <c r="T55" s="36"/>
      <c r="U55" s="37"/>
    </row>
    <row r="56" spans="1:21" ht="12.75" customHeight="1" x14ac:dyDescent="0.25">
      <c r="A56" s="22">
        <v>19</v>
      </c>
      <c r="B56" s="86"/>
      <c r="C56" s="86"/>
      <c r="D56" s="87"/>
      <c r="E56" s="87"/>
      <c r="F56" s="88"/>
      <c r="G56" s="86"/>
      <c r="I56" s="227" t="s">
        <v>87</v>
      </c>
      <c r="J56" s="228"/>
      <c r="K56" s="228"/>
      <c r="L56" s="228"/>
      <c r="M56" s="228"/>
      <c r="N56" s="229"/>
      <c r="O56" s="127"/>
      <c r="P56" s="127"/>
      <c r="Q56" s="127"/>
      <c r="T56" s="36"/>
    </row>
    <row r="57" spans="1:21" ht="12.75" customHeight="1" x14ac:dyDescent="0.25">
      <c r="A57" s="22">
        <v>20</v>
      </c>
      <c r="B57" s="86"/>
      <c r="C57" s="86"/>
      <c r="D57" s="87"/>
      <c r="E57" s="87"/>
      <c r="F57" s="88"/>
      <c r="G57" s="86"/>
      <c r="I57" s="230"/>
      <c r="J57" s="231"/>
      <c r="K57" s="231"/>
      <c r="L57" s="231"/>
      <c r="M57" s="231"/>
      <c r="N57" s="232"/>
      <c r="O57" s="52"/>
      <c r="P57" s="52"/>
      <c r="Q57" s="52"/>
      <c r="T57" s="36"/>
      <c r="U57" s="37"/>
    </row>
    <row r="58" spans="1:21" ht="12.75" customHeight="1" x14ac:dyDescent="0.25">
      <c r="A58" s="22">
        <v>21</v>
      </c>
      <c r="B58" s="86"/>
      <c r="C58" s="86"/>
      <c r="D58" s="87"/>
      <c r="E58" s="87"/>
      <c r="F58" s="88"/>
      <c r="G58" s="86"/>
      <c r="T58" s="36"/>
    </row>
    <row r="59" spans="1:21" ht="12.75" customHeight="1" x14ac:dyDescent="0.25">
      <c r="A59" s="22">
        <v>22</v>
      </c>
      <c r="B59" s="86"/>
      <c r="C59" s="86"/>
      <c r="D59" s="87"/>
      <c r="E59" s="87"/>
      <c r="F59" s="88"/>
      <c r="G59" s="86"/>
      <c r="T59" s="36"/>
      <c r="U59" s="37"/>
    </row>
    <row r="60" spans="1:21" ht="12.75" customHeight="1" x14ac:dyDescent="0.25">
      <c r="A60" s="22">
        <v>23</v>
      </c>
      <c r="B60" s="86"/>
      <c r="C60" s="86"/>
      <c r="D60" s="87"/>
      <c r="E60" s="87"/>
      <c r="F60" s="88"/>
      <c r="G60" s="86"/>
      <c r="I60" s="205" t="s">
        <v>30</v>
      </c>
      <c r="J60" s="206"/>
      <c r="K60" s="207"/>
      <c r="L60" s="208">
        <f>C16</f>
        <v>0</v>
      </c>
      <c r="M60" s="136"/>
      <c r="N60" s="136"/>
      <c r="O60" s="136"/>
      <c r="P60" s="136"/>
      <c r="Q60" s="136"/>
      <c r="T60" s="36"/>
    </row>
    <row r="61" spans="1:21" ht="12.75" customHeight="1" x14ac:dyDescent="0.25">
      <c r="A61" s="22">
        <v>24</v>
      </c>
      <c r="B61" s="86"/>
      <c r="C61" s="86"/>
      <c r="D61" s="87"/>
      <c r="E61" s="87"/>
      <c r="F61" s="88"/>
      <c r="G61" s="86"/>
      <c r="I61" s="235" t="s">
        <v>46</v>
      </c>
      <c r="J61" s="236"/>
      <c r="K61" s="237"/>
      <c r="L61" s="208">
        <f>C22</f>
        <v>0</v>
      </c>
      <c r="M61" s="136"/>
      <c r="N61" s="136"/>
      <c r="O61" s="136"/>
      <c r="P61" s="136"/>
      <c r="Q61" s="136"/>
      <c r="T61" s="36"/>
      <c r="U61" s="37"/>
    </row>
    <row r="62" spans="1:21" ht="12.75" customHeight="1" x14ac:dyDescent="0.25">
      <c r="A62" s="22">
        <v>25</v>
      </c>
      <c r="B62" s="86"/>
      <c r="C62" s="86"/>
      <c r="D62" s="87"/>
      <c r="E62" s="87"/>
      <c r="F62" s="88"/>
      <c r="G62" s="86"/>
      <c r="I62" s="235" t="s">
        <v>47</v>
      </c>
      <c r="J62" s="236"/>
      <c r="K62" s="237"/>
      <c r="L62" s="238">
        <f>F22</f>
        <v>0</v>
      </c>
      <c r="M62" s="136"/>
      <c r="N62" s="136"/>
      <c r="O62" s="136"/>
      <c r="P62" s="136"/>
      <c r="Q62" s="136"/>
      <c r="T62" s="36"/>
    </row>
    <row r="63" spans="1:21" ht="12.75" customHeight="1" x14ac:dyDescent="0.2">
      <c r="A63" s="22">
        <v>26</v>
      </c>
      <c r="B63" s="86"/>
      <c r="C63" s="86"/>
      <c r="D63" s="87"/>
      <c r="E63" s="87"/>
      <c r="F63" s="88"/>
      <c r="G63" s="86"/>
      <c r="I63" s="239" t="s">
        <v>48</v>
      </c>
      <c r="J63" s="240"/>
      <c r="K63" s="241"/>
      <c r="L63" s="136">
        <f>C23</f>
        <v>0</v>
      </c>
      <c r="M63" s="136"/>
      <c r="N63" s="136"/>
      <c r="O63" s="136"/>
      <c r="P63" s="136"/>
      <c r="Q63" s="136"/>
    </row>
    <row r="64" spans="1:21" ht="12.75" customHeight="1" x14ac:dyDescent="0.2">
      <c r="A64" s="22">
        <v>27</v>
      </c>
      <c r="B64" s="86"/>
      <c r="C64" s="86"/>
      <c r="D64" s="87"/>
      <c r="E64" s="87"/>
      <c r="F64" s="88"/>
      <c r="G64" s="86"/>
      <c r="I64" s="9"/>
    </row>
    <row r="65" spans="1:18" s="1" customFormat="1" ht="12.75" customHeight="1" x14ac:dyDescent="0.2">
      <c r="A65" s="22">
        <v>28</v>
      </c>
      <c r="B65" s="86"/>
      <c r="C65" s="86"/>
      <c r="D65" s="87"/>
      <c r="E65" s="87"/>
      <c r="F65" s="88"/>
      <c r="G65" s="86"/>
    </row>
    <row r="66" spans="1:18" s="1" customFormat="1" ht="12.75" customHeight="1" thickBot="1" x14ac:dyDescent="0.25">
      <c r="A66" s="22">
        <v>29</v>
      </c>
      <c r="B66" s="86"/>
      <c r="C66" s="86"/>
      <c r="D66" s="87"/>
      <c r="E66" s="86"/>
      <c r="F66" s="88"/>
      <c r="G66" s="86"/>
      <c r="I66" s="233" t="s">
        <v>81</v>
      </c>
      <c r="J66" s="234"/>
      <c r="K66" s="76"/>
    </row>
    <row r="67" spans="1:18" s="1" customFormat="1" x14ac:dyDescent="0.2">
      <c r="A67" s="22">
        <v>30</v>
      </c>
      <c r="B67" s="86"/>
      <c r="C67" s="86"/>
      <c r="D67" s="87"/>
      <c r="E67" s="86"/>
      <c r="F67" s="88"/>
      <c r="G67" s="86"/>
      <c r="I67" s="209" t="s">
        <v>82</v>
      </c>
      <c r="J67" s="210"/>
      <c r="K67" s="210"/>
      <c r="L67" s="210"/>
      <c r="M67" s="210"/>
      <c r="N67" s="210"/>
      <c r="O67" s="210"/>
      <c r="P67" s="210"/>
      <c r="Q67" s="211"/>
      <c r="R67" s="77"/>
    </row>
    <row r="68" spans="1:18" s="1" customFormat="1" x14ac:dyDescent="0.2">
      <c r="A68" s="22">
        <v>31</v>
      </c>
      <c r="B68" s="86"/>
      <c r="C68" s="86"/>
      <c r="D68" s="87"/>
      <c r="E68" s="86"/>
      <c r="F68" s="88"/>
      <c r="G68" s="86"/>
      <c r="I68" s="212"/>
      <c r="J68" s="213"/>
      <c r="K68" s="213"/>
      <c r="L68" s="213"/>
      <c r="M68" s="213"/>
      <c r="N68" s="213"/>
      <c r="O68" s="213"/>
      <c r="P68" s="213"/>
      <c r="Q68" s="214"/>
      <c r="R68" s="77"/>
    </row>
    <row r="69" spans="1:18" s="1" customFormat="1" x14ac:dyDescent="0.2">
      <c r="A69" s="22">
        <v>32</v>
      </c>
      <c r="B69" s="86"/>
      <c r="C69" s="86"/>
      <c r="D69" s="87"/>
      <c r="E69" s="86"/>
      <c r="F69" s="88"/>
      <c r="G69" s="86"/>
      <c r="I69" s="212"/>
      <c r="J69" s="213"/>
      <c r="K69" s="213"/>
      <c r="L69" s="213"/>
      <c r="M69" s="213"/>
      <c r="N69" s="213"/>
      <c r="O69" s="213"/>
      <c r="P69" s="213"/>
      <c r="Q69" s="214"/>
      <c r="R69" s="77"/>
    </row>
    <row r="70" spans="1:18" s="1" customFormat="1" x14ac:dyDescent="0.2">
      <c r="A70" s="22">
        <v>33</v>
      </c>
      <c r="B70" s="86"/>
      <c r="C70" s="86"/>
      <c r="D70" s="87"/>
      <c r="E70" s="86"/>
      <c r="F70" s="88"/>
      <c r="G70" s="86"/>
      <c r="I70" s="212"/>
      <c r="J70" s="213"/>
      <c r="K70" s="213"/>
      <c r="L70" s="213"/>
      <c r="M70" s="213"/>
      <c r="N70" s="213"/>
      <c r="O70" s="213"/>
      <c r="P70" s="213"/>
      <c r="Q70" s="214"/>
      <c r="R70" s="77"/>
    </row>
    <row r="71" spans="1:18" s="1" customFormat="1" ht="13.5" thickBot="1" x14ac:dyDescent="0.25">
      <c r="A71" s="22">
        <v>34</v>
      </c>
      <c r="B71" s="86"/>
      <c r="C71" s="86"/>
      <c r="D71" s="87"/>
      <c r="E71" s="86"/>
      <c r="F71" s="88"/>
      <c r="G71" s="86"/>
      <c r="I71" s="215"/>
      <c r="J71" s="216"/>
      <c r="K71" s="216"/>
      <c r="L71" s="216"/>
      <c r="M71" s="216"/>
      <c r="N71" s="216"/>
      <c r="O71" s="216"/>
      <c r="P71" s="216"/>
      <c r="Q71" s="217"/>
      <c r="R71" s="77"/>
    </row>
    <row r="72" spans="1:18" s="1" customFormat="1" ht="13.5" thickBot="1" x14ac:dyDescent="0.25">
      <c r="A72" s="22">
        <v>35</v>
      </c>
      <c r="B72" s="86"/>
      <c r="C72" s="86"/>
      <c r="D72" s="87"/>
      <c r="E72" s="86"/>
      <c r="F72" s="88"/>
      <c r="G72" s="86"/>
      <c r="I72" s="99"/>
      <c r="J72" s="99"/>
      <c r="K72" s="99"/>
      <c r="L72" s="99"/>
      <c r="M72" s="99"/>
      <c r="N72" s="99"/>
      <c r="O72" s="99"/>
      <c r="P72" s="99"/>
      <c r="Q72" s="99"/>
      <c r="R72" s="77"/>
    </row>
    <row r="73" spans="1:18" s="1" customFormat="1" x14ac:dyDescent="0.2">
      <c r="A73" s="22">
        <v>36</v>
      </c>
      <c r="B73" s="86"/>
      <c r="C73" s="86"/>
      <c r="D73" s="87"/>
      <c r="E73" s="87"/>
      <c r="F73" s="88"/>
      <c r="G73" s="86"/>
      <c r="I73" s="218" t="s">
        <v>85</v>
      </c>
      <c r="J73" s="219"/>
      <c r="K73" s="219"/>
      <c r="L73" s="219"/>
      <c r="M73" s="220"/>
      <c r="N73" s="99"/>
      <c r="O73" s="99"/>
      <c r="P73" s="99"/>
      <c r="Q73" s="99"/>
      <c r="R73" s="77"/>
    </row>
    <row r="74" spans="1:18" s="1" customFormat="1" x14ac:dyDescent="0.2">
      <c r="A74" s="22">
        <v>37</v>
      </c>
      <c r="B74" s="86"/>
      <c r="C74" s="86"/>
      <c r="D74" s="87"/>
      <c r="E74" s="87"/>
      <c r="F74" s="88"/>
      <c r="G74" s="86"/>
      <c r="I74" s="221"/>
      <c r="J74" s="222"/>
      <c r="K74" s="222"/>
      <c r="L74" s="222"/>
      <c r="M74" s="223"/>
      <c r="N74" s="99"/>
      <c r="O74" s="99" t="s">
        <v>86</v>
      </c>
      <c r="P74" s="99"/>
      <c r="Q74" s="99"/>
      <c r="R74" s="77"/>
    </row>
    <row r="75" spans="1:18" s="1" customFormat="1" ht="12.75" customHeight="1" thickBot="1" x14ac:dyDescent="0.25">
      <c r="A75" s="22">
        <v>38</v>
      </c>
      <c r="B75" s="86"/>
      <c r="C75" s="86"/>
      <c r="D75" s="87"/>
      <c r="E75" s="87"/>
      <c r="F75" s="88"/>
      <c r="G75" s="86"/>
      <c r="I75" s="224"/>
      <c r="J75" s="225"/>
      <c r="K75" s="225"/>
      <c r="L75" s="225"/>
      <c r="M75" s="226"/>
      <c r="N75" s="99"/>
      <c r="O75" s="99"/>
      <c r="P75" s="99"/>
      <c r="Q75" s="99"/>
      <c r="R75" s="77"/>
    </row>
    <row r="76" spans="1:18" s="1" customFormat="1" ht="12.75" customHeight="1" thickBot="1" x14ac:dyDescent="0.25">
      <c r="A76" s="22">
        <v>39</v>
      </c>
      <c r="B76" s="86"/>
      <c r="C76" s="86"/>
      <c r="D76" s="87"/>
      <c r="E76" s="87"/>
      <c r="F76" s="88"/>
      <c r="G76" s="86"/>
      <c r="I76" s="99"/>
      <c r="J76" s="99"/>
      <c r="K76" s="99"/>
      <c r="L76" s="99"/>
      <c r="M76" s="99"/>
      <c r="N76" s="99"/>
      <c r="O76" s="99"/>
      <c r="P76" s="99"/>
      <c r="Q76" s="99"/>
      <c r="R76" s="77"/>
    </row>
    <row r="77" spans="1:18" s="1" customFormat="1" ht="15" x14ac:dyDescent="0.25">
      <c r="A77" s="22">
        <v>40</v>
      </c>
      <c r="B77" s="86"/>
      <c r="C77" s="86"/>
      <c r="D77" s="87"/>
      <c r="E77" s="87"/>
      <c r="F77" s="88"/>
      <c r="G77" s="86"/>
      <c r="I77" s="100"/>
      <c r="J77" s="129" t="s">
        <v>73</v>
      </c>
      <c r="K77" s="130" t="s">
        <v>74</v>
      </c>
      <c r="L77" s="129" t="s">
        <v>75</v>
      </c>
      <c r="M77" s="129" t="s">
        <v>76</v>
      </c>
      <c r="N77" s="129" t="s">
        <v>77</v>
      </c>
      <c r="O77" s="131" t="s">
        <v>78</v>
      </c>
      <c r="P77" s="131" t="s">
        <v>79</v>
      </c>
      <c r="Q77" s="131" t="s">
        <v>80</v>
      </c>
      <c r="R77" s="132" t="s">
        <v>90</v>
      </c>
    </row>
    <row r="78" spans="1:18" s="1" customFormat="1" ht="15" x14ac:dyDescent="0.25">
      <c r="A78" s="22">
        <v>41</v>
      </c>
      <c r="B78" s="86"/>
      <c r="C78" s="86"/>
      <c r="D78" s="87"/>
      <c r="E78" s="87"/>
      <c r="F78" s="88"/>
      <c r="G78" s="86"/>
      <c r="I78" s="128" t="s">
        <v>7</v>
      </c>
      <c r="J78" s="91">
        <f>COUNTIFS(E38:E162,3,G38:G162,"CS")</f>
        <v>0</v>
      </c>
      <c r="K78" s="94">
        <f>COUNTIFS(E38:E162,3,G38:G162,"CM")</f>
        <v>0</v>
      </c>
      <c r="L78" s="92">
        <f>COUNTIFS(E38:E162,3,G38:G162,"CL")</f>
        <v>0</v>
      </c>
      <c r="M78" s="92">
        <f>COUNTIFS(E38:E162,3,G38:G162,"AXS")</f>
        <v>0</v>
      </c>
      <c r="N78" s="92">
        <f>COUNTIFS(E38:E162,3,G38:G162,"AS")</f>
        <v>0</v>
      </c>
      <c r="O78" s="97">
        <f>COUNTIFS(E38:E162,3,G38:G162,"AM")</f>
        <v>0</v>
      </c>
      <c r="P78" s="97">
        <f>COUNTIFS(E38:E162,3,G38:G162,"AL")</f>
        <v>0</v>
      </c>
      <c r="Q78" s="97">
        <f>COUNTIFS(E38:E162,3,G38:G162,"AXL")</f>
        <v>0</v>
      </c>
      <c r="R78" s="102">
        <f t="shared" ref="R78:R85" si="1">SUM(J78:Q78)</f>
        <v>0</v>
      </c>
    </row>
    <row r="79" spans="1:18" s="1" customFormat="1" ht="15" customHeight="1" x14ac:dyDescent="0.25">
      <c r="A79" s="22">
        <v>42</v>
      </c>
      <c r="B79" s="86"/>
      <c r="C79" s="86"/>
      <c r="D79" s="87"/>
      <c r="E79" s="87"/>
      <c r="F79" s="88"/>
      <c r="G79" s="86"/>
      <c r="I79" s="103" t="s">
        <v>10</v>
      </c>
      <c r="J79" s="92">
        <f>COUNTIFS(E38:E162,4,G38:G162,"CS")</f>
        <v>0</v>
      </c>
      <c r="K79" s="94">
        <f>COUNTIFS(E38:E162,4,G38:G162,"CM")</f>
        <v>0</v>
      </c>
      <c r="L79" s="92">
        <f>COUNTIFS(E38:E162,4,G38:G162,"CL")</f>
        <v>0</v>
      </c>
      <c r="M79" s="92">
        <f>COUNTIFS(E38:E162,4,G38:G162,"AXS")</f>
        <v>0</v>
      </c>
      <c r="N79" s="92">
        <f>COUNTIFS(E38:E162,4,G38:G162,"AS")</f>
        <v>0</v>
      </c>
      <c r="O79" s="97">
        <f>COUNTIFS(E38:E162,4,G38:G162,"AM")</f>
        <v>0</v>
      </c>
      <c r="P79" s="97">
        <f>COUNTIFS(E38:E162,4,G38:G162,"AL")</f>
        <v>0</v>
      </c>
      <c r="Q79" s="97">
        <f>COUNTIFS(E38:E162,4,G38:G162,"AXL")</f>
        <v>0</v>
      </c>
      <c r="R79" s="102">
        <f t="shared" si="1"/>
        <v>0</v>
      </c>
    </row>
    <row r="80" spans="1:18" s="1" customFormat="1" ht="15" x14ac:dyDescent="0.25">
      <c r="A80" s="22">
        <v>43</v>
      </c>
      <c r="B80" s="86"/>
      <c r="C80" s="86"/>
      <c r="D80" s="87"/>
      <c r="E80" s="87"/>
      <c r="F80" s="88"/>
      <c r="G80" s="86"/>
      <c r="I80" s="103" t="s">
        <v>13</v>
      </c>
      <c r="J80" s="92">
        <f>COUNTIFS(E38:E162,5,G38:G162,"CS")</f>
        <v>0</v>
      </c>
      <c r="K80" s="94">
        <f>COUNTIFS(E38:E162,5,G38:G162,"CM")</f>
        <v>0</v>
      </c>
      <c r="L80" s="92">
        <f>COUNTIFS(E38:E162,5,G38:G162,"CL")</f>
        <v>0</v>
      </c>
      <c r="M80" s="92">
        <f>COUNTIFS(E38:E162,5,G38:G162,"AXS")</f>
        <v>0</v>
      </c>
      <c r="N80" s="92">
        <f>COUNTIFS(E38:E162,5,G38:G162,"AS")</f>
        <v>0</v>
      </c>
      <c r="O80" s="97">
        <f>COUNTIFS(E38:E162,5,G38:G162,"AM")</f>
        <v>0</v>
      </c>
      <c r="P80" s="97">
        <f>COUNTIFS(E38:E162,5,G38:G162,"AL")</f>
        <v>0</v>
      </c>
      <c r="Q80" s="97">
        <f>COUNTIFS(E38:E162,5,G38:G162,"AXL")</f>
        <v>0</v>
      </c>
      <c r="R80" s="102">
        <f t="shared" si="1"/>
        <v>0</v>
      </c>
    </row>
    <row r="81" spans="1:21" ht="12.75" customHeight="1" x14ac:dyDescent="0.25">
      <c r="A81" s="22">
        <v>44</v>
      </c>
      <c r="B81" s="86"/>
      <c r="C81" s="86"/>
      <c r="D81" s="87"/>
      <c r="E81" s="87"/>
      <c r="F81" s="88"/>
      <c r="G81" s="86"/>
      <c r="I81" s="103" t="s">
        <v>17</v>
      </c>
      <c r="J81" s="92">
        <f>COUNTIFS(E38:E162,6,G38:G162,"CS")</f>
        <v>0</v>
      </c>
      <c r="K81" s="94">
        <f>COUNTIFS(E38:E162,6,G38:G162,"CM")</f>
        <v>0</v>
      </c>
      <c r="L81" s="92">
        <f>COUNTIFS(E38:E162,6,G38:G162,"CL")</f>
        <v>0</v>
      </c>
      <c r="M81" s="92">
        <f>COUNTIFS(E38:E162,6,G38:G162,"AXS")</f>
        <v>0</v>
      </c>
      <c r="N81" s="92">
        <f>COUNTIFS(E38:E162,6,G38:G162,"AS")</f>
        <v>0</v>
      </c>
      <c r="O81" s="97">
        <f>COUNTIFS(E38:E162,6,G38:G162,"AM")</f>
        <v>0</v>
      </c>
      <c r="P81" s="97">
        <f>COUNTIFS(E38:E162,6,G38:G162,"AL")</f>
        <v>0</v>
      </c>
      <c r="Q81" s="97">
        <f>COUNTIFS(E38:E162,6,G38:G162,"AXL")</f>
        <v>0</v>
      </c>
      <c r="R81" s="102">
        <f t="shared" si="1"/>
        <v>0</v>
      </c>
      <c r="T81" s="1"/>
      <c r="U81" s="1"/>
    </row>
    <row r="82" spans="1:21" ht="12.75" customHeight="1" x14ac:dyDescent="0.25">
      <c r="A82" s="22">
        <v>45</v>
      </c>
      <c r="B82" s="86"/>
      <c r="C82" s="86"/>
      <c r="D82" s="87"/>
      <c r="E82" s="87"/>
      <c r="F82" s="88"/>
      <c r="G82" s="86"/>
      <c r="I82" s="103" t="s">
        <v>14</v>
      </c>
      <c r="J82" s="92">
        <f>COUNTIFS(E38:E162,"Xcel Bronze",G38:G162,"CS")</f>
        <v>0</v>
      </c>
      <c r="K82" s="94">
        <f>COUNTIFS(E38:E162,"Xcel Bronze",G38:G162,"CM")</f>
        <v>0</v>
      </c>
      <c r="L82" s="92">
        <f>COUNTIFS(E38:E162,"Xcel Bronze",G38:G162,"CL")</f>
        <v>0</v>
      </c>
      <c r="M82" s="92">
        <f>COUNTIFS(E38:E162,"Xcel Bronze",G38:G162,"AXS")</f>
        <v>0</v>
      </c>
      <c r="N82" s="92">
        <f>COUNTIFS(E38:E162,"Xcel Bronze",G38:G162,"AS")</f>
        <v>0</v>
      </c>
      <c r="O82" s="97">
        <f>COUNTIFS(E38:E162,"Xcel Bronze",G38:G162,"AM")</f>
        <v>0</v>
      </c>
      <c r="P82" s="97">
        <f>COUNTIFS(E38:E162,"Xcel Bronze",G38:G162,"AL")</f>
        <v>0</v>
      </c>
      <c r="Q82" s="97">
        <f>COUNTIFS(E38:E162,"Xcel Bronze",G38:G162,"AXL")</f>
        <v>0</v>
      </c>
      <c r="R82" s="102">
        <f t="shared" si="1"/>
        <v>0</v>
      </c>
      <c r="T82" s="1"/>
      <c r="U82" s="1"/>
    </row>
    <row r="83" spans="1:21" ht="12.75" customHeight="1" x14ac:dyDescent="0.25">
      <c r="A83" s="22">
        <v>46</v>
      </c>
      <c r="B83" s="86"/>
      <c r="C83" s="86"/>
      <c r="D83" s="87"/>
      <c r="E83" s="87"/>
      <c r="F83" s="88"/>
      <c r="G83" s="86"/>
      <c r="I83" s="103" t="s">
        <v>18</v>
      </c>
      <c r="J83" s="92">
        <f>COUNTIFS(E38:E162,"Xcel Silver",G38:G162,"CS")</f>
        <v>0</v>
      </c>
      <c r="K83" s="94">
        <f>COUNTIFS(E38:E162,"Xcel Silver",G38:G162,"CM")</f>
        <v>0</v>
      </c>
      <c r="L83" s="92">
        <f>COUNTIFS(E38:E162,"Xcel Silver",G38:G162,"CL")</f>
        <v>0</v>
      </c>
      <c r="M83" s="92">
        <f>COUNTIFS(E38:E162,"Xcel Silver",G38:G162,"AXS")</f>
        <v>0</v>
      </c>
      <c r="N83" s="92">
        <f>COUNTIFS(E38:E162,"Xcel Silver",G38:G162,"AS")</f>
        <v>0</v>
      </c>
      <c r="O83" s="97">
        <f>COUNTIFS(E38:E162,"Xcel Silver",G38:G162,"AM")</f>
        <v>0</v>
      </c>
      <c r="P83" s="97">
        <f>COUNTIFS(E38:E162,"Xcel Silver",G38:G162,"AL")</f>
        <v>0</v>
      </c>
      <c r="Q83" s="97">
        <f>COUNTIFS(E38:E162,"Xcel Silver",G38:G162,"AXL")</f>
        <v>0</v>
      </c>
      <c r="R83" s="102">
        <f t="shared" si="1"/>
        <v>0</v>
      </c>
      <c r="T83" s="1"/>
      <c r="U83" s="1"/>
    </row>
    <row r="84" spans="1:21" ht="12.75" customHeight="1" x14ac:dyDescent="0.25">
      <c r="A84" s="22">
        <v>47</v>
      </c>
      <c r="B84" s="86"/>
      <c r="C84" s="86"/>
      <c r="D84" s="87"/>
      <c r="E84" s="87"/>
      <c r="F84" s="88"/>
      <c r="G84" s="86"/>
      <c r="I84" s="103" t="s">
        <v>21</v>
      </c>
      <c r="J84" s="92">
        <f>COUNTIFS(E38:E162,"Xcel Gold",G38:G162,"CS")</f>
        <v>0</v>
      </c>
      <c r="K84" s="94">
        <f>COUNTIFS(E38:E162,"Xcel Gold",G38:G162,"CM")</f>
        <v>0</v>
      </c>
      <c r="L84" s="92">
        <f>COUNTIFS(E38:E162,"Xcel Gold",G38:G162,"CL")</f>
        <v>0</v>
      </c>
      <c r="M84" s="92">
        <f>COUNTIFS(E38:E162,"Xcel Gold",G38:G162,"AXS")</f>
        <v>0</v>
      </c>
      <c r="N84" s="92">
        <f>COUNTIFS(E38:E162,"Xcel Gold",G38:G162,"AS")</f>
        <v>0</v>
      </c>
      <c r="O84" s="97">
        <f>COUNTIFS(E38:E162,"Xcel Gold",G38:G162,"AM")</f>
        <v>0</v>
      </c>
      <c r="P84" s="97">
        <f>COUNTIFS(E38:E162,"Xcel Gold",G38:G162,"AL")</f>
        <v>0</v>
      </c>
      <c r="Q84" s="97">
        <f>COUNTIFS(E38:E162,"Xcel Gold",G38:G162,"AXL")</f>
        <v>0</v>
      </c>
      <c r="R84" s="102">
        <f t="shared" si="1"/>
        <v>0</v>
      </c>
      <c r="T84" s="1"/>
      <c r="U84" s="1"/>
    </row>
    <row r="85" spans="1:21" ht="12.75" customHeight="1" x14ac:dyDescent="0.25">
      <c r="A85" s="22">
        <v>48</v>
      </c>
      <c r="B85" s="86"/>
      <c r="C85" s="86"/>
      <c r="D85" s="87"/>
      <c r="E85" s="86"/>
      <c r="F85" s="88"/>
      <c r="G85" s="86"/>
      <c r="I85" s="103" t="s">
        <v>25</v>
      </c>
      <c r="J85" s="92">
        <f>COUNTIFS(E38:E162,"Xcel Platinum",G38:G162,"CS")</f>
        <v>0</v>
      </c>
      <c r="K85" s="94">
        <f>COUNTIFS(E38:E162,"Xcel Platinum",G38:G162,"CM")</f>
        <v>0</v>
      </c>
      <c r="L85" s="92">
        <f>COUNTIFS(E38:E162,"Xcel Platinum",G38:G162,"CL")</f>
        <v>0</v>
      </c>
      <c r="M85" s="92">
        <f>COUNTIFS(E38:E162,"Xcel Platinum",G38:G162,"AXS")</f>
        <v>0</v>
      </c>
      <c r="N85" s="92">
        <f>COUNTIFS(E38:E162,"Xcel Platinum",G38:G162,"AS")</f>
        <v>0</v>
      </c>
      <c r="O85" s="97">
        <f>COUNTIFS(E38:E162,"Xcel Platinum",G38:G162,"AM")</f>
        <v>0</v>
      </c>
      <c r="P85" s="97">
        <f>COUNTIFS(E38:E162,"Xcel Platinum",G38:G162,"AL")</f>
        <v>0</v>
      </c>
      <c r="Q85" s="97">
        <f>COUNTIFS(E38:E162,"Xcel Platinum",G38:G162,"AXL")</f>
        <v>0</v>
      </c>
      <c r="R85" s="102">
        <f t="shared" si="1"/>
        <v>0</v>
      </c>
    </row>
    <row r="86" spans="1:21" ht="12.75" customHeight="1" x14ac:dyDescent="0.25">
      <c r="A86" s="22">
        <v>49</v>
      </c>
      <c r="B86" s="78"/>
      <c r="C86" s="78"/>
      <c r="D86" s="29"/>
      <c r="E86" s="78"/>
      <c r="F86" s="78"/>
      <c r="G86" s="78"/>
      <c r="I86" s="104" t="s">
        <v>83</v>
      </c>
      <c r="J86" s="93">
        <f>SUM(J78:J85)</f>
        <v>0</v>
      </c>
      <c r="K86" s="95">
        <f>SUM(K78:K85)</f>
        <v>0</v>
      </c>
      <c r="L86" s="93">
        <f>SUM(L78:L85)</f>
        <v>0</v>
      </c>
      <c r="M86" s="93">
        <f t="shared" ref="M86:Q86" si="2">SUM(M78:M85)</f>
        <v>0</v>
      </c>
      <c r="N86" s="93">
        <f t="shared" si="2"/>
        <v>0</v>
      </c>
      <c r="O86" s="98">
        <f t="shared" si="2"/>
        <v>0</v>
      </c>
      <c r="P86" s="98">
        <f t="shared" si="2"/>
        <v>0</v>
      </c>
      <c r="Q86" s="98">
        <f t="shared" si="2"/>
        <v>0</v>
      </c>
      <c r="R86" s="102">
        <f>SUM(R78:R85)</f>
        <v>0</v>
      </c>
    </row>
    <row r="87" spans="1:21" ht="12.75" customHeight="1" x14ac:dyDescent="0.25">
      <c r="A87" s="22">
        <v>50</v>
      </c>
      <c r="B87" s="78"/>
      <c r="C87" s="78"/>
      <c r="D87" s="29"/>
      <c r="E87" s="78"/>
      <c r="F87" s="78"/>
      <c r="G87" s="78"/>
      <c r="I87" s="103"/>
      <c r="J87" s="92"/>
      <c r="K87" s="94"/>
      <c r="L87" s="92"/>
      <c r="M87" s="92"/>
      <c r="N87" s="92"/>
      <c r="O87" s="97"/>
      <c r="P87" s="97"/>
      <c r="Q87" s="97"/>
      <c r="R87" s="105"/>
    </row>
    <row r="88" spans="1:21" ht="12.75" customHeight="1" x14ac:dyDescent="0.25">
      <c r="A88" s="22">
        <v>51</v>
      </c>
      <c r="B88" s="78"/>
      <c r="C88" s="78"/>
      <c r="D88" s="29"/>
      <c r="E88" s="78"/>
      <c r="F88" s="78"/>
      <c r="G88" s="78"/>
      <c r="I88" s="103"/>
      <c r="J88" s="92"/>
      <c r="K88" s="94"/>
      <c r="L88" s="92"/>
      <c r="M88" s="92"/>
      <c r="N88" s="92"/>
      <c r="O88" s="97"/>
      <c r="P88" s="97"/>
      <c r="Q88" s="97"/>
      <c r="R88" s="105"/>
    </row>
    <row r="89" spans="1:21" ht="12.75" customHeight="1" x14ac:dyDescent="0.25">
      <c r="A89" s="22">
        <v>52</v>
      </c>
      <c r="B89" s="78"/>
      <c r="C89" s="78"/>
      <c r="D89" s="29"/>
      <c r="E89" s="78"/>
      <c r="F89" s="78"/>
      <c r="G89" s="78"/>
      <c r="I89" s="103"/>
      <c r="J89" s="133" t="s">
        <v>73</v>
      </c>
      <c r="K89" s="134" t="s">
        <v>74</v>
      </c>
      <c r="L89" s="133" t="s">
        <v>75</v>
      </c>
      <c r="M89" s="133" t="s">
        <v>76</v>
      </c>
      <c r="N89" s="133" t="s">
        <v>77</v>
      </c>
      <c r="O89" s="135" t="s">
        <v>78</v>
      </c>
      <c r="P89" s="135" t="s">
        <v>79</v>
      </c>
      <c r="Q89" s="135" t="s">
        <v>80</v>
      </c>
      <c r="R89" s="105" t="s">
        <v>90</v>
      </c>
    </row>
    <row r="90" spans="1:21" ht="12.75" customHeight="1" x14ac:dyDescent="0.25">
      <c r="A90" s="22">
        <v>53</v>
      </c>
      <c r="B90" s="78"/>
      <c r="C90" s="78"/>
      <c r="D90" s="29"/>
      <c r="E90" s="78"/>
      <c r="F90" s="78"/>
      <c r="G90" s="78"/>
      <c r="I90" s="103" t="s">
        <v>20</v>
      </c>
      <c r="J90" s="92">
        <f>COUNTIFS(E38:E162,7,G38:G162,"CS")</f>
        <v>0</v>
      </c>
      <c r="K90" s="94">
        <f>COUNTIFS(E38:E162,7,G38:G162,"CM")</f>
        <v>0</v>
      </c>
      <c r="L90" s="8">
        <f>COUNTIFS(E38:E162,7,G38:G162,"CL")</f>
        <v>0</v>
      </c>
      <c r="M90" s="8">
        <f>COUNTIFS(E38:E162,7,G38:G162,"AXS")</f>
        <v>0</v>
      </c>
      <c r="N90" s="8">
        <f>COUNTIFS(E38:E162,7,G38:G162,"AS")</f>
        <v>0</v>
      </c>
      <c r="O90" s="9">
        <f>COUNTIFS(E38:E162,7,G38:G162,"AM")</f>
        <v>0</v>
      </c>
      <c r="P90" s="9">
        <f>COUNTIFS(E38:E162,7,G38:G162,"AL")</f>
        <v>0</v>
      </c>
      <c r="Q90" s="9">
        <f>COUNTIFS(E38:E162,7,G38:G162,"AXL")</f>
        <v>0</v>
      </c>
      <c r="R90" s="102">
        <f>SUM(J90:Q90)</f>
        <v>0</v>
      </c>
    </row>
    <row r="91" spans="1:21" ht="12.75" customHeight="1" x14ac:dyDescent="0.25">
      <c r="A91" s="22">
        <v>54</v>
      </c>
      <c r="B91" s="78"/>
      <c r="C91" s="78"/>
      <c r="D91" s="29"/>
      <c r="E91" s="78"/>
      <c r="F91" s="78"/>
      <c r="G91" s="78"/>
      <c r="I91" s="103" t="s">
        <v>24</v>
      </c>
      <c r="J91" s="92">
        <f>COUNTIFS(E38:E162,8,G38:G162,"CS")</f>
        <v>0</v>
      </c>
      <c r="K91" s="94">
        <f>COUNTIFS(E38:E162,8,G38:G162,"CM")</f>
        <v>0</v>
      </c>
      <c r="L91" s="8">
        <f>COUNTIFS(E38:E162,8,G38:G162,"CL")</f>
        <v>0</v>
      </c>
      <c r="M91" s="8">
        <f>COUNTIFS(E38:E162,8,G38:G162,"AXS")</f>
        <v>0</v>
      </c>
      <c r="N91" s="8">
        <f>COUNTIFS(E38:E162,8,G38:G162,"AS")</f>
        <v>0</v>
      </c>
      <c r="O91" s="9">
        <f>COUNTIFS(E38:E162,8,G38:G162,"AM")</f>
        <v>0</v>
      </c>
      <c r="P91" s="9">
        <f>COUNTIFS(E38:E162,8,G38:G162,"AL")</f>
        <v>0</v>
      </c>
      <c r="Q91" s="9">
        <f>COUNTIFS(E38:E162,8,G38:G162,"AXL")</f>
        <v>0</v>
      </c>
      <c r="R91" s="102">
        <f>SUM(J91:Q91)</f>
        <v>0</v>
      </c>
    </row>
    <row r="92" spans="1:21" ht="12.75" customHeight="1" x14ac:dyDescent="0.25">
      <c r="A92" s="22">
        <v>55</v>
      </c>
      <c r="B92" s="78"/>
      <c r="C92" s="78"/>
      <c r="D92" s="29"/>
      <c r="E92" s="78"/>
      <c r="F92" s="78"/>
      <c r="G92" s="78"/>
      <c r="I92" s="103" t="s">
        <v>8</v>
      </c>
      <c r="J92" s="92">
        <f>COUNTIFS(E38:E162,9,G38:G162,"CS")</f>
        <v>0</v>
      </c>
      <c r="K92" s="94">
        <f>COUNTIFS(E38:E162,9,G38:G162,"CM")</f>
        <v>0</v>
      </c>
      <c r="L92" s="8">
        <f>COUNTIFS(E38:E162,9,G38:G162,"CL")</f>
        <v>0</v>
      </c>
      <c r="M92" s="8">
        <f>COUNTIFS(E38:E162,9,G38:G162,"AXS")</f>
        <v>0</v>
      </c>
      <c r="N92" s="8">
        <f>COUNTIFS(E38:E162,9,G38:G162,"AS")</f>
        <v>0</v>
      </c>
      <c r="O92" s="9">
        <f>COUNTIFS(E38:E162,9,G38:G162,"AM")</f>
        <v>0</v>
      </c>
      <c r="P92" s="9">
        <f>COUNTIFS(E38:E162,9,G38:G162,"AL")</f>
        <v>0</v>
      </c>
      <c r="Q92" s="9">
        <f>COUNTIFS(E38:E162,9,G38:G162,"AXL")</f>
        <v>0</v>
      </c>
      <c r="R92" s="102">
        <f>SUM(J92:Q92)</f>
        <v>0</v>
      </c>
    </row>
    <row r="93" spans="1:21" ht="12.75" customHeight="1" x14ac:dyDescent="0.25">
      <c r="A93" s="22">
        <v>56</v>
      </c>
      <c r="B93" s="78"/>
      <c r="C93" s="78"/>
      <c r="D93" s="29"/>
      <c r="E93" s="78"/>
      <c r="F93" s="78"/>
      <c r="G93" s="78"/>
      <c r="I93" s="103" t="s">
        <v>89</v>
      </c>
      <c r="J93" s="92">
        <f>COUNTIFS(E38:E162,"10/Open",G38:G162,"CS")</f>
        <v>0</v>
      </c>
      <c r="K93" s="94">
        <f>COUNTIFS(E38:E162,"10/Open",G38:G162,"CM")</f>
        <v>0</v>
      </c>
      <c r="L93" s="8">
        <f>COUNTIFS(E38:E162,"10/Open",G38:G162,"CL")</f>
        <v>0</v>
      </c>
      <c r="M93" s="8">
        <f>COUNTIFS(E38:E162,"10/Open",G38:G162,"AXS")</f>
        <v>0</v>
      </c>
      <c r="N93" s="8">
        <f>COUNTIFS(E38:E162,"10/Open",G38:G162,"AS")</f>
        <v>0</v>
      </c>
      <c r="O93" s="9">
        <f>COUNTIFS(E38:E162,"10/Open",G38:G162,"AM")</f>
        <v>0</v>
      </c>
      <c r="P93" s="9">
        <f>COUNTIFS(E38:E162,"10/Open",G38:G162,"AL")</f>
        <v>0</v>
      </c>
      <c r="Q93" s="9">
        <f>COUNTIFS(E38:E162,"10/Open",G38:G162,"AXL")</f>
        <v>0</v>
      </c>
      <c r="R93" s="102">
        <f>SUM(J93:Q93)</f>
        <v>0</v>
      </c>
    </row>
    <row r="94" spans="1:21" ht="12.75" customHeight="1" x14ac:dyDescent="0.25">
      <c r="A94" s="22">
        <v>57</v>
      </c>
      <c r="B94" s="78"/>
      <c r="C94" s="78"/>
      <c r="D94" s="29"/>
      <c r="E94" s="78"/>
      <c r="F94" s="78"/>
      <c r="G94" s="78"/>
      <c r="I94" s="104" t="s">
        <v>84</v>
      </c>
      <c r="J94" s="93">
        <f t="shared" ref="J94:Q94" si="3">SUM(J90:J93)</f>
        <v>0</v>
      </c>
      <c r="K94" s="95">
        <f t="shared" si="3"/>
        <v>0</v>
      </c>
      <c r="L94" s="93">
        <f t="shared" si="3"/>
        <v>0</v>
      </c>
      <c r="M94" s="93">
        <f t="shared" si="3"/>
        <v>0</v>
      </c>
      <c r="N94" s="93">
        <f t="shared" si="3"/>
        <v>0</v>
      </c>
      <c r="O94" s="98">
        <f t="shared" si="3"/>
        <v>0</v>
      </c>
      <c r="P94" s="98">
        <f t="shared" si="3"/>
        <v>0</v>
      </c>
      <c r="Q94" s="98">
        <f t="shared" si="3"/>
        <v>0</v>
      </c>
      <c r="R94" s="102">
        <f>SUM(J94:Q94)</f>
        <v>0</v>
      </c>
    </row>
    <row r="95" spans="1:21" ht="12.75" customHeight="1" thickBot="1" x14ac:dyDescent="0.25">
      <c r="A95" s="22">
        <v>58</v>
      </c>
      <c r="B95" s="78"/>
      <c r="C95" s="78"/>
      <c r="D95" s="29"/>
      <c r="E95" s="78"/>
      <c r="F95" s="78"/>
      <c r="G95" s="78"/>
      <c r="I95" s="101"/>
      <c r="J95" s="8"/>
      <c r="K95" s="96"/>
      <c r="L95" s="8"/>
      <c r="M95" s="8"/>
      <c r="N95" s="8"/>
      <c r="O95" s="9"/>
      <c r="P95" s="9"/>
      <c r="Q95" s="9"/>
      <c r="R95" s="106"/>
    </row>
    <row r="96" spans="1:21" ht="12.75" customHeight="1" x14ac:dyDescent="0.25">
      <c r="A96" s="22">
        <v>59</v>
      </c>
      <c r="B96" s="78"/>
      <c r="C96" s="78"/>
      <c r="D96" s="29"/>
      <c r="E96" s="78"/>
      <c r="F96" s="78"/>
      <c r="G96" s="78"/>
      <c r="I96" s="101"/>
      <c r="J96" s="79"/>
      <c r="K96" s="79"/>
      <c r="L96" s="79"/>
      <c r="M96" s="79"/>
      <c r="N96" s="79"/>
      <c r="O96" s="79"/>
      <c r="P96" s="79"/>
      <c r="Q96" s="79"/>
      <c r="R96" s="109" t="s">
        <v>91</v>
      </c>
    </row>
    <row r="97" spans="1:18" s="1" customFormat="1" ht="15.75" thickBot="1" x14ac:dyDescent="0.3">
      <c r="A97" s="22">
        <v>60</v>
      </c>
      <c r="B97" s="78"/>
      <c r="C97" s="78"/>
      <c r="D97" s="29"/>
      <c r="E97" s="78"/>
      <c r="F97" s="78"/>
      <c r="G97" s="78"/>
      <c r="I97" s="107"/>
      <c r="J97" s="108"/>
      <c r="K97" s="108"/>
      <c r="L97" s="108"/>
      <c r="M97" s="108"/>
      <c r="N97" s="108"/>
      <c r="O97" s="108"/>
      <c r="P97" s="108"/>
      <c r="Q97" s="108"/>
      <c r="R97" s="110">
        <f>SUM(R86,R94)</f>
        <v>0</v>
      </c>
    </row>
    <row r="98" spans="1:18" s="1" customFormat="1" x14ac:dyDescent="0.2">
      <c r="A98" s="22">
        <v>61</v>
      </c>
      <c r="B98" s="78"/>
      <c r="C98" s="78"/>
      <c r="D98" s="29"/>
      <c r="E98" s="78"/>
      <c r="F98" s="78"/>
      <c r="G98" s="78"/>
    </row>
    <row r="99" spans="1:18" s="1" customFormat="1" x14ac:dyDescent="0.2">
      <c r="A99" s="22">
        <v>62</v>
      </c>
      <c r="B99" s="78"/>
      <c r="C99" s="78"/>
      <c r="D99" s="29"/>
      <c r="E99" s="78"/>
      <c r="F99" s="78"/>
      <c r="G99" s="78"/>
    </row>
    <row r="100" spans="1:18" s="1" customFormat="1" x14ac:dyDescent="0.2">
      <c r="A100" s="22">
        <v>63</v>
      </c>
      <c r="B100" s="78"/>
      <c r="C100" s="78"/>
      <c r="D100" s="29"/>
      <c r="E100" s="78"/>
      <c r="F100" s="78"/>
      <c r="G100" s="78"/>
    </row>
    <row r="101" spans="1:18" s="1" customFormat="1" ht="15" x14ac:dyDescent="0.25">
      <c r="A101" s="22">
        <v>64</v>
      </c>
      <c r="B101" s="78"/>
      <c r="C101" s="78"/>
      <c r="D101" s="29"/>
      <c r="E101" s="78"/>
      <c r="F101" s="78"/>
      <c r="G101" s="78"/>
      <c r="J101" s="79"/>
      <c r="K101" s="79"/>
      <c r="L101" s="79"/>
      <c r="M101" s="79"/>
      <c r="N101" s="79"/>
      <c r="O101" s="79"/>
      <c r="P101" s="79"/>
      <c r="Q101" s="79"/>
    </row>
    <row r="102" spans="1:18" s="1" customFormat="1" ht="15" x14ac:dyDescent="0.25">
      <c r="A102" s="22">
        <v>65</v>
      </c>
      <c r="B102" s="78"/>
      <c r="C102" s="78"/>
      <c r="D102" s="29"/>
      <c r="E102" s="78"/>
      <c r="F102" s="78"/>
      <c r="G102" s="78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1:18" s="1" customFormat="1" ht="15" x14ac:dyDescent="0.25">
      <c r="A103" s="22">
        <v>66</v>
      </c>
      <c r="B103" s="78"/>
      <c r="C103" s="78"/>
      <c r="D103" s="29"/>
      <c r="E103" s="78"/>
      <c r="F103" s="78"/>
      <c r="G103" s="78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1:18" s="1" customFormat="1" ht="15" x14ac:dyDescent="0.25">
      <c r="A104" s="22">
        <v>67</v>
      </c>
      <c r="B104" s="78"/>
      <c r="C104" s="78"/>
      <c r="D104" s="29"/>
      <c r="E104" s="78"/>
      <c r="F104" s="78"/>
      <c r="G104" s="78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1:18" s="1" customFormat="1" x14ac:dyDescent="0.2">
      <c r="A105" s="22">
        <v>68</v>
      </c>
      <c r="B105" s="78"/>
      <c r="C105" s="78"/>
      <c r="D105" s="29"/>
      <c r="E105" s="78"/>
      <c r="F105" s="78"/>
      <c r="G105" s="78"/>
    </row>
    <row r="106" spans="1:18" s="1" customFormat="1" x14ac:dyDescent="0.2">
      <c r="A106" s="22">
        <v>69</v>
      </c>
      <c r="B106" s="78"/>
      <c r="C106" s="78"/>
      <c r="D106" s="29"/>
      <c r="E106" s="78"/>
      <c r="F106" s="78"/>
      <c r="G106" s="78"/>
    </row>
    <row r="107" spans="1:18" s="1" customFormat="1" x14ac:dyDescent="0.2">
      <c r="A107" s="22">
        <v>70</v>
      </c>
      <c r="B107" s="78"/>
      <c r="C107" s="78"/>
      <c r="D107" s="29"/>
      <c r="E107" s="78"/>
      <c r="F107" s="78"/>
      <c r="G107" s="78"/>
    </row>
    <row r="108" spans="1:18" s="1" customFormat="1" x14ac:dyDescent="0.2">
      <c r="A108" s="22">
        <v>71</v>
      </c>
      <c r="B108" s="78"/>
      <c r="C108" s="78"/>
      <c r="D108" s="29"/>
      <c r="E108" s="78"/>
      <c r="F108" s="78"/>
      <c r="G108" s="78"/>
    </row>
    <row r="109" spans="1:18" s="1" customFormat="1" x14ac:dyDescent="0.2">
      <c r="A109" s="22">
        <v>72</v>
      </c>
      <c r="B109" s="78"/>
      <c r="C109" s="78"/>
      <c r="D109" s="29"/>
      <c r="E109" s="78"/>
      <c r="F109" s="78"/>
      <c r="G109" s="78"/>
    </row>
    <row r="110" spans="1:18" s="1" customFormat="1" x14ac:dyDescent="0.2">
      <c r="A110" s="22">
        <v>73</v>
      </c>
      <c r="B110" s="78"/>
      <c r="C110" s="78"/>
      <c r="D110" s="29"/>
      <c r="E110" s="78"/>
      <c r="F110" s="78"/>
      <c r="G110" s="78"/>
    </row>
    <row r="111" spans="1:18" s="1" customFormat="1" x14ac:dyDescent="0.2">
      <c r="A111" s="22">
        <v>74</v>
      </c>
      <c r="B111" s="78"/>
      <c r="C111" s="78"/>
      <c r="D111" s="29"/>
      <c r="E111" s="78"/>
      <c r="F111" s="78"/>
      <c r="G111" s="78"/>
    </row>
    <row r="112" spans="1:18" s="1" customFormat="1" x14ac:dyDescent="0.2">
      <c r="A112" s="22">
        <v>75</v>
      </c>
      <c r="B112" s="78"/>
      <c r="C112" s="78"/>
      <c r="D112" s="29"/>
      <c r="E112" s="78"/>
      <c r="F112" s="78"/>
      <c r="G112" s="78"/>
    </row>
    <row r="113" spans="1:7" s="1" customFormat="1" x14ac:dyDescent="0.2">
      <c r="A113" s="22">
        <v>76</v>
      </c>
      <c r="B113" s="78"/>
      <c r="C113" s="78"/>
      <c r="D113" s="29"/>
      <c r="E113" s="78"/>
      <c r="F113" s="78"/>
      <c r="G113" s="78"/>
    </row>
    <row r="114" spans="1:7" s="1" customFormat="1" x14ac:dyDescent="0.2">
      <c r="A114" s="22">
        <v>77</v>
      </c>
      <c r="B114" s="78"/>
      <c r="C114" s="78"/>
      <c r="D114" s="29"/>
      <c r="E114" s="78"/>
      <c r="F114" s="78"/>
      <c r="G114" s="78"/>
    </row>
    <row r="115" spans="1:7" s="1" customFormat="1" x14ac:dyDescent="0.2">
      <c r="A115" s="22">
        <v>78</v>
      </c>
      <c r="B115" s="78"/>
      <c r="C115" s="78"/>
      <c r="D115" s="29"/>
      <c r="E115" s="78"/>
      <c r="F115" s="78"/>
      <c r="G115" s="78"/>
    </row>
    <row r="116" spans="1:7" s="1" customFormat="1" x14ac:dyDescent="0.2">
      <c r="A116" s="22">
        <v>79</v>
      </c>
      <c r="B116" s="78"/>
      <c r="C116" s="78"/>
      <c r="D116" s="29"/>
      <c r="E116" s="78"/>
      <c r="F116" s="78"/>
      <c r="G116" s="78"/>
    </row>
    <row r="117" spans="1:7" s="1" customFormat="1" x14ac:dyDescent="0.2">
      <c r="A117" s="22">
        <v>80</v>
      </c>
      <c r="B117" s="78"/>
      <c r="C117" s="78"/>
      <c r="D117" s="29"/>
      <c r="E117" s="78"/>
      <c r="F117" s="78"/>
      <c r="G117" s="78"/>
    </row>
    <row r="118" spans="1:7" s="1" customFormat="1" x14ac:dyDescent="0.2">
      <c r="A118" s="22">
        <v>81</v>
      </c>
      <c r="B118" s="78"/>
      <c r="C118" s="78"/>
      <c r="D118" s="29"/>
      <c r="E118" s="78"/>
      <c r="F118" s="78"/>
      <c r="G118" s="78"/>
    </row>
    <row r="119" spans="1:7" s="1" customFormat="1" x14ac:dyDescent="0.2">
      <c r="A119" s="22">
        <v>82</v>
      </c>
      <c r="B119" s="78"/>
      <c r="C119" s="78"/>
      <c r="D119" s="29"/>
      <c r="E119" s="78"/>
      <c r="F119" s="78"/>
      <c r="G119" s="78"/>
    </row>
    <row r="120" spans="1:7" s="1" customFormat="1" x14ac:dyDescent="0.2">
      <c r="A120" s="22">
        <v>83</v>
      </c>
      <c r="B120" s="78"/>
      <c r="C120" s="78"/>
      <c r="D120" s="29"/>
      <c r="E120" s="78"/>
      <c r="F120" s="78"/>
      <c r="G120" s="78"/>
    </row>
    <row r="121" spans="1:7" s="1" customFormat="1" x14ac:dyDescent="0.2">
      <c r="A121" s="22">
        <v>84</v>
      </c>
      <c r="B121" s="78"/>
      <c r="C121" s="78"/>
      <c r="D121" s="29"/>
      <c r="E121" s="78"/>
      <c r="F121" s="78"/>
      <c r="G121" s="78"/>
    </row>
    <row r="122" spans="1:7" s="1" customFormat="1" x14ac:dyDescent="0.2">
      <c r="A122" s="22">
        <v>85</v>
      </c>
      <c r="B122" s="78"/>
      <c r="C122" s="78"/>
      <c r="D122" s="29"/>
      <c r="E122" s="78"/>
      <c r="F122" s="78"/>
      <c r="G122" s="78"/>
    </row>
    <row r="123" spans="1:7" s="1" customFormat="1" x14ac:dyDescent="0.2">
      <c r="A123" s="22">
        <v>86</v>
      </c>
      <c r="B123" s="78"/>
      <c r="C123" s="78"/>
      <c r="D123" s="29"/>
      <c r="E123" s="78"/>
      <c r="F123" s="78"/>
      <c r="G123" s="78"/>
    </row>
    <row r="124" spans="1:7" s="1" customFormat="1" x14ac:dyDescent="0.2">
      <c r="A124" s="22">
        <v>87</v>
      </c>
      <c r="B124" s="78"/>
      <c r="C124" s="78"/>
      <c r="D124" s="29"/>
      <c r="E124" s="78"/>
      <c r="F124" s="78"/>
      <c r="G124" s="78"/>
    </row>
    <row r="125" spans="1:7" s="1" customFormat="1" x14ac:dyDescent="0.2">
      <c r="A125" s="22">
        <v>88</v>
      </c>
      <c r="B125" s="78"/>
      <c r="C125" s="78"/>
      <c r="D125" s="29"/>
      <c r="E125" s="78"/>
      <c r="F125" s="78"/>
      <c r="G125" s="78"/>
    </row>
    <row r="126" spans="1:7" s="1" customFormat="1" x14ac:dyDescent="0.2">
      <c r="A126" s="22">
        <v>89</v>
      </c>
      <c r="B126" s="78"/>
      <c r="C126" s="78"/>
      <c r="D126" s="29"/>
      <c r="E126" s="78"/>
      <c r="F126" s="78"/>
      <c r="G126" s="78"/>
    </row>
    <row r="127" spans="1:7" s="1" customFormat="1" x14ac:dyDescent="0.2">
      <c r="A127" s="22">
        <v>90</v>
      </c>
      <c r="B127" s="78"/>
      <c r="C127" s="78"/>
      <c r="D127" s="29"/>
      <c r="E127" s="78"/>
      <c r="F127" s="78"/>
      <c r="G127" s="78"/>
    </row>
    <row r="128" spans="1:7" s="1" customFormat="1" x14ac:dyDescent="0.2">
      <c r="A128" s="22">
        <v>91</v>
      </c>
      <c r="B128" s="78"/>
      <c r="C128" s="78"/>
      <c r="D128" s="29"/>
      <c r="E128" s="78"/>
      <c r="F128" s="78"/>
      <c r="G128" s="78"/>
    </row>
    <row r="129" spans="1:7" s="1" customFormat="1" x14ac:dyDescent="0.2">
      <c r="A129" s="22">
        <v>92</v>
      </c>
      <c r="B129" s="78"/>
      <c r="C129" s="78"/>
      <c r="D129" s="29"/>
      <c r="E129" s="78"/>
      <c r="F129" s="78"/>
      <c r="G129" s="78"/>
    </row>
    <row r="130" spans="1:7" s="1" customFormat="1" x14ac:dyDescent="0.2">
      <c r="A130" s="22">
        <v>93</v>
      </c>
      <c r="B130" s="78"/>
      <c r="C130" s="78"/>
      <c r="D130" s="29"/>
      <c r="E130" s="78"/>
      <c r="F130" s="78"/>
      <c r="G130" s="78"/>
    </row>
    <row r="131" spans="1:7" s="1" customFormat="1" x14ac:dyDescent="0.2">
      <c r="A131" s="22">
        <v>94</v>
      </c>
      <c r="B131" s="78"/>
      <c r="C131" s="78"/>
      <c r="D131" s="29"/>
      <c r="E131" s="78"/>
      <c r="F131" s="78"/>
      <c r="G131" s="78"/>
    </row>
    <row r="132" spans="1:7" s="1" customFormat="1" x14ac:dyDescent="0.2">
      <c r="A132" s="22">
        <v>95</v>
      </c>
      <c r="B132" s="78"/>
      <c r="C132" s="78"/>
      <c r="D132" s="29"/>
      <c r="E132" s="78"/>
      <c r="F132" s="78"/>
      <c r="G132" s="78"/>
    </row>
    <row r="133" spans="1:7" s="1" customFormat="1" x14ac:dyDescent="0.2">
      <c r="A133" s="22">
        <v>96</v>
      </c>
      <c r="B133" s="78"/>
      <c r="C133" s="78"/>
      <c r="D133" s="29"/>
      <c r="E133" s="78"/>
      <c r="F133" s="78"/>
      <c r="G133" s="78"/>
    </row>
    <row r="134" spans="1:7" s="1" customFormat="1" x14ac:dyDescent="0.2">
      <c r="A134" s="22">
        <v>97</v>
      </c>
      <c r="B134" s="78"/>
      <c r="C134" s="78"/>
      <c r="D134" s="29"/>
      <c r="E134" s="78"/>
      <c r="F134" s="78"/>
      <c r="G134" s="78"/>
    </row>
    <row r="135" spans="1:7" s="1" customFormat="1" x14ac:dyDescent="0.2">
      <c r="A135" s="22">
        <v>98</v>
      </c>
      <c r="B135" s="78"/>
      <c r="C135" s="78"/>
      <c r="D135" s="29"/>
      <c r="E135" s="78"/>
      <c r="F135" s="78"/>
      <c r="G135" s="78"/>
    </row>
    <row r="136" spans="1:7" s="1" customFormat="1" x14ac:dyDescent="0.2">
      <c r="A136" s="22">
        <v>99</v>
      </c>
      <c r="B136" s="78"/>
      <c r="C136" s="78"/>
      <c r="D136" s="29"/>
      <c r="E136" s="78"/>
      <c r="F136" s="78"/>
      <c r="G136" s="78"/>
    </row>
    <row r="137" spans="1:7" s="1" customFormat="1" x14ac:dyDescent="0.2">
      <c r="A137" s="22">
        <v>100</v>
      </c>
      <c r="B137" s="78"/>
      <c r="C137" s="78"/>
      <c r="D137" s="29"/>
      <c r="E137" s="78"/>
      <c r="F137" s="78"/>
      <c r="G137" s="78"/>
    </row>
    <row r="138" spans="1:7" s="1" customFormat="1" x14ac:dyDescent="0.2">
      <c r="A138" s="22">
        <v>101</v>
      </c>
      <c r="B138" s="78"/>
      <c r="C138" s="78"/>
      <c r="D138" s="29"/>
      <c r="E138" s="78"/>
      <c r="F138" s="78"/>
      <c r="G138" s="78"/>
    </row>
    <row r="139" spans="1:7" s="1" customFormat="1" x14ac:dyDescent="0.2">
      <c r="A139" s="22">
        <v>102</v>
      </c>
      <c r="B139" s="78"/>
      <c r="C139" s="78"/>
      <c r="D139" s="29"/>
      <c r="E139" s="78"/>
      <c r="F139" s="78"/>
      <c r="G139" s="78"/>
    </row>
    <row r="140" spans="1:7" s="1" customFormat="1" x14ac:dyDescent="0.2">
      <c r="A140" s="22">
        <v>103</v>
      </c>
      <c r="B140" s="78"/>
      <c r="C140" s="78"/>
      <c r="D140" s="29"/>
      <c r="E140" s="78"/>
      <c r="F140" s="78"/>
      <c r="G140" s="78"/>
    </row>
    <row r="141" spans="1:7" s="1" customFormat="1" x14ac:dyDescent="0.2">
      <c r="A141" s="22">
        <v>104</v>
      </c>
      <c r="B141" s="78"/>
      <c r="C141" s="78"/>
      <c r="D141" s="29"/>
      <c r="E141" s="78"/>
      <c r="F141" s="78"/>
      <c r="G141" s="78"/>
    </row>
    <row r="142" spans="1:7" s="1" customFormat="1" x14ac:dyDescent="0.2">
      <c r="A142" s="22">
        <v>105</v>
      </c>
      <c r="B142" s="78"/>
      <c r="C142" s="78"/>
      <c r="D142" s="29"/>
      <c r="E142" s="78"/>
      <c r="F142" s="78"/>
      <c r="G142" s="78"/>
    </row>
    <row r="143" spans="1:7" s="1" customFormat="1" x14ac:dyDescent="0.2">
      <c r="A143" s="22">
        <v>106</v>
      </c>
      <c r="B143" s="78"/>
      <c r="C143" s="78"/>
      <c r="D143" s="29"/>
      <c r="E143" s="78"/>
      <c r="F143" s="78"/>
      <c r="G143" s="78"/>
    </row>
    <row r="144" spans="1:7" s="1" customFormat="1" x14ac:dyDescent="0.2">
      <c r="A144" s="22">
        <v>107</v>
      </c>
      <c r="B144" s="78"/>
      <c r="C144" s="78"/>
      <c r="D144" s="29"/>
      <c r="E144" s="78"/>
      <c r="F144" s="78"/>
      <c r="G144" s="78"/>
    </row>
    <row r="145" spans="1:7" s="1" customFormat="1" x14ac:dyDescent="0.2">
      <c r="A145" s="22">
        <v>108</v>
      </c>
      <c r="B145" s="78"/>
      <c r="C145" s="78"/>
      <c r="D145" s="29"/>
      <c r="E145" s="78"/>
      <c r="F145" s="78"/>
      <c r="G145" s="78"/>
    </row>
    <row r="146" spans="1:7" s="1" customFormat="1" x14ac:dyDescent="0.2">
      <c r="A146" s="22">
        <v>109</v>
      </c>
      <c r="B146" s="78"/>
      <c r="C146" s="78"/>
      <c r="D146" s="29"/>
      <c r="E146" s="78"/>
      <c r="F146" s="78"/>
      <c r="G146" s="78"/>
    </row>
    <row r="147" spans="1:7" s="1" customFormat="1" x14ac:dyDescent="0.2">
      <c r="A147" s="22">
        <v>110</v>
      </c>
      <c r="B147" s="78"/>
      <c r="C147" s="78"/>
      <c r="D147" s="29"/>
      <c r="E147" s="78"/>
      <c r="F147" s="78"/>
      <c r="G147" s="78"/>
    </row>
    <row r="148" spans="1:7" s="1" customFormat="1" x14ac:dyDescent="0.2">
      <c r="A148" s="22">
        <v>111</v>
      </c>
      <c r="B148" s="78"/>
      <c r="C148" s="78"/>
      <c r="D148" s="29"/>
      <c r="E148" s="78"/>
      <c r="F148" s="78"/>
      <c r="G148" s="78"/>
    </row>
    <row r="149" spans="1:7" s="1" customFormat="1" x14ac:dyDescent="0.2">
      <c r="A149" s="22">
        <v>112</v>
      </c>
      <c r="B149" s="78"/>
      <c r="C149" s="78"/>
      <c r="D149" s="29"/>
      <c r="E149" s="78"/>
      <c r="F149" s="78"/>
      <c r="G149" s="78"/>
    </row>
    <row r="150" spans="1:7" s="1" customFormat="1" x14ac:dyDescent="0.2">
      <c r="A150" s="22">
        <v>113</v>
      </c>
      <c r="B150" s="78"/>
      <c r="C150" s="78"/>
      <c r="D150" s="29"/>
      <c r="E150" s="78"/>
      <c r="F150" s="78"/>
      <c r="G150" s="78"/>
    </row>
    <row r="151" spans="1:7" s="1" customFormat="1" x14ac:dyDescent="0.2">
      <c r="A151" s="22">
        <v>114</v>
      </c>
      <c r="B151" s="78"/>
      <c r="C151" s="78"/>
      <c r="D151" s="29"/>
      <c r="E151" s="78"/>
      <c r="F151" s="78"/>
      <c r="G151" s="78"/>
    </row>
    <row r="152" spans="1:7" s="1" customFormat="1" x14ac:dyDescent="0.2">
      <c r="A152" s="22">
        <v>115</v>
      </c>
      <c r="B152" s="78"/>
      <c r="C152" s="78"/>
      <c r="D152" s="29"/>
      <c r="E152" s="78"/>
      <c r="F152" s="78"/>
      <c r="G152" s="78"/>
    </row>
    <row r="153" spans="1:7" s="1" customFormat="1" x14ac:dyDescent="0.2">
      <c r="A153" s="22">
        <v>116</v>
      </c>
      <c r="B153" s="78"/>
      <c r="C153" s="78"/>
      <c r="D153" s="29"/>
      <c r="E153" s="78"/>
      <c r="F153" s="78"/>
      <c r="G153" s="78"/>
    </row>
    <row r="154" spans="1:7" s="1" customFormat="1" x14ac:dyDescent="0.2">
      <c r="A154" s="22">
        <v>117</v>
      </c>
      <c r="B154" s="78"/>
      <c r="C154" s="78"/>
      <c r="D154" s="29"/>
      <c r="E154" s="78"/>
      <c r="F154" s="78"/>
      <c r="G154" s="78"/>
    </row>
    <row r="155" spans="1:7" s="1" customFormat="1" x14ac:dyDescent="0.2">
      <c r="A155" s="22">
        <v>118</v>
      </c>
      <c r="B155" s="78"/>
      <c r="C155" s="78"/>
      <c r="D155" s="29"/>
      <c r="E155" s="78"/>
      <c r="F155" s="78"/>
      <c r="G155" s="78"/>
    </row>
    <row r="156" spans="1:7" s="1" customFormat="1" x14ac:dyDescent="0.2">
      <c r="A156" s="22">
        <v>119</v>
      </c>
      <c r="B156" s="78"/>
      <c r="C156" s="78"/>
      <c r="D156" s="29"/>
      <c r="E156" s="78"/>
      <c r="F156" s="78"/>
      <c r="G156" s="78"/>
    </row>
    <row r="157" spans="1:7" s="1" customFormat="1" x14ac:dyDescent="0.2">
      <c r="A157" s="22">
        <v>120</v>
      </c>
      <c r="B157" s="78"/>
      <c r="C157" s="78"/>
      <c r="D157" s="29"/>
      <c r="E157" s="78"/>
      <c r="F157" s="78"/>
      <c r="G157" s="78"/>
    </row>
    <row r="158" spans="1:7" s="1" customFormat="1" x14ac:dyDescent="0.2">
      <c r="A158" s="22">
        <v>121</v>
      </c>
      <c r="B158" s="78"/>
      <c r="C158" s="78"/>
      <c r="D158" s="29"/>
      <c r="E158" s="78"/>
      <c r="F158" s="78"/>
      <c r="G158" s="78"/>
    </row>
    <row r="159" spans="1:7" s="1" customFormat="1" x14ac:dyDescent="0.2">
      <c r="A159" s="22">
        <v>122</v>
      </c>
      <c r="B159" s="78"/>
      <c r="C159" s="78"/>
      <c r="D159" s="29"/>
      <c r="E159" s="78"/>
      <c r="F159" s="78"/>
      <c r="G159" s="78"/>
    </row>
    <row r="160" spans="1:7" s="1" customFormat="1" x14ac:dyDescent="0.2">
      <c r="A160" s="22">
        <v>123</v>
      </c>
      <c r="B160" s="78"/>
      <c r="C160" s="78"/>
      <c r="D160" s="29"/>
      <c r="E160" s="78"/>
      <c r="F160" s="78"/>
      <c r="G160" s="78"/>
    </row>
    <row r="161" spans="1:7" s="1" customFormat="1" x14ac:dyDescent="0.2">
      <c r="A161" s="22">
        <v>124</v>
      </c>
      <c r="B161" s="78"/>
      <c r="C161" s="78"/>
      <c r="D161" s="29"/>
      <c r="E161" s="78"/>
      <c r="F161" s="78"/>
      <c r="G161" s="78"/>
    </row>
    <row r="162" spans="1:7" s="1" customFormat="1" x14ac:dyDescent="0.2">
      <c r="A162" s="22">
        <v>125</v>
      </c>
      <c r="B162" s="78"/>
      <c r="C162" s="78"/>
      <c r="D162" s="29"/>
      <c r="E162" s="78"/>
      <c r="F162" s="78"/>
      <c r="G162" s="78"/>
    </row>
  </sheetData>
  <sheetProtection password="99AF" sheet="1" objects="1" scenarios="1" selectLockedCells="1"/>
  <mergeCells count="59">
    <mergeCell ref="I67:Q71"/>
    <mergeCell ref="I73:M75"/>
    <mergeCell ref="I56:N57"/>
    <mergeCell ref="I66:J66"/>
    <mergeCell ref="I61:K61"/>
    <mergeCell ref="L61:Q61"/>
    <mergeCell ref="I62:K62"/>
    <mergeCell ref="L62:Q62"/>
    <mergeCell ref="I63:K63"/>
    <mergeCell ref="L63:Q63"/>
    <mergeCell ref="I38:R39"/>
    <mergeCell ref="I41:R42"/>
    <mergeCell ref="I45:R53"/>
    <mergeCell ref="I60:K60"/>
    <mergeCell ref="L60:Q60"/>
    <mergeCell ref="R30:R31"/>
    <mergeCell ref="I32:M33"/>
    <mergeCell ref="N32:Q33"/>
    <mergeCell ref="R32:R33"/>
    <mergeCell ref="B35:F36"/>
    <mergeCell ref="I35:R36"/>
    <mergeCell ref="R27:R28"/>
    <mergeCell ref="P28:Q28"/>
    <mergeCell ref="C21:D21"/>
    <mergeCell ref="P21:Q21"/>
    <mergeCell ref="C22:D22"/>
    <mergeCell ref="P22:Q22"/>
    <mergeCell ref="C23:F23"/>
    <mergeCell ref="P23:Q23"/>
    <mergeCell ref="P24:Q24"/>
    <mergeCell ref="B25:F26"/>
    <mergeCell ref="P25:Q25"/>
    <mergeCell ref="P26:Q26"/>
    <mergeCell ref="P27:Q27"/>
    <mergeCell ref="R17:R19"/>
    <mergeCell ref="C18:D18"/>
    <mergeCell ref="P18:Q18"/>
    <mergeCell ref="C19:D19"/>
    <mergeCell ref="P19:Q19"/>
    <mergeCell ref="C20:D20"/>
    <mergeCell ref="P20:Q20"/>
    <mergeCell ref="C16:D16"/>
    <mergeCell ref="J16:L16"/>
    <mergeCell ref="M16:N16"/>
    <mergeCell ref="O16:Q16"/>
    <mergeCell ref="C17:D17"/>
    <mergeCell ref="P17:Q17"/>
    <mergeCell ref="B9:F9"/>
    <mergeCell ref="R9:R10"/>
    <mergeCell ref="B11:C11"/>
    <mergeCell ref="D13:E13"/>
    <mergeCell ref="B14:F15"/>
    <mergeCell ref="I14:Q15"/>
    <mergeCell ref="B8:F8"/>
    <mergeCell ref="A1:G1"/>
    <mergeCell ref="A3:G3"/>
    <mergeCell ref="I3:Q3"/>
    <mergeCell ref="B6:F6"/>
    <mergeCell ref="B7:F7"/>
  </mergeCells>
  <dataValidations count="7">
    <dataValidation type="list" allowBlank="1" showInputMessage="1" showErrorMessage="1" sqref="G86:G137">
      <formula1>"CS,CM,CL,AXS,AS,AM,AL,AXL"</formula1>
    </dataValidation>
    <dataValidation type="list" allowBlank="1" showInputMessage="1" showErrorMessage="1" sqref="E86:E137">
      <formula1>"3,4,5,6,7,8,9,10/Open,Xcel Bronze, Xcel Silver,Xcel Gold,Xcel Platinum"</formula1>
    </dataValidation>
    <dataValidation type="list" allowBlank="1" showInputMessage="1" showErrorMessage="1" sqref="E138:E149 E38:E85">
      <formula1>"3,4,5,6,7,8,9,10/Open,Xcel Bronze,Xcel Silver,Xcel Gold,Xcel Platinum"</formula1>
    </dataValidation>
    <dataValidation type="custom" allowBlank="1" showInputMessage="1" showErrorMessage="1" errorTitle="Duplicate USAG Entry" error="Please check your entry.  A duplicate USAG number was found." sqref="D28:D33">
      <formula1>COUNTIF($D$28:$D$33,D28)=1</formula1>
    </dataValidation>
    <dataValidation type="list" allowBlank="1" showInputMessage="1" showErrorMessage="1" errorTitle="INCORRECT SIZE ENTRY" error="Please use the scoll list for t-shirt size entry." sqref="G38:G85">
      <formula1>"CS,CM,CL,AXS,AS,AM,AL,AXL"</formula1>
    </dataValidation>
    <dataValidation type="list" allowBlank="1" showInputMessage="1" showErrorMessage="1" sqref="L5:L10 P5:P10">
      <formula1>"Yes"</formula1>
    </dataValidation>
    <dataValidation type="custom" allowBlank="1" showInputMessage="1" showErrorMessage="1" errorTitle="DUPLICATE USAG NUMBER FOUND" error="Please check your data.  A duplicate USAG number was found." sqref="D38:D85">
      <formula1>COUNTIF($D$38:$D$95,D38)=1</formula1>
    </dataValidation>
  </dataValidation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view="pageLayout" zoomScaleNormal="100" workbookViewId="0">
      <selection activeCell="A21" sqref="A21"/>
    </sheetView>
  </sheetViews>
  <sheetFormatPr defaultRowHeight="15" x14ac:dyDescent="0.25"/>
  <cols>
    <col min="1" max="1" width="28.42578125" customWidth="1"/>
    <col min="2" max="9" width="9.140625" style="112"/>
    <col min="10" max="10" width="18.85546875" style="112" customWidth="1"/>
  </cols>
  <sheetData>
    <row r="1" spans="1:11" x14ac:dyDescent="0.25">
      <c r="A1" s="121">
        <f>'Entry Form'!L60</f>
        <v>0</v>
      </c>
      <c r="B1" s="111"/>
      <c r="C1" s="111"/>
      <c r="D1" s="111"/>
      <c r="E1" s="111"/>
      <c r="F1" s="111"/>
    </row>
    <row r="2" spans="1:11" x14ac:dyDescent="0.25">
      <c r="A2" s="122">
        <f>'Entry Form'!L61</f>
        <v>0</v>
      </c>
      <c r="B2" s="111"/>
      <c r="C2" s="111"/>
      <c r="D2" s="111"/>
      <c r="E2" s="111"/>
      <c r="F2" s="111"/>
    </row>
    <row r="3" spans="1:11" x14ac:dyDescent="0.25">
      <c r="A3" s="122">
        <f>'Entry Form'!L62</f>
        <v>0</v>
      </c>
      <c r="B3" s="111"/>
      <c r="C3" s="111"/>
      <c r="D3" s="111"/>
      <c r="E3" s="111"/>
      <c r="F3" s="111"/>
    </row>
    <row r="4" spans="1:11" x14ac:dyDescent="0.25">
      <c r="A4" s="123">
        <f>'Entry Form'!L63</f>
        <v>0</v>
      </c>
      <c r="B4" s="111"/>
      <c r="C4" s="111"/>
      <c r="D4" s="111"/>
      <c r="E4" s="111"/>
      <c r="F4" s="111"/>
    </row>
    <row r="6" spans="1:11" x14ac:dyDescent="0.25">
      <c r="B6" s="113" t="str">
        <f>'Entry Form'!J77</f>
        <v>CS</v>
      </c>
      <c r="C6" s="113" t="str">
        <f>'Entry Form'!K77</f>
        <v>CM</v>
      </c>
      <c r="D6" s="113" t="str">
        <f>'Entry Form'!L77</f>
        <v>CL</v>
      </c>
      <c r="E6" s="113" t="str">
        <f>'Entry Form'!M77</f>
        <v>AXS</v>
      </c>
      <c r="F6" s="113" t="str">
        <f>'Entry Form'!N77</f>
        <v>AS</v>
      </c>
      <c r="G6" s="113" t="str">
        <f>'Entry Form'!O77</f>
        <v>AM</v>
      </c>
      <c r="H6" s="113" t="str">
        <f>'Entry Form'!P77</f>
        <v>AL</v>
      </c>
      <c r="I6" s="113" t="str">
        <f>'Entry Form'!Q77</f>
        <v>AXL</v>
      </c>
      <c r="J6" s="118" t="str">
        <f>'Entry Form'!R77</f>
        <v>Total Shirts/Level</v>
      </c>
      <c r="K6" s="126"/>
    </row>
    <row r="7" spans="1:11" x14ac:dyDescent="0.25">
      <c r="A7" s="114" t="str">
        <f>'Entry Form'!I78</f>
        <v>Level 3</v>
      </c>
      <c r="B7" s="115" t="s">
        <v>88</v>
      </c>
      <c r="C7" s="115">
        <f>'Entry Form'!K78</f>
        <v>0</v>
      </c>
      <c r="D7" s="115">
        <f>'Entry Form'!L78</f>
        <v>0</v>
      </c>
      <c r="E7" s="115">
        <f>'Entry Form'!M78</f>
        <v>0</v>
      </c>
      <c r="F7" s="115">
        <f>'Entry Form'!N78</f>
        <v>0</v>
      </c>
      <c r="G7" s="115">
        <f>'Entry Form'!O78</f>
        <v>0</v>
      </c>
      <c r="H7" s="115">
        <f>'Entry Form'!P78</f>
        <v>0</v>
      </c>
      <c r="I7" s="115">
        <f>'Entry Form'!Q78</f>
        <v>0</v>
      </c>
      <c r="J7" s="117">
        <f>'Entry Form'!R78</f>
        <v>0</v>
      </c>
    </row>
    <row r="8" spans="1:11" x14ac:dyDescent="0.25">
      <c r="A8" s="114" t="str">
        <f>'Entry Form'!I79</f>
        <v>Level 4</v>
      </c>
      <c r="B8" s="115">
        <f>'Entry Form'!J79</f>
        <v>0</v>
      </c>
      <c r="C8" s="115">
        <f>'Entry Form'!K79</f>
        <v>0</v>
      </c>
      <c r="D8" s="115">
        <f>'Entry Form'!L79</f>
        <v>0</v>
      </c>
      <c r="E8" s="115">
        <f>'Entry Form'!M79</f>
        <v>0</v>
      </c>
      <c r="F8" s="115">
        <f>'Entry Form'!N79</f>
        <v>0</v>
      </c>
      <c r="G8" s="115">
        <f>'Entry Form'!O79</f>
        <v>0</v>
      </c>
      <c r="H8" s="115">
        <f>'Entry Form'!P79</f>
        <v>0</v>
      </c>
      <c r="I8" s="115">
        <f>'Entry Form'!Q79</f>
        <v>0</v>
      </c>
      <c r="J8" s="117">
        <f>'Entry Form'!R79</f>
        <v>0</v>
      </c>
    </row>
    <row r="9" spans="1:11" x14ac:dyDescent="0.25">
      <c r="A9" s="114" t="str">
        <f>'Entry Form'!I80</f>
        <v>Level 5</v>
      </c>
      <c r="B9" s="115">
        <f>'Entry Form'!J80</f>
        <v>0</v>
      </c>
      <c r="C9" s="115">
        <f>'Entry Form'!K80</f>
        <v>0</v>
      </c>
      <c r="D9" s="115">
        <f>'Entry Form'!L80</f>
        <v>0</v>
      </c>
      <c r="E9" s="115">
        <f>'Entry Form'!M80</f>
        <v>0</v>
      </c>
      <c r="F9" s="115">
        <f>'Entry Form'!N80</f>
        <v>0</v>
      </c>
      <c r="G9" s="115">
        <f>'Entry Form'!O80</f>
        <v>0</v>
      </c>
      <c r="H9" s="115">
        <f>'Entry Form'!P80</f>
        <v>0</v>
      </c>
      <c r="I9" s="115">
        <f>'Entry Form'!Q80</f>
        <v>0</v>
      </c>
      <c r="J9" s="117">
        <f>'Entry Form'!R80</f>
        <v>0</v>
      </c>
    </row>
    <row r="10" spans="1:11" x14ac:dyDescent="0.25">
      <c r="A10" s="114" t="str">
        <f>'Entry Form'!I81</f>
        <v>Level 6</v>
      </c>
      <c r="B10" s="115">
        <f>'Entry Form'!J81</f>
        <v>0</v>
      </c>
      <c r="C10" s="115">
        <f>'Entry Form'!K81</f>
        <v>0</v>
      </c>
      <c r="D10" s="115">
        <f>'Entry Form'!L81</f>
        <v>0</v>
      </c>
      <c r="E10" s="115">
        <f>'Entry Form'!M81</f>
        <v>0</v>
      </c>
      <c r="F10" s="115">
        <f>'Entry Form'!N81</f>
        <v>0</v>
      </c>
      <c r="G10" s="115">
        <f>'Entry Form'!O81</f>
        <v>0</v>
      </c>
      <c r="H10" s="115">
        <f>'Entry Form'!P81</f>
        <v>0</v>
      </c>
      <c r="I10" s="115">
        <f>'Entry Form'!Q81</f>
        <v>0</v>
      </c>
      <c r="J10" s="117">
        <f>'Entry Form'!R81</f>
        <v>0</v>
      </c>
    </row>
    <row r="11" spans="1:11" x14ac:dyDescent="0.25">
      <c r="A11" s="114" t="str">
        <f>'Entry Form'!I82</f>
        <v>Xcel Bronze</v>
      </c>
      <c r="B11" s="115">
        <f>'Entry Form'!J82</f>
        <v>0</v>
      </c>
      <c r="C11" s="115">
        <f>'Entry Form'!K82</f>
        <v>0</v>
      </c>
      <c r="D11" s="115">
        <f>'Entry Form'!L82</f>
        <v>0</v>
      </c>
      <c r="E11" s="115">
        <f>'Entry Form'!M82</f>
        <v>0</v>
      </c>
      <c r="F11" s="115">
        <f>'Entry Form'!N82</f>
        <v>0</v>
      </c>
      <c r="G11" s="115">
        <f>'Entry Form'!O82</f>
        <v>0</v>
      </c>
      <c r="H11" s="115">
        <f>'Entry Form'!P82</f>
        <v>0</v>
      </c>
      <c r="I11" s="115">
        <f>'Entry Form'!Q82</f>
        <v>0</v>
      </c>
      <c r="J11" s="117">
        <f>'Entry Form'!R82</f>
        <v>0</v>
      </c>
    </row>
    <row r="12" spans="1:11" x14ac:dyDescent="0.25">
      <c r="A12" s="114" t="str">
        <f>'Entry Form'!I83</f>
        <v>Xcel Silver</v>
      </c>
      <c r="B12" s="115">
        <f>'Entry Form'!J83</f>
        <v>0</v>
      </c>
      <c r="C12" s="115">
        <f>'Entry Form'!K83</f>
        <v>0</v>
      </c>
      <c r="D12" s="115">
        <f>'Entry Form'!L83</f>
        <v>0</v>
      </c>
      <c r="E12" s="115">
        <f>'Entry Form'!M83</f>
        <v>0</v>
      </c>
      <c r="F12" s="115">
        <f>'Entry Form'!N83</f>
        <v>0</v>
      </c>
      <c r="G12" s="115">
        <f>'Entry Form'!O83</f>
        <v>0</v>
      </c>
      <c r="H12" s="115">
        <f>'Entry Form'!P83</f>
        <v>0</v>
      </c>
      <c r="I12" s="115">
        <f>'Entry Form'!Q83</f>
        <v>0</v>
      </c>
      <c r="J12" s="117">
        <f>'Entry Form'!R83</f>
        <v>0</v>
      </c>
    </row>
    <row r="13" spans="1:11" x14ac:dyDescent="0.25">
      <c r="A13" s="114" t="str">
        <f>'Entry Form'!I84</f>
        <v>Xcel Gold</v>
      </c>
      <c r="B13" s="115">
        <f>'Entry Form'!J84</f>
        <v>0</v>
      </c>
      <c r="C13" s="115">
        <f>'Entry Form'!K84</f>
        <v>0</v>
      </c>
      <c r="D13" s="115">
        <f>'Entry Form'!L84</f>
        <v>0</v>
      </c>
      <c r="E13" s="115">
        <f>'Entry Form'!M84</f>
        <v>0</v>
      </c>
      <c r="F13" s="115">
        <f>'Entry Form'!N84</f>
        <v>0</v>
      </c>
      <c r="G13" s="115">
        <f>'Entry Form'!O84</f>
        <v>0</v>
      </c>
      <c r="H13" s="115">
        <f>'Entry Form'!P84</f>
        <v>0</v>
      </c>
      <c r="I13" s="115">
        <f>'Entry Form'!Q84</f>
        <v>0</v>
      </c>
      <c r="J13" s="117">
        <f>'Entry Form'!R84</f>
        <v>0</v>
      </c>
    </row>
    <row r="14" spans="1:11" x14ac:dyDescent="0.25">
      <c r="A14" s="114" t="str">
        <f>'Entry Form'!I85</f>
        <v>Xcel Platinum</v>
      </c>
      <c r="B14" s="115">
        <f>'Entry Form'!J85</f>
        <v>0</v>
      </c>
      <c r="C14" s="115">
        <f>'Entry Form'!K85</f>
        <v>0</v>
      </c>
      <c r="D14" s="115">
        <f>'Entry Form'!L85</f>
        <v>0</v>
      </c>
      <c r="E14" s="115">
        <f>'Entry Form'!M85</f>
        <v>0</v>
      </c>
      <c r="F14" s="115">
        <f>'Entry Form'!N85</f>
        <v>0</v>
      </c>
      <c r="G14" s="115">
        <f>'Entry Form'!O85</f>
        <v>0</v>
      </c>
      <c r="H14" s="115">
        <f>'Entry Form'!P85</f>
        <v>0</v>
      </c>
      <c r="I14" s="115">
        <f>'Entry Form'!Q85</f>
        <v>0</v>
      </c>
      <c r="J14" s="117">
        <f>'Entry Form'!R85</f>
        <v>0</v>
      </c>
    </row>
    <row r="15" spans="1:11" x14ac:dyDescent="0.25">
      <c r="A15" s="116" t="str">
        <f>'Entry Form'!I86</f>
        <v># T-shirts /size</v>
      </c>
      <c r="B15" s="117">
        <f>'Entry Form'!J86</f>
        <v>0</v>
      </c>
      <c r="C15" s="117">
        <f>'Entry Form'!K86</f>
        <v>0</v>
      </c>
      <c r="D15" s="117">
        <f>'Entry Form'!L86</f>
        <v>0</v>
      </c>
      <c r="E15" s="117">
        <f>'Entry Form'!M86</f>
        <v>0</v>
      </c>
      <c r="F15" s="117">
        <f>'Entry Form'!N86</f>
        <v>0</v>
      </c>
      <c r="G15" s="117">
        <f>'Entry Form'!O86</f>
        <v>0</v>
      </c>
      <c r="H15" s="117">
        <f>'Entry Form'!P86</f>
        <v>0</v>
      </c>
      <c r="I15" s="117">
        <f>'Entry Form'!Q86</f>
        <v>0</v>
      </c>
      <c r="J15" s="117">
        <f>'Entry Form'!R86</f>
        <v>0</v>
      </c>
    </row>
    <row r="18" spans="1:10" x14ac:dyDescent="0.25">
      <c r="B18" s="113" t="str">
        <f>'Entry Form'!J89</f>
        <v>CS</v>
      </c>
      <c r="C18" s="113" t="str">
        <f>'Entry Form'!K89</f>
        <v>CM</v>
      </c>
      <c r="D18" s="113" t="str">
        <f>'Entry Form'!L89</f>
        <v>CL</v>
      </c>
      <c r="E18" s="113" t="str">
        <f>'Entry Form'!M89</f>
        <v>AXS</v>
      </c>
      <c r="F18" s="113" t="str">
        <f>'Entry Form'!N89</f>
        <v>AS</v>
      </c>
      <c r="G18" s="113" t="str">
        <f>'Entry Form'!O89</f>
        <v>AM</v>
      </c>
      <c r="H18" s="113" t="str">
        <f>'Entry Form'!P89</f>
        <v>AL</v>
      </c>
      <c r="I18" s="113" t="str">
        <f>'Entry Form'!Q89</f>
        <v>AXL</v>
      </c>
      <c r="J18" s="118" t="str">
        <f>'Entry Form'!R89</f>
        <v>Total Shirts/Level</v>
      </c>
    </row>
    <row r="19" spans="1:10" x14ac:dyDescent="0.25">
      <c r="A19" s="124" t="str">
        <f>'Entry Form'!I90</f>
        <v>Level 7</v>
      </c>
      <c r="B19" s="125">
        <f>'Entry Form'!J90</f>
        <v>0</v>
      </c>
      <c r="C19" s="125">
        <f>'Entry Form'!K90</f>
        <v>0</v>
      </c>
      <c r="D19" s="125">
        <f>'Entry Form'!L90</f>
        <v>0</v>
      </c>
      <c r="E19" s="125">
        <f>'Entry Form'!M90</f>
        <v>0</v>
      </c>
      <c r="F19" s="125">
        <f>'Entry Form'!N90</f>
        <v>0</v>
      </c>
      <c r="G19" s="125">
        <f>'Entry Form'!O90</f>
        <v>0</v>
      </c>
      <c r="H19" s="125">
        <f>'Entry Form'!P90</f>
        <v>0</v>
      </c>
      <c r="I19" s="125">
        <f>'Entry Form'!Q90</f>
        <v>0</v>
      </c>
      <c r="J19" s="117">
        <f>'Entry Form'!R90</f>
        <v>0</v>
      </c>
    </row>
    <row r="20" spans="1:10" x14ac:dyDescent="0.25">
      <c r="A20" s="124" t="str">
        <f>'Entry Form'!I91</f>
        <v>Level 8</v>
      </c>
      <c r="B20" s="125">
        <f>'Entry Form'!J91</f>
        <v>0</v>
      </c>
      <c r="C20" s="125">
        <f>'Entry Form'!K91</f>
        <v>0</v>
      </c>
      <c r="D20" s="125">
        <f>'Entry Form'!L91</f>
        <v>0</v>
      </c>
      <c r="E20" s="125">
        <f>'Entry Form'!M91</f>
        <v>0</v>
      </c>
      <c r="F20" s="125">
        <f>'Entry Form'!N91</f>
        <v>0</v>
      </c>
      <c r="G20" s="125">
        <f>'Entry Form'!O91</f>
        <v>0</v>
      </c>
      <c r="H20" s="125">
        <f>'Entry Form'!P91</f>
        <v>0</v>
      </c>
      <c r="I20" s="125">
        <f>'Entry Form'!Q91</f>
        <v>0</v>
      </c>
      <c r="J20" s="117">
        <f>'Entry Form'!R91</f>
        <v>0</v>
      </c>
    </row>
    <row r="21" spans="1:10" x14ac:dyDescent="0.25">
      <c r="A21" s="124" t="str">
        <f>'Entry Form'!I92</f>
        <v>Level 9</v>
      </c>
      <c r="B21" s="125">
        <f>'Entry Form'!J92</f>
        <v>0</v>
      </c>
      <c r="C21" s="125">
        <f>'Entry Form'!K92</f>
        <v>0</v>
      </c>
      <c r="D21" s="125">
        <f>'Entry Form'!L92</f>
        <v>0</v>
      </c>
      <c r="E21" s="125">
        <f>'Entry Form'!M92</f>
        <v>0</v>
      </c>
      <c r="F21" s="125">
        <f>'Entry Form'!N92</f>
        <v>0</v>
      </c>
      <c r="G21" s="125">
        <f>'Entry Form'!O92</f>
        <v>0</v>
      </c>
      <c r="H21" s="125">
        <f>'Entry Form'!P92</f>
        <v>0</v>
      </c>
      <c r="I21" s="125">
        <f>'Entry Form'!Q92</f>
        <v>0</v>
      </c>
      <c r="J21" s="117">
        <f>'Entry Form'!R92</f>
        <v>0</v>
      </c>
    </row>
    <row r="22" spans="1:10" x14ac:dyDescent="0.25">
      <c r="A22" s="124" t="str">
        <f>'Entry Form'!I93</f>
        <v>Level 10</v>
      </c>
      <c r="B22" s="125">
        <f>'Entry Form'!J93</f>
        <v>0</v>
      </c>
      <c r="C22" s="125">
        <f>'Entry Form'!K93</f>
        <v>0</v>
      </c>
      <c r="D22" s="125">
        <f>'Entry Form'!L93</f>
        <v>0</v>
      </c>
      <c r="E22" s="125">
        <f>'Entry Form'!M93</f>
        <v>0</v>
      </c>
      <c r="F22" s="125">
        <f>'Entry Form'!N93</f>
        <v>0</v>
      </c>
      <c r="G22" s="125">
        <f>'Entry Form'!O93</f>
        <v>0</v>
      </c>
      <c r="H22" s="125">
        <f>'Entry Form'!P93</f>
        <v>0</v>
      </c>
      <c r="I22" s="125">
        <f>'Entry Form'!Q93</f>
        <v>0</v>
      </c>
      <c r="J22" s="117">
        <f>'Entry Form'!R93</f>
        <v>0</v>
      </c>
    </row>
    <row r="23" spans="1:10" x14ac:dyDescent="0.25">
      <c r="A23" s="116" t="str">
        <f>'Entry Form'!I94</f>
        <v># Hoodies/size</v>
      </c>
      <c r="B23" s="117">
        <f>'Entry Form'!J94</f>
        <v>0</v>
      </c>
      <c r="C23" s="117">
        <f>'Entry Form'!K94</f>
        <v>0</v>
      </c>
      <c r="D23" s="117">
        <f>'Entry Form'!L94</f>
        <v>0</v>
      </c>
      <c r="E23" s="117">
        <f>'Entry Form'!M94</f>
        <v>0</v>
      </c>
      <c r="F23" s="117">
        <f>'Entry Form'!N94</f>
        <v>0</v>
      </c>
      <c r="G23" s="117">
        <f>'Entry Form'!O94</f>
        <v>0</v>
      </c>
      <c r="H23" s="117">
        <f>'Entry Form'!P94</f>
        <v>0</v>
      </c>
      <c r="I23" s="117">
        <f>'Entry Form'!Q94</f>
        <v>0</v>
      </c>
      <c r="J23" s="117">
        <f>'Entry Form'!R94</f>
        <v>0</v>
      </c>
    </row>
    <row r="25" spans="1:10" x14ac:dyDescent="0.25">
      <c r="J25" s="119" t="str">
        <f>'Entry Form'!R96</f>
        <v>Total # Shirts</v>
      </c>
    </row>
    <row r="26" spans="1:10" x14ac:dyDescent="0.25">
      <c r="J26" s="120">
        <f>'Entry Form'!R97</f>
        <v>0</v>
      </c>
    </row>
  </sheetData>
  <pageMargins left="0.25" right="0.25" top="0.75" bottom="0.75" header="0.3" footer="0.3"/>
  <pageSetup orientation="landscape" r:id="rId1"/>
  <headerFooter>
    <oddHeader>&amp;C&amp;"-,Bold"&amp;14Apparel Order Summary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Form</vt:lpstr>
      <vt:lpstr>Administration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2012-09-10T12:06:05Z</cp:lastPrinted>
  <dcterms:created xsi:type="dcterms:W3CDTF">2012-09-09T18:48:40Z</dcterms:created>
  <dcterms:modified xsi:type="dcterms:W3CDTF">2012-09-10T12:06:54Z</dcterms:modified>
</cp:coreProperties>
</file>